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ate1904="1" codeName="ThisWorkbook" hidePivotFieldList="1"/>
  <mc:AlternateContent xmlns:mc="http://schemas.openxmlformats.org/markup-compatibility/2006">
    <mc:Choice Requires="x15">
      <x15ac:absPath xmlns:x15ac="http://schemas.microsoft.com/office/spreadsheetml/2010/11/ac" url="C:\Users\zesjtd\Desktop\"/>
    </mc:Choice>
  </mc:AlternateContent>
  <xr:revisionPtr revIDLastSave="0" documentId="8_{7AA7283A-41F6-4D0B-96E5-A99BC42CEFEA}" xr6:coauthVersionLast="47" xr6:coauthVersionMax="47" xr10:uidLastSave="{00000000-0000-0000-0000-000000000000}"/>
  <bookViews>
    <workbookView xWindow="28680" yWindow="-120" windowWidth="29040" windowHeight="15840" tabRatio="923" xr2:uid="{00000000-000D-0000-FFFF-FFFF00000000}"/>
  </bookViews>
  <sheets>
    <sheet name="Paramètres" sheetId="40" r:id="rId1"/>
    <sheet name="Recherche" sheetId="48" r:id="rId2"/>
    <sheet name="Validation Rend. Imp." sheetId="55" r:id="rId3"/>
    <sheet name="A) Base RI" sheetId="42" r:id="rId4"/>
    <sheet name="B) D RI" sheetId="19" r:id="rId5"/>
    <sheet name="C) Prél. conj." sheetId="32" r:id="rId6"/>
    <sheet name="D) Ecrêtage" sheetId="33" r:id="rId7"/>
    <sheet name="E) PCS" sheetId="9" r:id="rId8"/>
    <sheet name="F) Population" sheetId="36" r:id="rId9"/>
    <sheet name="G) Solidarité" sheetId="37" r:id="rId10"/>
    <sheet name="H) Péréquation directe" sheetId="34" r:id="rId11"/>
    <sheet name="I) Dépenses thématiques" sheetId="11" r:id="rId12"/>
    <sheet name="J) Plafonnement effort" sheetId="12" r:id="rId13"/>
    <sheet name="K) Plafonnement aide" sheetId="39" r:id="rId14"/>
    <sheet name="L) Plafonnement taux" sheetId="13" r:id="rId15"/>
    <sheet name="M) Police" sheetId="49" r:id="rId16"/>
    <sheet name="Synthèse" sheetId="25" r:id="rId17"/>
    <sheet name="Acomptes vs Décompte" sheetId="54" r:id="rId18"/>
  </sheets>
  <definedNames>
    <definedName name="_xlnm._FilterDatabase" localSheetId="5" hidden="1">'C) Prél. conj.'!$A$4:$H$314</definedName>
    <definedName name="_xlnm._FilterDatabase" localSheetId="7" hidden="1">'E) PCS'!$A$10:$G$320</definedName>
    <definedName name="_xlnm._FilterDatabase" localSheetId="10" hidden="1">'H) Péréquation directe'!$A$14:$I$324</definedName>
    <definedName name="_xlnm._FilterDatabase" localSheetId="16" hidden="1">Synthèse!$A$4:$L$316</definedName>
    <definedName name="_xlnm.Database" localSheetId="17">#REF!</definedName>
    <definedName name="_xlnm.Database">#REF!</definedName>
    <definedName name="_xlnm.Print_Titles" localSheetId="5">'C) Prél. conj.'!$4:$5</definedName>
    <definedName name="_xlnm.Print_Titles" localSheetId="7">'E) PCS'!$10:$11</definedName>
    <definedName name="_xlnm.Print_Titles" localSheetId="11">'I) Dépenses thématiques'!$4:$5</definedName>
    <definedName name="_xlnm.Print_Titles" localSheetId="12">'J) Plafonnement effort'!$4:$5</definedName>
    <definedName name="_xlnm.Print_Titles" localSheetId="14">'L) Plafonnement taux'!$5:$6</definedName>
    <definedName name="_xlnm.Print_Titles" localSheetId="15">'M) Police'!$4:$4</definedName>
    <definedName name="_xlnm.Print_Titles" localSheetId="16">Synthèse!$4:$5</definedName>
    <definedName name="ind">2</definedName>
    <definedName name="_xlnm.Print_Area" localSheetId="3">'A) Base RI'!#REF!</definedName>
    <definedName name="_xlnm.Print_Area" localSheetId="10">'H) Péréquation directe'!$315:$346</definedName>
    <definedName name="_xlnm.Print_Area" localSheetId="14">'L) Plafonnement taux'!$A$1:$R$316</definedName>
    <definedName name="_xlnm.Print_Area" localSheetId="15">'M) Police'!$A$1:$N$314</definedName>
    <definedName name="_xlnm.Print_Area" localSheetId="1">Recherche!$B$6:$F$68</definedName>
    <definedName name="_xlnm.Print_Area" localSheetId="16">Synthèse!$A$1:$N$314</definedName>
    <definedName name="_xlnm.Print_Area" localSheetId="2">'Validation Rend. Imp.'!$B$6:$E$53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 i="39" l="1"/>
  <c r="B7" i="39"/>
  <c r="A8" i="39"/>
  <c r="B8" i="39"/>
  <c r="A9" i="39"/>
  <c r="B9" i="39"/>
  <c r="A10" i="39"/>
  <c r="B10" i="39"/>
  <c r="A11" i="39"/>
  <c r="B11" i="39"/>
  <c r="A12" i="39"/>
  <c r="B12" i="39"/>
  <c r="A13" i="39"/>
  <c r="B13" i="39"/>
  <c r="A14" i="39"/>
  <c r="B14" i="39"/>
  <c r="A15" i="39"/>
  <c r="B15" i="39"/>
  <c r="A16" i="39"/>
  <c r="B16" i="39"/>
  <c r="A17" i="39"/>
  <c r="B17" i="39"/>
  <c r="A18" i="39"/>
  <c r="B18" i="39"/>
  <c r="A19" i="39"/>
  <c r="B19" i="39"/>
  <c r="A20" i="39"/>
  <c r="B20" i="39"/>
  <c r="A21" i="39"/>
  <c r="B21" i="39"/>
  <c r="A22" i="39"/>
  <c r="B22" i="39"/>
  <c r="A23" i="39"/>
  <c r="B23" i="39"/>
  <c r="A24" i="39"/>
  <c r="B24" i="39"/>
  <c r="A25" i="39"/>
  <c r="B25" i="39"/>
  <c r="A26" i="39"/>
  <c r="B26" i="39"/>
  <c r="A27" i="39"/>
  <c r="B27" i="39"/>
  <c r="A28" i="39"/>
  <c r="B28" i="39"/>
  <c r="A29" i="39"/>
  <c r="B29" i="39"/>
  <c r="A30" i="39"/>
  <c r="B30" i="39"/>
  <c r="A31" i="39"/>
  <c r="B31" i="39"/>
  <c r="A32" i="39"/>
  <c r="B32" i="39"/>
  <c r="A33" i="39"/>
  <c r="B33" i="39"/>
  <c r="A34" i="39"/>
  <c r="B34" i="39"/>
  <c r="A35" i="39"/>
  <c r="B35" i="39"/>
  <c r="A36" i="39"/>
  <c r="B36" i="39"/>
  <c r="A37" i="39"/>
  <c r="B37" i="39"/>
  <c r="A38" i="39"/>
  <c r="B38" i="39"/>
  <c r="A39" i="39"/>
  <c r="B39" i="39"/>
  <c r="A40" i="39"/>
  <c r="B40" i="39"/>
  <c r="A41" i="39"/>
  <c r="B41" i="39"/>
  <c r="A42" i="39"/>
  <c r="B42" i="39"/>
  <c r="A43" i="39"/>
  <c r="B43" i="39"/>
  <c r="A44" i="39"/>
  <c r="B44" i="39"/>
  <c r="A45" i="39"/>
  <c r="B45" i="39"/>
  <c r="A46" i="39"/>
  <c r="B46" i="39"/>
  <c r="A47" i="39"/>
  <c r="B47" i="39"/>
  <c r="A48" i="39"/>
  <c r="B48" i="39"/>
  <c r="A49" i="39"/>
  <c r="B49" i="39"/>
  <c r="A50" i="39"/>
  <c r="B50" i="39"/>
  <c r="A51" i="39"/>
  <c r="B51" i="39"/>
  <c r="A52" i="39"/>
  <c r="B52" i="39"/>
  <c r="A53" i="39"/>
  <c r="B53" i="39"/>
  <c r="A54" i="39"/>
  <c r="B54" i="39"/>
  <c r="A55" i="39"/>
  <c r="B55" i="39"/>
  <c r="A56" i="39"/>
  <c r="B56" i="39"/>
  <c r="A57" i="39"/>
  <c r="B57" i="39"/>
  <c r="A58" i="39"/>
  <c r="B58" i="39"/>
  <c r="A59" i="39"/>
  <c r="B59" i="39"/>
  <c r="A60" i="39"/>
  <c r="B60" i="39"/>
  <c r="A61" i="39"/>
  <c r="B61" i="39"/>
  <c r="A62" i="39"/>
  <c r="B62" i="39"/>
  <c r="A63" i="39"/>
  <c r="B63" i="39"/>
  <c r="A64" i="39"/>
  <c r="B64" i="39"/>
  <c r="A65" i="39"/>
  <c r="B65" i="39"/>
  <c r="A66" i="39"/>
  <c r="B66" i="39"/>
  <c r="A67" i="39"/>
  <c r="B67" i="39"/>
  <c r="A68" i="39"/>
  <c r="B68" i="39"/>
  <c r="A69" i="39"/>
  <c r="B69" i="39"/>
  <c r="A70" i="39"/>
  <c r="B70" i="39"/>
  <c r="A71" i="39"/>
  <c r="B71" i="39"/>
  <c r="A72" i="39"/>
  <c r="B72" i="39"/>
  <c r="A73" i="39"/>
  <c r="B73" i="39"/>
  <c r="A74" i="39"/>
  <c r="B74" i="39"/>
  <c r="A75" i="39"/>
  <c r="B75" i="39"/>
  <c r="A76" i="39"/>
  <c r="B76" i="39"/>
  <c r="A77" i="39"/>
  <c r="B77" i="39"/>
  <c r="A78" i="39"/>
  <c r="B78" i="39"/>
  <c r="A79" i="39"/>
  <c r="B79" i="39"/>
  <c r="A80" i="39"/>
  <c r="B80" i="39"/>
  <c r="A81" i="39"/>
  <c r="B81" i="39"/>
  <c r="A82" i="39"/>
  <c r="B82" i="39"/>
  <c r="A83" i="39"/>
  <c r="B83" i="39"/>
  <c r="A84" i="39"/>
  <c r="B84" i="39"/>
  <c r="A85" i="39"/>
  <c r="B85" i="39"/>
  <c r="A86" i="39"/>
  <c r="B86" i="39"/>
  <c r="A87" i="39"/>
  <c r="B87" i="39"/>
  <c r="A88" i="39"/>
  <c r="B88" i="39"/>
  <c r="A89" i="39"/>
  <c r="B89" i="39"/>
  <c r="A90" i="39"/>
  <c r="B90" i="39"/>
  <c r="A91" i="39"/>
  <c r="B91" i="39"/>
  <c r="A92" i="39"/>
  <c r="B92" i="39"/>
  <c r="A93" i="39"/>
  <c r="B93" i="39"/>
  <c r="A94" i="39"/>
  <c r="B94" i="39"/>
  <c r="A95" i="39"/>
  <c r="B95" i="39"/>
  <c r="A96" i="39"/>
  <c r="B96" i="39"/>
  <c r="A97" i="39"/>
  <c r="B97" i="39"/>
  <c r="A98" i="39"/>
  <c r="B98" i="39"/>
  <c r="A99" i="39"/>
  <c r="B99" i="39"/>
  <c r="A100" i="39"/>
  <c r="B100" i="39"/>
  <c r="A101" i="39"/>
  <c r="B101" i="39"/>
  <c r="A102" i="39"/>
  <c r="B102" i="39"/>
  <c r="A103" i="39"/>
  <c r="B103" i="39"/>
  <c r="A104" i="39"/>
  <c r="B104" i="39"/>
  <c r="A105" i="39"/>
  <c r="B105" i="39"/>
  <c r="A106" i="39"/>
  <c r="B106" i="39"/>
  <c r="A107" i="39"/>
  <c r="B107" i="39"/>
  <c r="A108" i="39"/>
  <c r="B108" i="39"/>
  <c r="A109" i="39"/>
  <c r="B109" i="39"/>
  <c r="A110" i="39"/>
  <c r="B110" i="39"/>
  <c r="A111" i="39"/>
  <c r="B111" i="39"/>
  <c r="A112" i="39"/>
  <c r="B112" i="39"/>
  <c r="A113" i="39"/>
  <c r="B113" i="39"/>
  <c r="A114" i="39"/>
  <c r="B114" i="39"/>
  <c r="A115" i="39"/>
  <c r="B115" i="39"/>
  <c r="A116" i="39"/>
  <c r="B116" i="39"/>
  <c r="A117" i="39"/>
  <c r="B117" i="39"/>
  <c r="A118" i="39"/>
  <c r="B118" i="39"/>
  <c r="A119" i="39"/>
  <c r="B119" i="39"/>
  <c r="A120" i="39"/>
  <c r="B120" i="39"/>
  <c r="A121" i="39"/>
  <c r="B121" i="39"/>
  <c r="A122" i="39"/>
  <c r="B122" i="39"/>
  <c r="A123" i="39"/>
  <c r="B123" i="39"/>
  <c r="A124" i="39"/>
  <c r="B124" i="39"/>
  <c r="A125" i="39"/>
  <c r="B125" i="39"/>
  <c r="A126" i="39"/>
  <c r="B126" i="39"/>
  <c r="A127" i="39"/>
  <c r="B127" i="39"/>
  <c r="A128" i="39"/>
  <c r="B128" i="39"/>
  <c r="A129" i="39"/>
  <c r="B129" i="39"/>
  <c r="A130" i="39"/>
  <c r="B130" i="39"/>
  <c r="A131" i="39"/>
  <c r="B131" i="39"/>
  <c r="A132" i="39"/>
  <c r="B132" i="39"/>
  <c r="A133" i="39"/>
  <c r="B133" i="39"/>
  <c r="A134" i="39"/>
  <c r="B134" i="39"/>
  <c r="A135" i="39"/>
  <c r="B135" i="39"/>
  <c r="A136" i="39"/>
  <c r="B136" i="39"/>
  <c r="A137" i="39"/>
  <c r="B137" i="39"/>
  <c r="A138" i="39"/>
  <c r="B138" i="39"/>
  <c r="A139" i="39"/>
  <c r="B139" i="39"/>
  <c r="A140" i="39"/>
  <c r="B140" i="39"/>
  <c r="A141" i="39"/>
  <c r="B141" i="39"/>
  <c r="A142" i="39"/>
  <c r="B142" i="39"/>
  <c r="A143" i="39"/>
  <c r="B143" i="39"/>
  <c r="A144" i="39"/>
  <c r="B144" i="39"/>
  <c r="A145" i="39"/>
  <c r="B145" i="39"/>
  <c r="A146" i="39"/>
  <c r="B146" i="39"/>
  <c r="A147" i="39"/>
  <c r="B147" i="39"/>
  <c r="A148" i="39"/>
  <c r="B148" i="39"/>
  <c r="A149" i="39"/>
  <c r="B149" i="39"/>
  <c r="A150" i="39"/>
  <c r="B150" i="39"/>
  <c r="A151" i="39"/>
  <c r="B151" i="39"/>
  <c r="A152" i="39"/>
  <c r="B152" i="39"/>
  <c r="A153" i="39"/>
  <c r="B153" i="39"/>
  <c r="A154" i="39"/>
  <c r="B154" i="39"/>
  <c r="A155" i="39"/>
  <c r="B155" i="39"/>
  <c r="A156" i="39"/>
  <c r="B156" i="39"/>
  <c r="A157" i="39"/>
  <c r="B157" i="39"/>
  <c r="A158" i="39"/>
  <c r="B158" i="39"/>
  <c r="A159" i="39"/>
  <c r="B159" i="39"/>
  <c r="A160" i="39"/>
  <c r="B160" i="39"/>
  <c r="A161" i="39"/>
  <c r="B161" i="39"/>
  <c r="A162" i="39"/>
  <c r="B162" i="39"/>
  <c r="A163" i="39"/>
  <c r="B163" i="39"/>
  <c r="A164" i="39"/>
  <c r="B164" i="39"/>
  <c r="A165" i="39"/>
  <c r="B165" i="39"/>
  <c r="A166" i="39"/>
  <c r="B166" i="39"/>
  <c r="A167" i="39"/>
  <c r="B167" i="39"/>
  <c r="A168" i="39"/>
  <c r="B168" i="39"/>
  <c r="A169" i="39"/>
  <c r="B169" i="39"/>
  <c r="A170" i="39"/>
  <c r="B170" i="39"/>
  <c r="A171" i="39"/>
  <c r="B171" i="39"/>
  <c r="A172" i="39"/>
  <c r="B172" i="39"/>
  <c r="A173" i="39"/>
  <c r="B173" i="39"/>
  <c r="A174" i="39"/>
  <c r="B174" i="39"/>
  <c r="A175" i="39"/>
  <c r="B175" i="39"/>
  <c r="A176" i="39"/>
  <c r="B176" i="39"/>
  <c r="A177" i="39"/>
  <c r="B177" i="39"/>
  <c r="A178" i="39"/>
  <c r="B178" i="39"/>
  <c r="A179" i="39"/>
  <c r="B179" i="39"/>
  <c r="A180" i="39"/>
  <c r="B180" i="39"/>
  <c r="A181" i="39"/>
  <c r="B181" i="39"/>
  <c r="A182" i="39"/>
  <c r="B182" i="39"/>
  <c r="A183" i="39"/>
  <c r="B183" i="39"/>
  <c r="A184" i="39"/>
  <c r="B184" i="39"/>
  <c r="A185" i="39"/>
  <c r="B185" i="39"/>
  <c r="A186" i="39"/>
  <c r="B186" i="39"/>
  <c r="A187" i="39"/>
  <c r="B187" i="39"/>
  <c r="A188" i="39"/>
  <c r="B188" i="39"/>
  <c r="A189" i="39"/>
  <c r="B189" i="39"/>
  <c r="A190" i="39"/>
  <c r="B190" i="39"/>
  <c r="A191" i="39"/>
  <c r="B191" i="39"/>
  <c r="A192" i="39"/>
  <c r="B192" i="39"/>
  <c r="A193" i="39"/>
  <c r="B193" i="39"/>
  <c r="A194" i="39"/>
  <c r="B194" i="39"/>
  <c r="A195" i="39"/>
  <c r="B195" i="39"/>
  <c r="A196" i="39"/>
  <c r="B196" i="39"/>
  <c r="A197" i="39"/>
  <c r="B197" i="39"/>
  <c r="A198" i="39"/>
  <c r="B198" i="39"/>
  <c r="A199" i="39"/>
  <c r="B199" i="39"/>
  <c r="A200" i="39"/>
  <c r="B200" i="39"/>
  <c r="A201" i="39"/>
  <c r="B201" i="39"/>
  <c r="A202" i="39"/>
  <c r="B202" i="39"/>
  <c r="A203" i="39"/>
  <c r="B203" i="39"/>
  <c r="A204" i="39"/>
  <c r="B204" i="39"/>
  <c r="A205" i="39"/>
  <c r="B205" i="39"/>
  <c r="A206" i="39"/>
  <c r="B206" i="39"/>
  <c r="A207" i="39"/>
  <c r="B207" i="39"/>
  <c r="A208" i="39"/>
  <c r="B208" i="39"/>
  <c r="A209" i="39"/>
  <c r="B209" i="39"/>
  <c r="A210" i="39"/>
  <c r="B210" i="39"/>
  <c r="A211" i="39"/>
  <c r="B211" i="39"/>
  <c r="A212" i="39"/>
  <c r="B212" i="39"/>
  <c r="A213" i="39"/>
  <c r="B213" i="39"/>
  <c r="A214" i="39"/>
  <c r="B214" i="39"/>
  <c r="A215" i="39"/>
  <c r="B215" i="39"/>
  <c r="A216" i="39"/>
  <c r="B216" i="39"/>
  <c r="A217" i="39"/>
  <c r="B217" i="39"/>
  <c r="A218" i="39"/>
  <c r="B218" i="39"/>
  <c r="A219" i="39"/>
  <c r="B219" i="39"/>
  <c r="A220" i="39"/>
  <c r="B220" i="39"/>
  <c r="A221" i="39"/>
  <c r="B221" i="39"/>
  <c r="A222" i="39"/>
  <c r="B222" i="39"/>
  <c r="A223" i="39"/>
  <c r="B223" i="39"/>
  <c r="A224" i="39"/>
  <c r="B224" i="39"/>
  <c r="A225" i="39"/>
  <c r="B225" i="39"/>
  <c r="A226" i="39"/>
  <c r="B226" i="39"/>
  <c r="A227" i="39"/>
  <c r="B227" i="39"/>
  <c r="A228" i="39"/>
  <c r="B228" i="39"/>
  <c r="A229" i="39"/>
  <c r="B229" i="39"/>
  <c r="A230" i="39"/>
  <c r="B230" i="39"/>
  <c r="A231" i="39"/>
  <c r="B231" i="39"/>
  <c r="A232" i="39"/>
  <c r="B232" i="39"/>
  <c r="A233" i="39"/>
  <c r="B233" i="39"/>
  <c r="A234" i="39"/>
  <c r="B234" i="39"/>
  <c r="A235" i="39"/>
  <c r="B235" i="39"/>
  <c r="A236" i="39"/>
  <c r="B236" i="39"/>
  <c r="A237" i="39"/>
  <c r="B237" i="39"/>
  <c r="A238" i="39"/>
  <c r="B238" i="39"/>
  <c r="A239" i="39"/>
  <c r="B239" i="39"/>
  <c r="A240" i="39"/>
  <c r="B240" i="39"/>
  <c r="A241" i="39"/>
  <c r="B241" i="39"/>
  <c r="A242" i="39"/>
  <c r="B242" i="39"/>
  <c r="A243" i="39"/>
  <c r="B243" i="39"/>
  <c r="A244" i="39"/>
  <c r="B244" i="39"/>
  <c r="A245" i="39"/>
  <c r="B245" i="39"/>
  <c r="A246" i="39"/>
  <c r="B246" i="39"/>
  <c r="A247" i="39"/>
  <c r="B247" i="39"/>
  <c r="A248" i="39"/>
  <c r="B248" i="39"/>
  <c r="A249" i="39"/>
  <c r="B249" i="39"/>
  <c r="A250" i="39"/>
  <c r="B250" i="39"/>
  <c r="A251" i="39"/>
  <c r="B251" i="39"/>
  <c r="A252" i="39"/>
  <c r="B252" i="39"/>
  <c r="A253" i="39"/>
  <c r="B253" i="39"/>
  <c r="A254" i="39"/>
  <c r="B254" i="39"/>
  <c r="A255" i="39"/>
  <c r="B255" i="39"/>
  <c r="A256" i="39"/>
  <c r="B256" i="39"/>
  <c r="A257" i="39"/>
  <c r="B257" i="39"/>
  <c r="A258" i="39"/>
  <c r="B258" i="39"/>
  <c r="A259" i="39"/>
  <c r="B259" i="39"/>
  <c r="A260" i="39"/>
  <c r="B260" i="39"/>
  <c r="A261" i="39"/>
  <c r="B261" i="39"/>
  <c r="A262" i="39"/>
  <c r="B262" i="39"/>
  <c r="A263" i="39"/>
  <c r="B263" i="39"/>
  <c r="A264" i="39"/>
  <c r="B264" i="39"/>
  <c r="A265" i="39"/>
  <c r="B265" i="39"/>
  <c r="A266" i="39"/>
  <c r="B266" i="39"/>
  <c r="A267" i="39"/>
  <c r="B267" i="39"/>
  <c r="A268" i="39"/>
  <c r="B268" i="39"/>
  <c r="A269" i="39"/>
  <c r="B269" i="39"/>
  <c r="A270" i="39"/>
  <c r="B270" i="39"/>
  <c r="A271" i="39"/>
  <c r="B271" i="39"/>
  <c r="A272" i="39"/>
  <c r="B272" i="39"/>
  <c r="A273" i="39"/>
  <c r="B273" i="39"/>
  <c r="A274" i="39"/>
  <c r="B274" i="39"/>
  <c r="A275" i="39"/>
  <c r="B275" i="39"/>
  <c r="A276" i="39"/>
  <c r="B276" i="39"/>
  <c r="A277" i="39"/>
  <c r="B277" i="39"/>
  <c r="A278" i="39"/>
  <c r="B278" i="39"/>
  <c r="A279" i="39"/>
  <c r="B279" i="39"/>
  <c r="A280" i="39"/>
  <c r="B280" i="39"/>
  <c r="A281" i="39"/>
  <c r="B281" i="39"/>
  <c r="A282" i="39"/>
  <c r="B282" i="39"/>
  <c r="A283" i="39"/>
  <c r="B283" i="39"/>
  <c r="A284" i="39"/>
  <c r="B284" i="39"/>
  <c r="A285" i="39"/>
  <c r="B285" i="39"/>
  <c r="A286" i="39"/>
  <c r="B286" i="39"/>
  <c r="A287" i="39"/>
  <c r="B287" i="39"/>
  <c r="A288" i="39"/>
  <c r="B288" i="39"/>
  <c r="A289" i="39"/>
  <c r="B289" i="39"/>
  <c r="A290" i="39"/>
  <c r="B290" i="39"/>
  <c r="A291" i="39"/>
  <c r="B291" i="39"/>
  <c r="A292" i="39"/>
  <c r="B292" i="39"/>
  <c r="A293" i="39"/>
  <c r="B293" i="39"/>
  <c r="A294" i="39"/>
  <c r="B294" i="39"/>
  <c r="A295" i="39"/>
  <c r="B295" i="39"/>
  <c r="A296" i="39"/>
  <c r="B296" i="39"/>
  <c r="A297" i="39"/>
  <c r="B297" i="39"/>
  <c r="A298" i="39"/>
  <c r="B298" i="39"/>
  <c r="A299" i="39"/>
  <c r="B299" i="39"/>
  <c r="A300" i="39"/>
  <c r="B300" i="39"/>
  <c r="A301" i="39"/>
  <c r="B301" i="39"/>
  <c r="A302" i="39"/>
  <c r="B302" i="39"/>
  <c r="A303" i="39"/>
  <c r="B303" i="39"/>
  <c r="A304" i="39"/>
  <c r="B304" i="39"/>
  <c r="A305" i="39"/>
  <c r="B305" i="39"/>
  <c r="A306" i="39"/>
  <c r="B306" i="39"/>
  <c r="A307" i="39"/>
  <c r="B307" i="39"/>
  <c r="A308" i="39"/>
  <c r="B308" i="39"/>
  <c r="A309" i="39"/>
  <c r="B309" i="39"/>
  <c r="A310" i="39"/>
  <c r="B310" i="39"/>
  <c r="A311" i="39"/>
  <c r="B311" i="39"/>
  <c r="A312" i="39"/>
  <c r="B312" i="39"/>
  <c r="A313" i="39"/>
  <c r="B313" i="39"/>
  <c r="J7" i="11"/>
  <c r="J8" i="11"/>
  <c r="J9" i="11"/>
  <c r="J10" i="11"/>
  <c r="J11" i="11"/>
  <c r="J12" i="11"/>
  <c r="J13" i="11"/>
  <c r="J14" i="11"/>
  <c r="J15" i="11"/>
  <c r="J16" i="11"/>
  <c r="J17" i="11"/>
  <c r="J18" i="11"/>
  <c r="J19" i="11"/>
  <c r="J20" i="11"/>
  <c r="J21" i="11"/>
  <c r="J22" i="11"/>
  <c r="J23" i="11"/>
  <c r="J24" i="11"/>
  <c r="J25" i="11"/>
  <c r="J26" i="11"/>
  <c r="J27" i="11"/>
  <c r="J28" i="11"/>
  <c r="J29"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234" i="11"/>
  <c r="J235" i="11"/>
  <c r="J236" i="11"/>
  <c r="J237" i="11"/>
  <c r="J238" i="11"/>
  <c r="J239" i="11"/>
  <c r="J240" i="11"/>
  <c r="J241" i="11"/>
  <c r="J242" i="11"/>
  <c r="J243" i="11"/>
  <c r="J244" i="11"/>
  <c r="J245" i="11"/>
  <c r="J246"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78" i="11"/>
  <c r="J279" i="11"/>
  <c r="J280" i="11"/>
  <c r="J281" i="11"/>
  <c r="J282" i="11"/>
  <c r="J283" i="11"/>
  <c r="J284" i="11"/>
  <c r="J285" i="11"/>
  <c r="J286" i="11"/>
  <c r="J287" i="11"/>
  <c r="J288" i="11"/>
  <c r="J289" i="11"/>
  <c r="J290" i="11"/>
  <c r="J291" i="11"/>
  <c r="J292" i="11"/>
  <c r="J293" i="11"/>
  <c r="J294" i="11"/>
  <c r="J295" i="11"/>
  <c r="J296" i="11"/>
  <c r="J297" i="11"/>
  <c r="J298" i="11"/>
  <c r="J299" i="11"/>
  <c r="J300" i="11"/>
  <c r="J301" i="11"/>
  <c r="J302" i="11"/>
  <c r="J303" i="11"/>
  <c r="J304" i="11"/>
  <c r="J305" i="11"/>
  <c r="J306" i="11"/>
  <c r="J307" i="11"/>
  <c r="J308" i="11"/>
  <c r="J309" i="11"/>
  <c r="J310" i="11"/>
  <c r="J311" i="11"/>
  <c r="J312" i="11"/>
  <c r="J313" i="11"/>
  <c r="J6" i="11"/>
  <c r="E7" i="11"/>
  <c r="E8" i="11"/>
  <c r="E9" i="11"/>
  <c r="E10" i="11"/>
  <c r="E11" i="11"/>
  <c r="E12" i="11"/>
  <c r="E13" i="11"/>
  <c r="E14" i="11"/>
  <c r="E15" i="11"/>
  <c r="E16" i="11"/>
  <c r="E17" i="11"/>
  <c r="E18" i="11"/>
  <c r="E19" i="11"/>
  <c r="E20" i="11"/>
  <c r="E21" i="11"/>
  <c r="E22" i="11"/>
  <c r="E23" i="11"/>
  <c r="E24" i="11"/>
  <c r="E25" i="11"/>
  <c r="E26" i="11"/>
  <c r="E27" i="11"/>
  <c r="E28" i="11"/>
  <c r="E29"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A7" i="11"/>
  <c r="B7" i="11"/>
  <c r="A8" i="11"/>
  <c r="B8" i="11"/>
  <c r="A9" i="11"/>
  <c r="B9" i="11"/>
  <c r="A10" i="11"/>
  <c r="B10" i="11"/>
  <c r="A11" i="11"/>
  <c r="B11" i="11"/>
  <c r="A12" i="11"/>
  <c r="B12" i="11"/>
  <c r="A13" i="11"/>
  <c r="B13" i="11"/>
  <c r="A14" i="11"/>
  <c r="B14" i="11"/>
  <c r="A15" i="11"/>
  <c r="B15" i="11"/>
  <c r="A16" i="11"/>
  <c r="B16" i="11"/>
  <c r="A17" i="11"/>
  <c r="B17" i="11"/>
  <c r="A18" i="11"/>
  <c r="B18" i="11"/>
  <c r="A19" i="11"/>
  <c r="B19" i="11"/>
  <c r="A20" i="11"/>
  <c r="B20" i="11"/>
  <c r="A21" i="11"/>
  <c r="B21" i="11"/>
  <c r="A22" i="11"/>
  <c r="B22" i="11"/>
  <c r="A23" i="11"/>
  <c r="B23" i="11"/>
  <c r="A24" i="11"/>
  <c r="B24" i="11"/>
  <c r="A25" i="11"/>
  <c r="B25" i="11"/>
  <c r="A26" i="11"/>
  <c r="B26" i="11"/>
  <c r="A27" i="11"/>
  <c r="B27" i="11"/>
  <c r="A28" i="11"/>
  <c r="B28" i="11"/>
  <c r="A29" i="11"/>
  <c r="B29" i="11"/>
  <c r="A30" i="11"/>
  <c r="B30" i="11"/>
  <c r="A31" i="11"/>
  <c r="B31" i="11"/>
  <c r="A32" i="11"/>
  <c r="B32" i="11"/>
  <c r="A33" i="11"/>
  <c r="B33" i="11"/>
  <c r="A34" i="11"/>
  <c r="B34" i="11"/>
  <c r="A35" i="11"/>
  <c r="B35" i="11"/>
  <c r="A36" i="11"/>
  <c r="B36" i="11"/>
  <c r="A37" i="11"/>
  <c r="B37" i="11"/>
  <c r="A38" i="11"/>
  <c r="B38" i="11"/>
  <c r="A39" i="11"/>
  <c r="B39" i="11"/>
  <c r="A40" i="11"/>
  <c r="B40" i="11"/>
  <c r="A41" i="11"/>
  <c r="B41" i="11"/>
  <c r="A42" i="11"/>
  <c r="B42" i="11"/>
  <c r="A43" i="11"/>
  <c r="B43" i="11"/>
  <c r="A44" i="11"/>
  <c r="B44" i="11"/>
  <c r="A45" i="11"/>
  <c r="B45" i="11"/>
  <c r="A46" i="11"/>
  <c r="B46" i="11"/>
  <c r="A47" i="11"/>
  <c r="B47" i="11"/>
  <c r="A48" i="11"/>
  <c r="B48" i="11"/>
  <c r="A49" i="11"/>
  <c r="B49" i="11"/>
  <c r="A50" i="11"/>
  <c r="B50" i="11"/>
  <c r="A51" i="11"/>
  <c r="B51" i="11"/>
  <c r="A52" i="11"/>
  <c r="B52" i="11"/>
  <c r="A53" i="11"/>
  <c r="B53" i="11"/>
  <c r="A54" i="11"/>
  <c r="B54" i="11"/>
  <c r="A55" i="11"/>
  <c r="B55" i="11"/>
  <c r="A56" i="11"/>
  <c r="B56" i="11"/>
  <c r="A57" i="11"/>
  <c r="B57" i="11"/>
  <c r="A58" i="11"/>
  <c r="B58" i="11"/>
  <c r="A59" i="11"/>
  <c r="B59" i="11"/>
  <c r="A60" i="11"/>
  <c r="B60" i="11"/>
  <c r="A61" i="11"/>
  <c r="B61" i="11"/>
  <c r="A62" i="11"/>
  <c r="B62" i="11"/>
  <c r="A63" i="11"/>
  <c r="B63" i="11"/>
  <c r="A64" i="11"/>
  <c r="B64" i="11"/>
  <c r="A65" i="11"/>
  <c r="B65" i="11"/>
  <c r="A66" i="11"/>
  <c r="B66" i="11"/>
  <c r="A67" i="11"/>
  <c r="B67" i="11"/>
  <c r="A68" i="11"/>
  <c r="B68" i="11"/>
  <c r="A69" i="11"/>
  <c r="B69" i="11"/>
  <c r="A70" i="11"/>
  <c r="B70" i="11"/>
  <c r="A71" i="11"/>
  <c r="B71" i="11"/>
  <c r="A72" i="11"/>
  <c r="B72" i="11"/>
  <c r="A73" i="11"/>
  <c r="B73" i="11"/>
  <c r="A74" i="11"/>
  <c r="B74" i="11"/>
  <c r="A75" i="11"/>
  <c r="B75" i="11"/>
  <c r="A76" i="11"/>
  <c r="B76" i="11"/>
  <c r="A77" i="11"/>
  <c r="B77" i="11"/>
  <c r="A78" i="11"/>
  <c r="B78" i="11"/>
  <c r="A79" i="11"/>
  <c r="B79" i="11"/>
  <c r="A80" i="11"/>
  <c r="B80" i="11"/>
  <c r="A81" i="11"/>
  <c r="B81" i="11"/>
  <c r="A82" i="11"/>
  <c r="B82" i="11"/>
  <c r="A83" i="11"/>
  <c r="B83" i="11"/>
  <c r="A84" i="11"/>
  <c r="B84" i="11"/>
  <c r="A85" i="11"/>
  <c r="B85" i="11"/>
  <c r="A86" i="11"/>
  <c r="B86" i="11"/>
  <c r="A87" i="11"/>
  <c r="B87" i="11"/>
  <c r="A88" i="11"/>
  <c r="B88" i="11"/>
  <c r="A89" i="11"/>
  <c r="B89" i="11"/>
  <c r="A90" i="11"/>
  <c r="B90" i="11"/>
  <c r="A91" i="11"/>
  <c r="B91" i="11"/>
  <c r="A92" i="11"/>
  <c r="B92" i="11"/>
  <c r="A93" i="11"/>
  <c r="B93" i="11"/>
  <c r="A94" i="11"/>
  <c r="B94" i="11"/>
  <c r="A95" i="11"/>
  <c r="B95" i="11"/>
  <c r="A96" i="11"/>
  <c r="B96" i="11"/>
  <c r="A97" i="11"/>
  <c r="B97" i="11"/>
  <c r="A98" i="11"/>
  <c r="B98" i="11"/>
  <c r="A99" i="11"/>
  <c r="B99" i="11"/>
  <c r="A100" i="11"/>
  <c r="B100" i="11"/>
  <c r="A101" i="11"/>
  <c r="B101" i="11"/>
  <c r="A102" i="11"/>
  <c r="B102" i="11"/>
  <c r="A103" i="11"/>
  <c r="B103" i="11"/>
  <c r="A104" i="11"/>
  <c r="B104" i="11"/>
  <c r="A105" i="11"/>
  <c r="B105" i="11"/>
  <c r="A106" i="11"/>
  <c r="B106" i="11"/>
  <c r="A107" i="11"/>
  <c r="B107" i="11"/>
  <c r="A108" i="11"/>
  <c r="B108" i="11"/>
  <c r="A109" i="11"/>
  <c r="B109" i="11"/>
  <c r="A110" i="11"/>
  <c r="B110" i="11"/>
  <c r="A111" i="11"/>
  <c r="B111" i="11"/>
  <c r="A112" i="11"/>
  <c r="B112" i="11"/>
  <c r="A113" i="11"/>
  <c r="B113" i="11"/>
  <c r="A114" i="11"/>
  <c r="B114" i="11"/>
  <c r="A115" i="11"/>
  <c r="B115" i="11"/>
  <c r="A116" i="11"/>
  <c r="B116" i="11"/>
  <c r="A117" i="11"/>
  <c r="B117" i="11"/>
  <c r="A118" i="11"/>
  <c r="B118" i="11"/>
  <c r="A119" i="11"/>
  <c r="B119" i="11"/>
  <c r="A120" i="11"/>
  <c r="B120" i="11"/>
  <c r="A121" i="11"/>
  <c r="B121" i="11"/>
  <c r="A122" i="11"/>
  <c r="B122" i="11"/>
  <c r="A123" i="11"/>
  <c r="B123" i="11"/>
  <c r="A124" i="11"/>
  <c r="B124" i="11"/>
  <c r="A125" i="11"/>
  <c r="B125" i="11"/>
  <c r="A126" i="11"/>
  <c r="B126" i="11"/>
  <c r="A127" i="11"/>
  <c r="B127" i="11"/>
  <c r="A128" i="11"/>
  <c r="B128" i="11"/>
  <c r="A129" i="11"/>
  <c r="B129" i="11"/>
  <c r="A130" i="11"/>
  <c r="B130" i="11"/>
  <c r="A131" i="11"/>
  <c r="B131" i="11"/>
  <c r="A132" i="11"/>
  <c r="B132" i="11"/>
  <c r="A133" i="11"/>
  <c r="B133" i="11"/>
  <c r="A134" i="11"/>
  <c r="B134" i="11"/>
  <c r="A135" i="11"/>
  <c r="B135" i="11"/>
  <c r="A136" i="11"/>
  <c r="B136" i="11"/>
  <c r="A137" i="11"/>
  <c r="B137" i="11"/>
  <c r="A138" i="11"/>
  <c r="B138" i="11"/>
  <c r="A139" i="11"/>
  <c r="B139" i="11"/>
  <c r="A140" i="11"/>
  <c r="B140" i="11"/>
  <c r="A141" i="11"/>
  <c r="B141" i="11"/>
  <c r="A142" i="11"/>
  <c r="B142" i="11"/>
  <c r="A143" i="11"/>
  <c r="B143" i="11"/>
  <c r="A144" i="11"/>
  <c r="B144" i="11"/>
  <c r="A145" i="11"/>
  <c r="B145" i="11"/>
  <c r="A146" i="11"/>
  <c r="B146" i="11"/>
  <c r="A147" i="11"/>
  <c r="B147" i="11"/>
  <c r="A148" i="11"/>
  <c r="B148" i="11"/>
  <c r="A149" i="11"/>
  <c r="B149" i="11"/>
  <c r="A150" i="11"/>
  <c r="B150" i="11"/>
  <c r="A151" i="11"/>
  <c r="B151" i="11"/>
  <c r="A152" i="11"/>
  <c r="B152" i="11"/>
  <c r="A153" i="11"/>
  <c r="B153" i="11"/>
  <c r="A154" i="11"/>
  <c r="B154" i="11"/>
  <c r="A155" i="11"/>
  <c r="B155" i="11"/>
  <c r="A156" i="11"/>
  <c r="B156" i="11"/>
  <c r="A157" i="11"/>
  <c r="B157" i="11"/>
  <c r="A158" i="11"/>
  <c r="B158" i="11"/>
  <c r="A159" i="11"/>
  <c r="B159" i="11"/>
  <c r="A160" i="11"/>
  <c r="B160" i="11"/>
  <c r="A161" i="11"/>
  <c r="B161" i="11"/>
  <c r="A162" i="11"/>
  <c r="B162" i="11"/>
  <c r="A163" i="11"/>
  <c r="B163" i="11"/>
  <c r="A164" i="11"/>
  <c r="B164" i="11"/>
  <c r="A165" i="11"/>
  <c r="B165" i="11"/>
  <c r="A166" i="11"/>
  <c r="B166" i="11"/>
  <c r="A167" i="11"/>
  <c r="B167" i="11"/>
  <c r="A168" i="11"/>
  <c r="B168" i="11"/>
  <c r="A169" i="11"/>
  <c r="B169" i="11"/>
  <c r="A170" i="11"/>
  <c r="B170" i="11"/>
  <c r="A171" i="11"/>
  <c r="B171" i="11"/>
  <c r="A172" i="11"/>
  <c r="B172" i="11"/>
  <c r="A173" i="11"/>
  <c r="B173" i="11"/>
  <c r="A174" i="11"/>
  <c r="B174" i="11"/>
  <c r="A175" i="11"/>
  <c r="B175" i="11"/>
  <c r="A176" i="11"/>
  <c r="B176" i="11"/>
  <c r="A177" i="11"/>
  <c r="B177" i="11"/>
  <c r="A178" i="11"/>
  <c r="B178" i="11"/>
  <c r="A179" i="11"/>
  <c r="B179" i="11"/>
  <c r="A180" i="11"/>
  <c r="B180" i="11"/>
  <c r="A181" i="11"/>
  <c r="B181" i="11"/>
  <c r="A182" i="11"/>
  <c r="B182" i="11"/>
  <c r="A183" i="11"/>
  <c r="B183" i="11"/>
  <c r="A184" i="11"/>
  <c r="B184" i="11"/>
  <c r="A185" i="11"/>
  <c r="B185" i="11"/>
  <c r="A186" i="11"/>
  <c r="B186" i="11"/>
  <c r="A187" i="11"/>
  <c r="B187" i="11"/>
  <c r="A188" i="11"/>
  <c r="B188" i="11"/>
  <c r="A189" i="11"/>
  <c r="B189" i="11"/>
  <c r="A190" i="11"/>
  <c r="B190" i="11"/>
  <c r="A191" i="11"/>
  <c r="B191" i="11"/>
  <c r="A192" i="11"/>
  <c r="B192" i="11"/>
  <c r="A193" i="11"/>
  <c r="B193" i="11"/>
  <c r="A194" i="11"/>
  <c r="B194" i="11"/>
  <c r="A195" i="11"/>
  <c r="B195" i="11"/>
  <c r="A196" i="11"/>
  <c r="B196" i="11"/>
  <c r="A197" i="11"/>
  <c r="B197" i="11"/>
  <c r="A198" i="11"/>
  <c r="B198" i="11"/>
  <c r="A199" i="11"/>
  <c r="B199" i="11"/>
  <c r="A200" i="11"/>
  <c r="B200" i="11"/>
  <c r="A201" i="11"/>
  <c r="B201" i="11"/>
  <c r="A202" i="11"/>
  <c r="B202" i="11"/>
  <c r="A203" i="11"/>
  <c r="B203" i="11"/>
  <c r="A204" i="11"/>
  <c r="B204" i="11"/>
  <c r="A205" i="11"/>
  <c r="B205" i="11"/>
  <c r="A206" i="11"/>
  <c r="B206" i="11"/>
  <c r="A207" i="11"/>
  <c r="B207" i="11"/>
  <c r="A208" i="11"/>
  <c r="B208" i="11"/>
  <c r="A209" i="11"/>
  <c r="B209" i="11"/>
  <c r="A210" i="11"/>
  <c r="B210" i="11"/>
  <c r="A211" i="11"/>
  <c r="B211" i="11"/>
  <c r="A212" i="11"/>
  <c r="B212" i="11"/>
  <c r="A213" i="11"/>
  <c r="B213" i="11"/>
  <c r="A214" i="11"/>
  <c r="B214" i="11"/>
  <c r="A215" i="11"/>
  <c r="B215" i="11"/>
  <c r="A216" i="11"/>
  <c r="B216" i="11"/>
  <c r="A217" i="11"/>
  <c r="B217" i="11"/>
  <c r="A218" i="11"/>
  <c r="B218" i="11"/>
  <c r="A219" i="11"/>
  <c r="B219" i="11"/>
  <c r="A220" i="11"/>
  <c r="B220" i="11"/>
  <c r="A221" i="11"/>
  <c r="B221" i="11"/>
  <c r="A222" i="11"/>
  <c r="B222" i="11"/>
  <c r="A223" i="11"/>
  <c r="B223" i="11"/>
  <c r="A224" i="11"/>
  <c r="B224" i="11"/>
  <c r="A225" i="11"/>
  <c r="B225" i="11"/>
  <c r="A226" i="11"/>
  <c r="B226" i="11"/>
  <c r="A227" i="11"/>
  <c r="B227" i="11"/>
  <c r="A228" i="11"/>
  <c r="B228" i="11"/>
  <c r="A229" i="11"/>
  <c r="B229" i="11"/>
  <c r="A230" i="11"/>
  <c r="B230" i="11"/>
  <c r="A231" i="11"/>
  <c r="B231" i="11"/>
  <c r="A232" i="11"/>
  <c r="B232" i="11"/>
  <c r="A233" i="11"/>
  <c r="B233" i="11"/>
  <c r="A234" i="11"/>
  <c r="B234" i="11"/>
  <c r="A235" i="11"/>
  <c r="B235" i="11"/>
  <c r="A236" i="11"/>
  <c r="B236" i="11"/>
  <c r="A237" i="11"/>
  <c r="B237" i="11"/>
  <c r="A238" i="11"/>
  <c r="B238" i="11"/>
  <c r="A239" i="11"/>
  <c r="B239" i="11"/>
  <c r="A240" i="11"/>
  <c r="B240" i="11"/>
  <c r="A241" i="11"/>
  <c r="B241" i="11"/>
  <c r="A242" i="11"/>
  <c r="B242" i="11"/>
  <c r="A243" i="11"/>
  <c r="B243" i="11"/>
  <c r="A244" i="11"/>
  <c r="B244" i="11"/>
  <c r="A245" i="11"/>
  <c r="B245" i="11"/>
  <c r="A246" i="11"/>
  <c r="B246" i="11"/>
  <c r="A247" i="11"/>
  <c r="B247" i="11"/>
  <c r="A248" i="11"/>
  <c r="B248" i="11"/>
  <c r="A249" i="11"/>
  <c r="B249" i="11"/>
  <c r="A250" i="11"/>
  <c r="B250" i="11"/>
  <c r="A251" i="11"/>
  <c r="B251" i="11"/>
  <c r="A252" i="11"/>
  <c r="B252" i="11"/>
  <c r="A253" i="11"/>
  <c r="B253" i="11"/>
  <c r="A254" i="11"/>
  <c r="B254" i="11"/>
  <c r="A255" i="11"/>
  <c r="B255" i="11"/>
  <c r="A256" i="11"/>
  <c r="B256" i="11"/>
  <c r="A257" i="11"/>
  <c r="B257" i="11"/>
  <c r="A258" i="11"/>
  <c r="B258" i="11"/>
  <c r="A259" i="11"/>
  <c r="B259" i="11"/>
  <c r="A260" i="11"/>
  <c r="B260" i="11"/>
  <c r="A261" i="11"/>
  <c r="B261" i="11"/>
  <c r="A262" i="11"/>
  <c r="B262" i="11"/>
  <c r="A263" i="11"/>
  <c r="B263" i="11"/>
  <c r="A264" i="11"/>
  <c r="B264" i="11"/>
  <c r="A265" i="11"/>
  <c r="B265" i="11"/>
  <c r="A266" i="11"/>
  <c r="B266" i="11"/>
  <c r="A267" i="11"/>
  <c r="B267" i="11"/>
  <c r="A268" i="11"/>
  <c r="B268" i="11"/>
  <c r="A269" i="11"/>
  <c r="B269" i="11"/>
  <c r="A270" i="11"/>
  <c r="B270" i="11"/>
  <c r="A271" i="11"/>
  <c r="B271" i="11"/>
  <c r="A272" i="11"/>
  <c r="B272" i="11"/>
  <c r="A273" i="11"/>
  <c r="B273" i="11"/>
  <c r="A274" i="11"/>
  <c r="B274" i="11"/>
  <c r="A275" i="11"/>
  <c r="B275" i="11"/>
  <c r="A276" i="11"/>
  <c r="B276" i="11"/>
  <c r="A277" i="11"/>
  <c r="B277" i="11"/>
  <c r="A278" i="11"/>
  <c r="B278" i="11"/>
  <c r="A279" i="11"/>
  <c r="B279" i="11"/>
  <c r="A280" i="11"/>
  <c r="B280" i="11"/>
  <c r="A281" i="11"/>
  <c r="B281" i="11"/>
  <c r="A282" i="11"/>
  <c r="B282" i="11"/>
  <c r="A283" i="11"/>
  <c r="B283" i="11"/>
  <c r="A284" i="11"/>
  <c r="B284" i="11"/>
  <c r="A285" i="11"/>
  <c r="B285" i="11"/>
  <c r="A286" i="11"/>
  <c r="B286" i="11"/>
  <c r="A287" i="11"/>
  <c r="B287" i="11"/>
  <c r="A288" i="11"/>
  <c r="B288" i="11"/>
  <c r="A289" i="11"/>
  <c r="B289" i="11"/>
  <c r="A290" i="11"/>
  <c r="B290" i="11"/>
  <c r="A291" i="11"/>
  <c r="B291" i="11"/>
  <c r="A292" i="11"/>
  <c r="B292" i="11"/>
  <c r="A293" i="11"/>
  <c r="B293" i="11"/>
  <c r="A294" i="11"/>
  <c r="B294" i="11"/>
  <c r="A295" i="11"/>
  <c r="B295" i="11"/>
  <c r="A296" i="11"/>
  <c r="B296" i="11"/>
  <c r="A297" i="11"/>
  <c r="B297" i="11"/>
  <c r="A298" i="11"/>
  <c r="B298" i="11"/>
  <c r="A299" i="11"/>
  <c r="B299" i="11"/>
  <c r="A300" i="11"/>
  <c r="B300" i="11"/>
  <c r="A301" i="11"/>
  <c r="B301" i="11"/>
  <c r="A302" i="11"/>
  <c r="B302" i="11"/>
  <c r="A303" i="11"/>
  <c r="B303" i="11"/>
  <c r="A304" i="11"/>
  <c r="B304" i="11"/>
  <c r="A305" i="11"/>
  <c r="B305" i="11"/>
  <c r="A306" i="11"/>
  <c r="B306" i="11"/>
  <c r="A307" i="11"/>
  <c r="B307" i="11"/>
  <c r="A308" i="11"/>
  <c r="B308" i="11"/>
  <c r="A309" i="11"/>
  <c r="B309" i="11"/>
  <c r="A310" i="11"/>
  <c r="B310" i="11"/>
  <c r="A311" i="11"/>
  <c r="B311" i="11"/>
  <c r="A312" i="11"/>
  <c r="B312" i="11"/>
  <c r="A313" i="11"/>
  <c r="B313" i="11"/>
  <c r="A17" i="34"/>
  <c r="B17" i="34"/>
  <c r="D17" i="34"/>
  <c r="A18" i="34"/>
  <c r="B18" i="34"/>
  <c r="D18" i="34"/>
  <c r="A19" i="34"/>
  <c r="B19" i="34"/>
  <c r="D19" i="34"/>
  <c r="A20" i="34"/>
  <c r="B20" i="34"/>
  <c r="D20" i="34"/>
  <c r="A21" i="34"/>
  <c r="B21" i="34"/>
  <c r="D21" i="34"/>
  <c r="A22" i="34"/>
  <c r="B22" i="34"/>
  <c r="D22" i="34"/>
  <c r="A23" i="34"/>
  <c r="B23" i="34"/>
  <c r="D23" i="34"/>
  <c r="A24" i="34"/>
  <c r="B24" i="34"/>
  <c r="D24" i="34"/>
  <c r="A25" i="34"/>
  <c r="B25" i="34"/>
  <c r="D25" i="34"/>
  <c r="A26" i="34"/>
  <c r="B26" i="34"/>
  <c r="D26" i="34"/>
  <c r="A27" i="34"/>
  <c r="B27" i="34"/>
  <c r="D27" i="34"/>
  <c r="A28" i="34"/>
  <c r="B28" i="34"/>
  <c r="D28" i="34"/>
  <c r="A29" i="34"/>
  <c r="B29" i="34"/>
  <c r="D29" i="34"/>
  <c r="A30" i="34"/>
  <c r="B30" i="34"/>
  <c r="D30" i="34"/>
  <c r="A31" i="34"/>
  <c r="B31" i="34"/>
  <c r="D31" i="34"/>
  <c r="A32" i="34"/>
  <c r="B32" i="34"/>
  <c r="D32" i="34"/>
  <c r="A33" i="34"/>
  <c r="B33" i="34"/>
  <c r="D33" i="34"/>
  <c r="A34" i="34"/>
  <c r="B34" i="34"/>
  <c r="D34" i="34"/>
  <c r="A35" i="34"/>
  <c r="B35" i="34"/>
  <c r="D35" i="34"/>
  <c r="A36" i="34"/>
  <c r="B36" i="34"/>
  <c r="D36" i="34"/>
  <c r="A37" i="34"/>
  <c r="B37" i="34"/>
  <c r="D37" i="34"/>
  <c r="A38" i="34"/>
  <c r="B38" i="34"/>
  <c r="D38" i="34"/>
  <c r="A39" i="34"/>
  <c r="B39" i="34"/>
  <c r="D39" i="34"/>
  <c r="A40" i="34"/>
  <c r="B40" i="34"/>
  <c r="D40" i="34"/>
  <c r="A41" i="34"/>
  <c r="B41" i="34"/>
  <c r="D41" i="34"/>
  <c r="A42" i="34"/>
  <c r="B42" i="34"/>
  <c r="D42" i="34"/>
  <c r="A43" i="34"/>
  <c r="B43" i="34"/>
  <c r="D43" i="34"/>
  <c r="A44" i="34"/>
  <c r="B44" i="34"/>
  <c r="D44" i="34"/>
  <c r="A45" i="34"/>
  <c r="B45" i="34"/>
  <c r="D45" i="34"/>
  <c r="A46" i="34"/>
  <c r="B46" i="34"/>
  <c r="D46" i="34"/>
  <c r="A47" i="34"/>
  <c r="B47" i="34"/>
  <c r="D47" i="34"/>
  <c r="A48" i="34"/>
  <c r="B48" i="34"/>
  <c r="D48" i="34"/>
  <c r="A49" i="34"/>
  <c r="B49" i="34"/>
  <c r="D49" i="34"/>
  <c r="A50" i="34"/>
  <c r="B50" i="34"/>
  <c r="D50" i="34"/>
  <c r="A51" i="34"/>
  <c r="B51" i="34"/>
  <c r="D51" i="34"/>
  <c r="A52" i="34"/>
  <c r="B52" i="34"/>
  <c r="D52" i="34"/>
  <c r="A53" i="34"/>
  <c r="B53" i="34"/>
  <c r="D53" i="34"/>
  <c r="A54" i="34"/>
  <c r="B54" i="34"/>
  <c r="D54" i="34"/>
  <c r="A55" i="34"/>
  <c r="B55" i="34"/>
  <c r="D55" i="34"/>
  <c r="A56" i="34"/>
  <c r="B56" i="34"/>
  <c r="D56" i="34"/>
  <c r="A57" i="34"/>
  <c r="B57" i="34"/>
  <c r="D57" i="34"/>
  <c r="A58" i="34"/>
  <c r="B58" i="34"/>
  <c r="D58" i="34"/>
  <c r="A59" i="34"/>
  <c r="B59" i="34"/>
  <c r="D59" i="34"/>
  <c r="A60" i="34"/>
  <c r="B60" i="34"/>
  <c r="D60" i="34"/>
  <c r="A61" i="34"/>
  <c r="B61" i="34"/>
  <c r="D61" i="34"/>
  <c r="A62" i="34"/>
  <c r="B62" i="34"/>
  <c r="D62" i="34"/>
  <c r="A63" i="34"/>
  <c r="B63" i="34"/>
  <c r="D63" i="34"/>
  <c r="A64" i="34"/>
  <c r="B64" i="34"/>
  <c r="D64" i="34"/>
  <c r="A65" i="34"/>
  <c r="B65" i="34"/>
  <c r="D65" i="34"/>
  <c r="A66" i="34"/>
  <c r="B66" i="34"/>
  <c r="D66" i="34"/>
  <c r="A67" i="34"/>
  <c r="B67" i="34"/>
  <c r="D67" i="34"/>
  <c r="A68" i="34"/>
  <c r="B68" i="34"/>
  <c r="D68" i="34"/>
  <c r="A69" i="34"/>
  <c r="B69" i="34"/>
  <c r="D69" i="34"/>
  <c r="A70" i="34"/>
  <c r="B70" i="34"/>
  <c r="D70" i="34"/>
  <c r="A71" i="34"/>
  <c r="B71" i="34"/>
  <c r="D71" i="34"/>
  <c r="A72" i="34"/>
  <c r="B72" i="34"/>
  <c r="D72" i="34"/>
  <c r="A73" i="34"/>
  <c r="B73" i="34"/>
  <c r="D73" i="34"/>
  <c r="A74" i="34"/>
  <c r="B74" i="34"/>
  <c r="D74" i="34"/>
  <c r="A75" i="34"/>
  <c r="B75" i="34"/>
  <c r="D75" i="34"/>
  <c r="A76" i="34"/>
  <c r="B76" i="34"/>
  <c r="D76" i="34"/>
  <c r="A77" i="34"/>
  <c r="B77" i="34"/>
  <c r="D77" i="34"/>
  <c r="A78" i="34"/>
  <c r="B78" i="34"/>
  <c r="D78" i="34"/>
  <c r="A79" i="34"/>
  <c r="B79" i="34"/>
  <c r="D79" i="34"/>
  <c r="A80" i="34"/>
  <c r="B80" i="34"/>
  <c r="D80" i="34"/>
  <c r="A81" i="34"/>
  <c r="B81" i="34"/>
  <c r="D81" i="34"/>
  <c r="A82" i="34"/>
  <c r="B82" i="34"/>
  <c r="D82" i="34"/>
  <c r="A83" i="34"/>
  <c r="B83" i="34"/>
  <c r="D83" i="34"/>
  <c r="A84" i="34"/>
  <c r="B84" i="34"/>
  <c r="D84" i="34"/>
  <c r="A85" i="34"/>
  <c r="B85" i="34"/>
  <c r="D85" i="34"/>
  <c r="A86" i="34"/>
  <c r="B86" i="34"/>
  <c r="D86" i="34"/>
  <c r="A87" i="34"/>
  <c r="B87" i="34"/>
  <c r="D87" i="34"/>
  <c r="A88" i="34"/>
  <c r="B88" i="34"/>
  <c r="D88" i="34"/>
  <c r="A89" i="34"/>
  <c r="B89" i="34"/>
  <c r="D89" i="34"/>
  <c r="A90" i="34"/>
  <c r="B90" i="34"/>
  <c r="D90" i="34"/>
  <c r="A91" i="34"/>
  <c r="B91" i="34"/>
  <c r="D91" i="34"/>
  <c r="A92" i="34"/>
  <c r="B92" i="34"/>
  <c r="D92" i="34"/>
  <c r="A93" i="34"/>
  <c r="B93" i="34"/>
  <c r="D93" i="34"/>
  <c r="A94" i="34"/>
  <c r="B94" i="34"/>
  <c r="D94" i="34"/>
  <c r="A95" i="34"/>
  <c r="B95" i="34"/>
  <c r="D95" i="34"/>
  <c r="A96" i="34"/>
  <c r="B96" i="34"/>
  <c r="D96" i="34"/>
  <c r="A97" i="34"/>
  <c r="B97" i="34"/>
  <c r="D97" i="34"/>
  <c r="A98" i="34"/>
  <c r="B98" i="34"/>
  <c r="D98" i="34"/>
  <c r="A99" i="34"/>
  <c r="B99" i="34"/>
  <c r="D99" i="34"/>
  <c r="A100" i="34"/>
  <c r="B100" i="34"/>
  <c r="D100" i="34"/>
  <c r="A101" i="34"/>
  <c r="B101" i="34"/>
  <c r="D101" i="34"/>
  <c r="A102" i="34"/>
  <c r="B102" i="34"/>
  <c r="D102" i="34"/>
  <c r="A103" i="34"/>
  <c r="B103" i="34"/>
  <c r="D103" i="34"/>
  <c r="A104" i="34"/>
  <c r="B104" i="34"/>
  <c r="D104" i="34"/>
  <c r="A105" i="34"/>
  <c r="B105" i="34"/>
  <c r="D105" i="34"/>
  <c r="A106" i="34"/>
  <c r="B106" i="34"/>
  <c r="D106" i="34"/>
  <c r="A107" i="34"/>
  <c r="B107" i="34"/>
  <c r="D107" i="34"/>
  <c r="A108" i="34"/>
  <c r="B108" i="34"/>
  <c r="D108" i="34"/>
  <c r="A109" i="34"/>
  <c r="B109" i="34"/>
  <c r="D109" i="34"/>
  <c r="A110" i="34"/>
  <c r="B110" i="34"/>
  <c r="D110" i="34"/>
  <c r="A111" i="34"/>
  <c r="B111" i="34"/>
  <c r="D111" i="34"/>
  <c r="A112" i="34"/>
  <c r="B112" i="34"/>
  <c r="D112" i="34"/>
  <c r="A113" i="34"/>
  <c r="B113" i="34"/>
  <c r="D113" i="34"/>
  <c r="A114" i="34"/>
  <c r="B114" i="34"/>
  <c r="D114" i="34"/>
  <c r="A115" i="34"/>
  <c r="B115" i="34"/>
  <c r="D115" i="34"/>
  <c r="A116" i="34"/>
  <c r="B116" i="34"/>
  <c r="D116" i="34"/>
  <c r="A117" i="34"/>
  <c r="B117" i="34"/>
  <c r="D117" i="34"/>
  <c r="A118" i="34"/>
  <c r="B118" i="34"/>
  <c r="D118" i="34"/>
  <c r="A119" i="34"/>
  <c r="B119" i="34"/>
  <c r="D119" i="34"/>
  <c r="A120" i="34"/>
  <c r="B120" i="34"/>
  <c r="D120" i="34"/>
  <c r="A121" i="34"/>
  <c r="B121" i="34"/>
  <c r="D121" i="34"/>
  <c r="A122" i="34"/>
  <c r="B122" i="34"/>
  <c r="D122" i="34"/>
  <c r="A123" i="34"/>
  <c r="B123" i="34"/>
  <c r="D123" i="34"/>
  <c r="A124" i="34"/>
  <c r="B124" i="34"/>
  <c r="D124" i="34"/>
  <c r="A125" i="34"/>
  <c r="B125" i="34"/>
  <c r="D125" i="34"/>
  <c r="A126" i="34"/>
  <c r="B126" i="34"/>
  <c r="D126" i="34"/>
  <c r="A127" i="34"/>
  <c r="B127" i="34"/>
  <c r="D127" i="34"/>
  <c r="A128" i="34"/>
  <c r="B128" i="34"/>
  <c r="D128" i="34"/>
  <c r="A129" i="34"/>
  <c r="B129" i="34"/>
  <c r="D129" i="34"/>
  <c r="A130" i="34"/>
  <c r="B130" i="34"/>
  <c r="D130" i="34"/>
  <c r="A131" i="34"/>
  <c r="B131" i="34"/>
  <c r="D131" i="34"/>
  <c r="A132" i="34"/>
  <c r="B132" i="34"/>
  <c r="D132" i="34"/>
  <c r="A133" i="34"/>
  <c r="B133" i="34"/>
  <c r="D133" i="34"/>
  <c r="A134" i="34"/>
  <c r="B134" i="34"/>
  <c r="D134" i="34"/>
  <c r="A135" i="34"/>
  <c r="B135" i="34"/>
  <c r="D135" i="34"/>
  <c r="A136" i="34"/>
  <c r="B136" i="34"/>
  <c r="D136" i="34"/>
  <c r="A137" i="34"/>
  <c r="B137" i="34"/>
  <c r="D137" i="34"/>
  <c r="A138" i="34"/>
  <c r="B138" i="34"/>
  <c r="D138" i="34"/>
  <c r="A139" i="34"/>
  <c r="B139" i="34"/>
  <c r="D139" i="34"/>
  <c r="A140" i="34"/>
  <c r="B140" i="34"/>
  <c r="D140" i="34"/>
  <c r="A141" i="34"/>
  <c r="B141" i="34"/>
  <c r="D141" i="34"/>
  <c r="A142" i="34"/>
  <c r="B142" i="34"/>
  <c r="D142" i="34"/>
  <c r="A143" i="34"/>
  <c r="B143" i="34"/>
  <c r="D143" i="34"/>
  <c r="A144" i="34"/>
  <c r="B144" i="34"/>
  <c r="D144" i="34"/>
  <c r="A145" i="34"/>
  <c r="B145" i="34"/>
  <c r="D145" i="34"/>
  <c r="A146" i="34"/>
  <c r="B146" i="34"/>
  <c r="D146" i="34"/>
  <c r="A147" i="34"/>
  <c r="B147" i="34"/>
  <c r="D147" i="34"/>
  <c r="A148" i="34"/>
  <c r="B148" i="34"/>
  <c r="D148" i="34"/>
  <c r="A149" i="34"/>
  <c r="B149" i="34"/>
  <c r="D149" i="34"/>
  <c r="A150" i="34"/>
  <c r="B150" i="34"/>
  <c r="D150" i="34"/>
  <c r="A151" i="34"/>
  <c r="B151" i="34"/>
  <c r="D151" i="34"/>
  <c r="A152" i="34"/>
  <c r="B152" i="34"/>
  <c r="D152" i="34"/>
  <c r="A153" i="34"/>
  <c r="B153" i="34"/>
  <c r="D153" i="34"/>
  <c r="A154" i="34"/>
  <c r="B154" i="34"/>
  <c r="D154" i="34"/>
  <c r="A155" i="34"/>
  <c r="B155" i="34"/>
  <c r="D155" i="34"/>
  <c r="A156" i="34"/>
  <c r="B156" i="34"/>
  <c r="D156" i="34"/>
  <c r="A157" i="34"/>
  <c r="B157" i="34"/>
  <c r="D157" i="34"/>
  <c r="A158" i="34"/>
  <c r="B158" i="34"/>
  <c r="D158" i="34"/>
  <c r="A159" i="34"/>
  <c r="B159" i="34"/>
  <c r="D159" i="34"/>
  <c r="A160" i="34"/>
  <c r="B160" i="34"/>
  <c r="D160" i="34"/>
  <c r="A161" i="34"/>
  <c r="B161" i="34"/>
  <c r="D161" i="34"/>
  <c r="A162" i="34"/>
  <c r="B162" i="34"/>
  <c r="D162" i="34"/>
  <c r="A163" i="34"/>
  <c r="B163" i="34"/>
  <c r="D163" i="34"/>
  <c r="A164" i="34"/>
  <c r="B164" i="34"/>
  <c r="D164" i="34"/>
  <c r="A165" i="34"/>
  <c r="B165" i="34"/>
  <c r="D165" i="34"/>
  <c r="A166" i="34"/>
  <c r="B166" i="34"/>
  <c r="D166" i="34"/>
  <c r="A167" i="34"/>
  <c r="B167" i="34"/>
  <c r="D167" i="34"/>
  <c r="A168" i="34"/>
  <c r="B168" i="34"/>
  <c r="D168" i="34"/>
  <c r="A169" i="34"/>
  <c r="B169" i="34"/>
  <c r="D169" i="34"/>
  <c r="A170" i="34"/>
  <c r="B170" i="34"/>
  <c r="D170" i="34"/>
  <c r="A171" i="34"/>
  <c r="B171" i="34"/>
  <c r="D171" i="34"/>
  <c r="A172" i="34"/>
  <c r="B172" i="34"/>
  <c r="D172" i="34"/>
  <c r="A173" i="34"/>
  <c r="B173" i="34"/>
  <c r="D173" i="34"/>
  <c r="A174" i="34"/>
  <c r="B174" i="34"/>
  <c r="D174" i="34"/>
  <c r="A175" i="34"/>
  <c r="B175" i="34"/>
  <c r="D175" i="34"/>
  <c r="A176" i="34"/>
  <c r="B176" i="34"/>
  <c r="D176" i="34"/>
  <c r="A177" i="34"/>
  <c r="B177" i="34"/>
  <c r="D177" i="34"/>
  <c r="A178" i="34"/>
  <c r="B178" i="34"/>
  <c r="D178" i="34"/>
  <c r="A179" i="34"/>
  <c r="B179" i="34"/>
  <c r="D179" i="34"/>
  <c r="A180" i="34"/>
  <c r="B180" i="34"/>
  <c r="D180" i="34"/>
  <c r="A181" i="34"/>
  <c r="B181" i="34"/>
  <c r="D181" i="34"/>
  <c r="A182" i="34"/>
  <c r="B182" i="34"/>
  <c r="D182" i="34"/>
  <c r="A183" i="34"/>
  <c r="B183" i="34"/>
  <c r="D183" i="34"/>
  <c r="A184" i="34"/>
  <c r="B184" i="34"/>
  <c r="D184" i="34"/>
  <c r="A185" i="34"/>
  <c r="B185" i="34"/>
  <c r="D185" i="34"/>
  <c r="A186" i="34"/>
  <c r="B186" i="34"/>
  <c r="D186" i="34"/>
  <c r="A187" i="34"/>
  <c r="B187" i="34"/>
  <c r="D187" i="34"/>
  <c r="A188" i="34"/>
  <c r="B188" i="34"/>
  <c r="D188" i="34"/>
  <c r="A189" i="34"/>
  <c r="B189" i="34"/>
  <c r="D189" i="34"/>
  <c r="A190" i="34"/>
  <c r="B190" i="34"/>
  <c r="D190" i="34"/>
  <c r="A191" i="34"/>
  <c r="B191" i="34"/>
  <c r="D191" i="34"/>
  <c r="A192" i="34"/>
  <c r="B192" i="34"/>
  <c r="D192" i="34"/>
  <c r="A193" i="34"/>
  <c r="B193" i="34"/>
  <c r="D193" i="34"/>
  <c r="A194" i="34"/>
  <c r="B194" i="34"/>
  <c r="D194" i="34"/>
  <c r="A195" i="34"/>
  <c r="B195" i="34"/>
  <c r="D195" i="34"/>
  <c r="A196" i="34"/>
  <c r="B196" i="34"/>
  <c r="D196" i="34"/>
  <c r="A197" i="34"/>
  <c r="B197" i="34"/>
  <c r="D197" i="34"/>
  <c r="A198" i="34"/>
  <c r="B198" i="34"/>
  <c r="D198" i="34"/>
  <c r="A199" i="34"/>
  <c r="B199" i="34"/>
  <c r="D199" i="34"/>
  <c r="A200" i="34"/>
  <c r="B200" i="34"/>
  <c r="D200" i="34"/>
  <c r="A201" i="34"/>
  <c r="B201" i="34"/>
  <c r="D201" i="34"/>
  <c r="A202" i="34"/>
  <c r="B202" i="34"/>
  <c r="D202" i="34"/>
  <c r="A203" i="34"/>
  <c r="B203" i="34"/>
  <c r="D203" i="34"/>
  <c r="A204" i="34"/>
  <c r="B204" i="34"/>
  <c r="D204" i="34"/>
  <c r="A205" i="34"/>
  <c r="B205" i="34"/>
  <c r="D205" i="34"/>
  <c r="A206" i="34"/>
  <c r="B206" i="34"/>
  <c r="D206" i="34"/>
  <c r="A207" i="34"/>
  <c r="B207" i="34"/>
  <c r="D207" i="34"/>
  <c r="A208" i="34"/>
  <c r="B208" i="34"/>
  <c r="D208" i="34"/>
  <c r="A209" i="34"/>
  <c r="B209" i="34"/>
  <c r="D209" i="34"/>
  <c r="A210" i="34"/>
  <c r="B210" i="34"/>
  <c r="D210" i="34"/>
  <c r="A211" i="34"/>
  <c r="B211" i="34"/>
  <c r="D211" i="34"/>
  <c r="A212" i="34"/>
  <c r="B212" i="34"/>
  <c r="D212" i="34"/>
  <c r="A213" i="34"/>
  <c r="B213" i="34"/>
  <c r="D213" i="34"/>
  <c r="A214" i="34"/>
  <c r="B214" i="34"/>
  <c r="D214" i="34"/>
  <c r="A215" i="34"/>
  <c r="B215" i="34"/>
  <c r="D215" i="34"/>
  <c r="A216" i="34"/>
  <c r="B216" i="34"/>
  <c r="D216" i="34"/>
  <c r="A217" i="34"/>
  <c r="B217" i="34"/>
  <c r="D217" i="34"/>
  <c r="A218" i="34"/>
  <c r="B218" i="34"/>
  <c r="D218" i="34"/>
  <c r="A219" i="34"/>
  <c r="B219" i="34"/>
  <c r="D219" i="34"/>
  <c r="A220" i="34"/>
  <c r="B220" i="34"/>
  <c r="D220" i="34"/>
  <c r="A221" i="34"/>
  <c r="B221" i="34"/>
  <c r="D221" i="34"/>
  <c r="A222" i="34"/>
  <c r="B222" i="34"/>
  <c r="D222" i="34"/>
  <c r="A223" i="34"/>
  <c r="B223" i="34"/>
  <c r="D223" i="34"/>
  <c r="A224" i="34"/>
  <c r="B224" i="34"/>
  <c r="D224" i="34"/>
  <c r="A225" i="34"/>
  <c r="B225" i="34"/>
  <c r="D225" i="34"/>
  <c r="A226" i="34"/>
  <c r="B226" i="34"/>
  <c r="D226" i="34"/>
  <c r="A227" i="34"/>
  <c r="B227" i="34"/>
  <c r="D227" i="34"/>
  <c r="A228" i="34"/>
  <c r="B228" i="34"/>
  <c r="D228" i="34"/>
  <c r="A229" i="34"/>
  <c r="B229" i="34"/>
  <c r="D229" i="34"/>
  <c r="A230" i="34"/>
  <c r="B230" i="34"/>
  <c r="D230" i="34"/>
  <c r="A231" i="34"/>
  <c r="B231" i="34"/>
  <c r="D231" i="34"/>
  <c r="A232" i="34"/>
  <c r="B232" i="34"/>
  <c r="D232" i="34"/>
  <c r="A233" i="34"/>
  <c r="B233" i="34"/>
  <c r="D233" i="34"/>
  <c r="A234" i="34"/>
  <c r="B234" i="34"/>
  <c r="D234" i="34"/>
  <c r="A235" i="34"/>
  <c r="B235" i="34"/>
  <c r="D235" i="34"/>
  <c r="A236" i="34"/>
  <c r="B236" i="34"/>
  <c r="D236" i="34"/>
  <c r="A237" i="34"/>
  <c r="B237" i="34"/>
  <c r="D237" i="34"/>
  <c r="A238" i="34"/>
  <c r="B238" i="34"/>
  <c r="D238" i="34"/>
  <c r="A239" i="34"/>
  <c r="B239" i="34"/>
  <c r="D239" i="34"/>
  <c r="A240" i="34"/>
  <c r="B240" i="34"/>
  <c r="D240" i="34"/>
  <c r="A241" i="34"/>
  <c r="B241" i="34"/>
  <c r="D241" i="34"/>
  <c r="A242" i="34"/>
  <c r="B242" i="34"/>
  <c r="D242" i="34"/>
  <c r="A243" i="34"/>
  <c r="B243" i="34"/>
  <c r="D243" i="34"/>
  <c r="A244" i="34"/>
  <c r="B244" i="34"/>
  <c r="D244" i="34"/>
  <c r="A245" i="34"/>
  <c r="B245" i="34"/>
  <c r="D245" i="34"/>
  <c r="A246" i="34"/>
  <c r="B246" i="34"/>
  <c r="D246" i="34"/>
  <c r="A247" i="34"/>
  <c r="B247" i="34"/>
  <c r="D247" i="34"/>
  <c r="A248" i="34"/>
  <c r="B248" i="34"/>
  <c r="D248" i="34"/>
  <c r="A249" i="34"/>
  <c r="B249" i="34"/>
  <c r="D249" i="34"/>
  <c r="A250" i="34"/>
  <c r="B250" i="34"/>
  <c r="D250" i="34"/>
  <c r="A251" i="34"/>
  <c r="B251" i="34"/>
  <c r="D251" i="34"/>
  <c r="A252" i="34"/>
  <c r="B252" i="34"/>
  <c r="D252" i="34"/>
  <c r="A253" i="34"/>
  <c r="B253" i="34"/>
  <c r="D253" i="34"/>
  <c r="A254" i="34"/>
  <c r="B254" i="34"/>
  <c r="D254" i="34"/>
  <c r="A255" i="34"/>
  <c r="B255" i="34"/>
  <c r="D255" i="34"/>
  <c r="A256" i="34"/>
  <c r="B256" i="34"/>
  <c r="D256" i="34"/>
  <c r="A257" i="34"/>
  <c r="B257" i="34"/>
  <c r="D257" i="34"/>
  <c r="A258" i="34"/>
  <c r="B258" i="34"/>
  <c r="D258" i="34"/>
  <c r="A259" i="34"/>
  <c r="B259" i="34"/>
  <c r="D259" i="34"/>
  <c r="A260" i="34"/>
  <c r="B260" i="34"/>
  <c r="D260" i="34"/>
  <c r="A261" i="34"/>
  <c r="B261" i="34"/>
  <c r="D261" i="34"/>
  <c r="A262" i="34"/>
  <c r="B262" i="34"/>
  <c r="D262" i="34"/>
  <c r="A263" i="34"/>
  <c r="B263" i="34"/>
  <c r="D263" i="34"/>
  <c r="A264" i="34"/>
  <c r="B264" i="34"/>
  <c r="D264" i="34"/>
  <c r="A265" i="34"/>
  <c r="B265" i="34"/>
  <c r="D265" i="34"/>
  <c r="A266" i="34"/>
  <c r="B266" i="34"/>
  <c r="D266" i="34"/>
  <c r="A267" i="34"/>
  <c r="B267" i="34"/>
  <c r="D267" i="34"/>
  <c r="A268" i="34"/>
  <c r="B268" i="34"/>
  <c r="D268" i="34"/>
  <c r="A269" i="34"/>
  <c r="B269" i="34"/>
  <c r="D269" i="34"/>
  <c r="A270" i="34"/>
  <c r="B270" i="34"/>
  <c r="D270" i="34"/>
  <c r="A271" i="34"/>
  <c r="B271" i="34"/>
  <c r="D271" i="34"/>
  <c r="A272" i="34"/>
  <c r="B272" i="34"/>
  <c r="D272" i="34"/>
  <c r="A273" i="34"/>
  <c r="B273" i="34"/>
  <c r="D273" i="34"/>
  <c r="A274" i="34"/>
  <c r="B274" i="34"/>
  <c r="D274" i="34"/>
  <c r="A275" i="34"/>
  <c r="B275" i="34"/>
  <c r="D275" i="34"/>
  <c r="A276" i="34"/>
  <c r="B276" i="34"/>
  <c r="D276" i="34"/>
  <c r="A277" i="34"/>
  <c r="B277" i="34"/>
  <c r="D277" i="34"/>
  <c r="A278" i="34"/>
  <c r="B278" i="34"/>
  <c r="D278" i="34"/>
  <c r="A279" i="34"/>
  <c r="B279" i="34"/>
  <c r="D279" i="34"/>
  <c r="A280" i="34"/>
  <c r="B280" i="34"/>
  <c r="D280" i="34"/>
  <c r="A281" i="34"/>
  <c r="B281" i="34"/>
  <c r="D281" i="34"/>
  <c r="A282" i="34"/>
  <c r="B282" i="34"/>
  <c r="D282" i="34"/>
  <c r="A283" i="34"/>
  <c r="B283" i="34"/>
  <c r="D283" i="34"/>
  <c r="A284" i="34"/>
  <c r="B284" i="34"/>
  <c r="D284" i="34"/>
  <c r="A285" i="34"/>
  <c r="B285" i="34"/>
  <c r="D285" i="34"/>
  <c r="A286" i="34"/>
  <c r="B286" i="34"/>
  <c r="D286" i="34"/>
  <c r="A287" i="34"/>
  <c r="B287" i="34"/>
  <c r="D287" i="34"/>
  <c r="A288" i="34"/>
  <c r="B288" i="34"/>
  <c r="D288" i="34"/>
  <c r="A289" i="34"/>
  <c r="B289" i="34"/>
  <c r="D289" i="34"/>
  <c r="A290" i="34"/>
  <c r="B290" i="34"/>
  <c r="D290" i="34"/>
  <c r="A291" i="34"/>
  <c r="B291" i="34"/>
  <c r="D291" i="34"/>
  <c r="A292" i="34"/>
  <c r="B292" i="34"/>
  <c r="D292" i="34"/>
  <c r="A293" i="34"/>
  <c r="B293" i="34"/>
  <c r="D293" i="34"/>
  <c r="A294" i="34"/>
  <c r="B294" i="34"/>
  <c r="D294" i="34"/>
  <c r="A295" i="34"/>
  <c r="B295" i="34"/>
  <c r="D295" i="34"/>
  <c r="A296" i="34"/>
  <c r="B296" i="34"/>
  <c r="D296" i="34"/>
  <c r="A297" i="34"/>
  <c r="B297" i="34"/>
  <c r="D297" i="34"/>
  <c r="A298" i="34"/>
  <c r="B298" i="34"/>
  <c r="D298" i="34"/>
  <c r="A299" i="34"/>
  <c r="B299" i="34"/>
  <c r="D299" i="34"/>
  <c r="A300" i="34"/>
  <c r="B300" i="34"/>
  <c r="D300" i="34"/>
  <c r="A301" i="34"/>
  <c r="B301" i="34"/>
  <c r="D301" i="34"/>
  <c r="A302" i="34"/>
  <c r="B302" i="34"/>
  <c r="D302" i="34"/>
  <c r="A303" i="34"/>
  <c r="B303" i="34"/>
  <c r="D303" i="34"/>
  <c r="A304" i="34"/>
  <c r="B304" i="34"/>
  <c r="D304" i="34"/>
  <c r="A305" i="34"/>
  <c r="B305" i="34"/>
  <c r="D305" i="34"/>
  <c r="A306" i="34"/>
  <c r="B306" i="34"/>
  <c r="D306" i="34"/>
  <c r="A307" i="34"/>
  <c r="B307" i="34"/>
  <c r="D307" i="34"/>
  <c r="A308" i="34"/>
  <c r="B308" i="34"/>
  <c r="D308" i="34"/>
  <c r="A309" i="34"/>
  <c r="B309" i="34"/>
  <c r="D309" i="34"/>
  <c r="A310" i="34"/>
  <c r="B310" i="34"/>
  <c r="D310" i="34"/>
  <c r="A311" i="34"/>
  <c r="B311" i="34"/>
  <c r="D311" i="34"/>
  <c r="A312" i="34"/>
  <c r="B312" i="34"/>
  <c r="D312" i="34"/>
  <c r="A313" i="34"/>
  <c r="B313" i="34"/>
  <c r="D313" i="34"/>
  <c r="A314" i="34"/>
  <c r="B314" i="34"/>
  <c r="D314" i="34"/>
  <c r="A315" i="34"/>
  <c r="B315" i="34"/>
  <c r="D315" i="34"/>
  <c r="A316" i="34"/>
  <c r="B316" i="34"/>
  <c r="D316" i="34"/>
  <c r="A317" i="34"/>
  <c r="B317" i="34"/>
  <c r="D317" i="34"/>
  <c r="A318" i="34"/>
  <c r="B318" i="34"/>
  <c r="D318" i="34"/>
  <c r="A319" i="34"/>
  <c r="B319" i="34"/>
  <c r="D319" i="34"/>
  <c r="A320" i="34"/>
  <c r="B320" i="34"/>
  <c r="D320" i="34"/>
  <c r="A321" i="34"/>
  <c r="B321" i="34"/>
  <c r="D321" i="34"/>
  <c r="A322" i="34"/>
  <c r="B322" i="34"/>
  <c r="D322" i="34"/>
  <c r="A323" i="34"/>
  <c r="B323" i="34"/>
  <c r="D323" i="34"/>
  <c r="A7" i="37"/>
  <c r="B7" i="37"/>
  <c r="C7" i="37"/>
  <c r="G7" i="37"/>
  <c r="A8" i="37"/>
  <c r="B8" i="37"/>
  <c r="C8" i="37"/>
  <c r="G8" i="37"/>
  <c r="A9" i="37"/>
  <c r="B9" i="37"/>
  <c r="C9" i="37"/>
  <c r="G9" i="37"/>
  <c r="A10" i="37"/>
  <c r="B10" i="37"/>
  <c r="C10" i="37"/>
  <c r="G10" i="37"/>
  <c r="A11" i="37"/>
  <c r="B11" i="37"/>
  <c r="C11" i="37"/>
  <c r="G11" i="37"/>
  <c r="A12" i="37"/>
  <c r="B12" i="37"/>
  <c r="C12" i="37"/>
  <c r="G12" i="37"/>
  <c r="A13" i="37"/>
  <c r="B13" i="37"/>
  <c r="C13" i="37"/>
  <c r="G13" i="37"/>
  <c r="A14" i="37"/>
  <c r="B14" i="37"/>
  <c r="C14" i="37"/>
  <c r="G14" i="37"/>
  <c r="A15" i="37"/>
  <c r="B15" i="37"/>
  <c r="C15" i="37"/>
  <c r="G15" i="37"/>
  <c r="A16" i="37"/>
  <c r="B16" i="37"/>
  <c r="C16" i="37"/>
  <c r="G16" i="37"/>
  <c r="A17" i="37"/>
  <c r="B17" i="37"/>
  <c r="C17" i="37"/>
  <c r="G17" i="37"/>
  <c r="A18" i="37"/>
  <c r="B18" i="37"/>
  <c r="C18" i="37"/>
  <c r="G18" i="37"/>
  <c r="A19" i="37"/>
  <c r="B19" i="37"/>
  <c r="C19" i="37"/>
  <c r="G19" i="37"/>
  <c r="A20" i="37"/>
  <c r="B20" i="37"/>
  <c r="C20" i="37"/>
  <c r="G20" i="37"/>
  <c r="A21" i="37"/>
  <c r="B21" i="37"/>
  <c r="C21" i="37"/>
  <c r="G21" i="37"/>
  <c r="A22" i="37"/>
  <c r="B22" i="37"/>
  <c r="C22" i="37"/>
  <c r="G22" i="37"/>
  <c r="A23" i="37"/>
  <c r="B23" i="37"/>
  <c r="C23" i="37"/>
  <c r="G23" i="37"/>
  <c r="A24" i="37"/>
  <c r="B24" i="37"/>
  <c r="C24" i="37"/>
  <c r="G24" i="37"/>
  <c r="A25" i="37"/>
  <c r="B25" i="37"/>
  <c r="C25" i="37"/>
  <c r="G25" i="37"/>
  <c r="A26" i="37"/>
  <c r="B26" i="37"/>
  <c r="C26" i="37"/>
  <c r="G26" i="37"/>
  <c r="A27" i="37"/>
  <c r="B27" i="37"/>
  <c r="C27" i="37"/>
  <c r="G27" i="37"/>
  <c r="A28" i="37"/>
  <c r="B28" i="37"/>
  <c r="C28" i="37"/>
  <c r="G28" i="37"/>
  <c r="A29" i="37"/>
  <c r="B29" i="37"/>
  <c r="C29" i="37"/>
  <c r="G29" i="37"/>
  <c r="A30" i="37"/>
  <c r="B30" i="37"/>
  <c r="C30" i="37"/>
  <c r="G30" i="37"/>
  <c r="A31" i="37"/>
  <c r="B31" i="37"/>
  <c r="C31" i="37"/>
  <c r="G31" i="37"/>
  <c r="A32" i="37"/>
  <c r="B32" i="37"/>
  <c r="C32" i="37"/>
  <c r="G32" i="37"/>
  <c r="A33" i="37"/>
  <c r="B33" i="37"/>
  <c r="C33" i="37"/>
  <c r="G33" i="37"/>
  <c r="A34" i="37"/>
  <c r="B34" i="37"/>
  <c r="C34" i="37"/>
  <c r="G34" i="37"/>
  <c r="A35" i="37"/>
  <c r="B35" i="37"/>
  <c r="C35" i="37"/>
  <c r="G35" i="37"/>
  <c r="A36" i="37"/>
  <c r="B36" i="37"/>
  <c r="C36" i="37"/>
  <c r="G36" i="37"/>
  <c r="A37" i="37"/>
  <c r="B37" i="37"/>
  <c r="C37" i="37"/>
  <c r="G37" i="37"/>
  <c r="A38" i="37"/>
  <c r="B38" i="37"/>
  <c r="C38" i="37"/>
  <c r="G38" i="37"/>
  <c r="A39" i="37"/>
  <c r="B39" i="37"/>
  <c r="C39" i="37"/>
  <c r="G39" i="37"/>
  <c r="A40" i="37"/>
  <c r="B40" i="37"/>
  <c r="C40" i="37"/>
  <c r="G40" i="37"/>
  <c r="A41" i="37"/>
  <c r="B41" i="37"/>
  <c r="C41" i="37"/>
  <c r="G41" i="37"/>
  <c r="A42" i="37"/>
  <c r="B42" i="37"/>
  <c r="C42" i="37"/>
  <c r="G42" i="37"/>
  <c r="A43" i="37"/>
  <c r="B43" i="37"/>
  <c r="C43" i="37"/>
  <c r="G43" i="37"/>
  <c r="A44" i="37"/>
  <c r="B44" i="37"/>
  <c r="C44" i="37"/>
  <c r="G44" i="37"/>
  <c r="A45" i="37"/>
  <c r="B45" i="37"/>
  <c r="C45" i="37"/>
  <c r="G45" i="37"/>
  <c r="A46" i="37"/>
  <c r="B46" i="37"/>
  <c r="C46" i="37"/>
  <c r="G46" i="37"/>
  <c r="A47" i="37"/>
  <c r="B47" i="37"/>
  <c r="C47" i="37"/>
  <c r="G47" i="37"/>
  <c r="A48" i="37"/>
  <c r="B48" i="37"/>
  <c r="C48" i="37"/>
  <c r="G48" i="37"/>
  <c r="A49" i="37"/>
  <c r="B49" i="37"/>
  <c r="C49" i="37"/>
  <c r="G49" i="37"/>
  <c r="A50" i="37"/>
  <c r="B50" i="37"/>
  <c r="C50" i="37"/>
  <c r="G50" i="37"/>
  <c r="A51" i="37"/>
  <c r="B51" i="37"/>
  <c r="C51" i="37"/>
  <c r="G51" i="37"/>
  <c r="A52" i="37"/>
  <c r="B52" i="37"/>
  <c r="C52" i="37"/>
  <c r="G52" i="37"/>
  <c r="A53" i="37"/>
  <c r="B53" i="37"/>
  <c r="C53" i="37"/>
  <c r="G53" i="37"/>
  <c r="A54" i="37"/>
  <c r="B54" i="37"/>
  <c r="C54" i="37"/>
  <c r="G54" i="37"/>
  <c r="A55" i="37"/>
  <c r="B55" i="37"/>
  <c r="C55" i="37"/>
  <c r="G55" i="37"/>
  <c r="A56" i="37"/>
  <c r="B56" i="37"/>
  <c r="C56" i="37"/>
  <c r="G56" i="37"/>
  <c r="A57" i="37"/>
  <c r="B57" i="37"/>
  <c r="C57" i="37"/>
  <c r="G57" i="37"/>
  <c r="A58" i="37"/>
  <c r="B58" i="37"/>
  <c r="C58" i="37"/>
  <c r="G58" i="37"/>
  <c r="A59" i="37"/>
  <c r="B59" i="37"/>
  <c r="C59" i="37"/>
  <c r="G59" i="37"/>
  <c r="A60" i="37"/>
  <c r="B60" i="37"/>
  <c r="C60" i="37"/>
  <c r="G60" i="37"/>
  <c r="A61" i="37"/>
  <c r="B61" i="37"/>
  <c r="C61" i="37"/>
  <c r="G61" i="37"/>
  <c r="A62" i="37"/>
  <c r="B62" i="37"/>
  <c r="C62" i="37"/>
  <c r="G62" i="37"/>
  <c r="A63" i="37"/>
  <c r="B63" i="37"/>
  <c r="C63" i="37"/>
  <c r="G63" i="37"/>
  <c r="A64" i="37"/>
  <c r="B64" i="37"/>
  <c r="C64" i="37"/>
  <c r="G64" i="37"/>
  <c r="A65" i="37"/>
  <c r="B65" i="37"/>
  <c r="C65" i="37"/>
  <c r="G65" i="37"/>
  <c r="A66" i="37"/>
  <c r="B66" i="37"/>
  <c r="C66" i="37"/>
  <c r="G66" i="37"/>
  <c r="A67" i="37"/>
  <c r="B67" i="37"/>
  <c r="C67" i="37"/>
  <c r="G67" i="37"/>
  <c r="A68" i="37"/>
  <c r="B68" i="37"/>
  <c r="C68" i="37"/>
  <c r="G68" i="37"/>
  <c r="A69" i="37"/>
  <c r="B69" i="37"/>
  <c r="C69" i="37"/>
  <c r="G69" i="37"/>
  <c r="A70" i="37"/>
  <c r="B70" i="37"/>
  <c r="C70" i="37"/>
  <c r="G70" i="37"/>
  <c r="A71" i="37"/>
  <c r="B71" i="37"/>
  <c r="C71" i="37"/>
  <c r="G71" i="37"/>
  <c r="A72" i="37"/>
  <c r="B72" i="37"/>
  <c r="C72" i="37"/>
  <c r="G72" i="37"/>
  <c r="A73" i="37"/>
  <c r="B73" i="37"/>
  <c r="C73" i="37"/>
  <c r="G73" i="37"/>
  <c r="A74" i="37"/>
  <c r="B74" i="37"/>
  <c r="C74" i="37"/>
  <c r="G74" i="37"/>
  <c r="A75" i="37"/>
  <c r="B75" i="37"/>
  <c r="C75" i="37"/>
  <c r="G75" i="37"/>
  <c r="A76" i="37"/>
  <c r="B76" i="37"/>
  <c r="C76" i="37"/>
  <c r="G76" i="37"/>
  <c r="A77" i="37"/>
  <c r="B77" i="37"/>
  <c r="C77" i="37"/>
  <c r="G77" i="37"/>
  <c r="A78" i="37"/>
  <c r="B78" i="37"/>
  <c r="C78" i="37"/>
  <c r="G78" i="37"/>
  <c r="A79" i="37"/>
  <c r="B79" i="37"/>
  <c r="C79" i="37"/>
  <c r="G79" i="37"/>
  <c r="A80" i="37"/>
  <c r="B80" i="37"/>
  <c r="C80" i="37"/>
  <c r="G80" i="37"/>
  <c r="A81" i="37"/>
  <c r="B81" i="37"/>
  <c r="C81" i="37"/>
  <c r="G81" i="37"/>
  <c r="A82" i="37"/>
  <c r="B82" i="37"/>
  <c r="C82" i="37"/>
  <c r="G82" i="37"/>
  <c r="A83" i="37"/>
  <c r="B83" i="37"/>
  <c r="C83" i="37"/>
  <c r="G83" i="37"/>
  <c r="A84" i="37"/>
  <c r="B84" i="37"/>
  <c r="C84" i="37"/>
  <c r="G84" i="37"/>
  <c r="A85" i="37"/>
  <c r="B85" i="37"/>
  <c r="C85" i="37"/>
  <c r="G85" i="37"/>
  <c r="A86" i="37"/>
  <c r="B86" i="37"/>
  <c r="C86" i="37"/>
  <c r="G86" i="37"/>
  <c r="A87" i="37"/>
  <c r="B87" i="37"/>
  <c r="C87" i="37"/>
  <c r="G87" i="37"/>
  <c r="A88" i="37"/>
  <c r="B88" i="37"/>
  <c r="C88" i="37"/>
  <c r="G88" i="37"/>
  <c r="A89" i="37"/>
  <c r="B89" i="37"/>
  <c r="C89" i="37"/>
  <c r="G89" i="37"/>
  <c r="A90" i="37"/>
  <c r="B90" i="37"/>
  <c r="C90" i="37"/>
  <c r="G90" i="37"/>
  <c r="A91" i="37"/>
  <c r="B91" i="37"/>
  <c r="C91" i="37"/>
  <c r="G91" i="37"/>
  <c r="A92" i="37"/>
  <c r="B92" i="37"/>
  <c r="C92" i="37"/>
  <c r="G92" i="37"/>
  <c r="A93" i="37"/>
  <c r="B93" i="37"/>
  <c r="C93" i="37"/>
  <c r="G93" i="37"/>
  <c r="A94" i="37"/>
  <c r="B94" i="37"/>
  <c r="C94" i="37"/>
  <c r="G94" i="37"/>
  <c r="A95" i="37"/>
  <c r="B95" i="37"/>
  <c r="C95" i="37"/>
  <c r="G95" i="37"/>
  <c r="A96" i="37"/>
  <c r="B96" i="37"/>
  <c r="C96" i="37"/>
  <c r="G96" i="37"/>
  <c r="A97" i="37"/>
  <c r="B97" i="37"/>
  <c r="C97" i="37"/>
  <c r="G97" i="37"/>
  <c r="A98" i="37"/>
  <c r="B98" i="37"/>
  <c r="C98" i="37"/>
  <c r="G98" i="37"/>
  <c r="A99" i="37"/>
  <c r="B99" i="37"/>
  <c r="C99" i="37"/>
  <c r="G99" i="37"/>
  <c r="A100" i="37"/>
  <c r="B100" i="37"/>
  <c r="C100" i="37"/>
  <c r="G100" i="37"/>
  <c r="A101" i="37"/>
  <c r="B101" i="37"/>
  <c r="C101" i="37"/>
  <c r="G101" i="37"/>
  <c r="A102" i="37"/>
  <c r="B102" i="37"/>
  <c r="C102" i="37"/>
  <c r="G102" i="37"/>
  <c r="A103" i="37"/>
  <c r="B103" i="37"/>
  <c r="C103" i="37"/>
  <c r="G103" i="37"/>
  <c r="A104" i="37"/>
  <c r="B104" i="37"/>
  <c r="C104" i="37"/>
  <c r="G104" i="37"/>
  <c r="A105" i="37"/>
  <c r="B105" i="37"/>
  <c r="C105" i="37"/>
  <c r="G105" i="37"/>
  <c r="A106" i="37"/>
  <c r="B106" i="37"/>
  <c r="C106" i="37"/>
  <c r="G106" i="37"/>
  <c r="A107" i="37"/>
  <c r="B107" i="37"/>
  <c r="C107" i="37"/>
  <c r="G107" i="37"/>
  <c r="A108" i="37"/>
  <c r="B108" i="37"/>
  <c r="C108" i="37"/>
  <c r="G108" i="37"/>
  <c r="A109" i="37"/>
  <c r="B109" i="37"/>
  <c r="C109" i="37"/>
  <c r="G109" i="37"/>
  <c r="A110" i="37"/>
  <c r="B110" i="37"/>
  <c r="C110" i="37"/>
  <c r="G110" i="37"/>
  <c r="A111" i="37"/>
  <c r="B111" i="37"/>
  <c r="C111" i="37"/>
  <c r="G111" i="37"/>
  <c r="A112" i="37"/>
  <c r="B112" i="37"/>
  <c r="C112" i="37"/>
  <c r="G112" i="37"/>
  <c r="A113" i="37"/>
  <c r="B113" i="37"/>
  <c r="C113" i="37"/>
  <c r="G113" i="37"/>
  <c r="A114" i="37"/>
  <c r="B114" i="37"/>
  <c r="C114" i="37"/>
  <c r="G114" i="37"/>
  <c r="A115" i="37"/>
  <c r="B115" i="37"/>
  <c r="C115" i="37"/>
  <c r="G115" i="37"/>
  <c r="A116" i="37"/>
  <c r="B116" i="37"/>
  <c r="C116" i="37"/>
  <c r="G116" i="37"/>
  <c r="A117" i="37"/>
  <c r="B117" i="37"/>
  <c r="C117" i="37"/>
  <c r="G117" i="37"/>
  <c r="A118" i="37"/>
  <c r="B118" i="37"/>
  <c r="C118" i="37"/>
  <c r="G118" i="37"/>
  <c r="A119" i="37"/>
  <c r="B119" i="37"/>
  <c r="C119" i="37"/>
  <c r="G119" i="37"/>
  <c r="A120" i="37"/>
  <c r="B120" i="37"/>
  <c r="C120" i="37"/>
  <c r="G120" i="37"/>
  <c r="A121" i="37"/>
  <c r="B121" i="37"/>
  <c r="C121" i="37"/>
  <c r="G121" i="37"/>
  <c r="A122" i="37"/>
  <c r="B122" i="37"/>
  <c r="C122" i="37"/>
  <c r="G122" i="37"/>
  <c r="A123" i="37"/>
  <c r="B123" i="37"/>
  <c r="C123" i="37"/>
  <c r="G123" i="37"/>
  <c r="A124" i="37"/>
  <c r="B124" i="37"/>
  <c r="C124" i="37"/>
  <c r="G124" i="37"/>
  <c r="A125" i="37"/>
  <c r="B125" i="37"/>
  <c r="C125" i="37"/>
  <c r="G125" i="37"/>
  <c r="A126" i="37"/>
  <c r="B126" i="37"/>
  <c r="C126" i="37"/>
  <c r="G126" i="37"/>
  <c r="A127" i="37"/>
  <c r="B127" i="37"/>
  <c r="C127" i="37"/>
  <c r="G127" i="37"/>
  <c r="A128" i="37"/>
  <c r="B128" i="37"/>
  <c r="C128" i="37"/>
  <c r="G128" i="37"/>
  <c r="A129" i="37"/>
  <c r="B129" i="37"/>
  <c r="C129" i="37"/>
  <c r="G129" i="37"/>
  <c r="A130" i="37"/>
  <c r="B130" i="37"/>
  <c r="C130" i="37"/>
  <c r="G130" i="37"/>
  <c r="A131" i="37"/>
  <c r="B131" i="37"/>
  <c r="C131" i="37"/>
  <c r="G131" i="37"/>
  <c r="A132" i="37"/>
  <c r="B132" i="37"/>
  <c r="C132" i="37"/>
  <c r="G132" i="37"/>
  <c r="A133" i="37"/>
  <c r="B133" i="37"/>
  <c r="C133" i="37"/>
  <c r="G133" i="37"/>
  <c r="A134" i="37"/>
  <c r="B134" i="37"/>
  <c r="C134" i="37"/>
  <c r="G134" i="37"/>
  <c r="A135" i="37"/>
  <c r="B135" i="37"/>
  <c r="C135" i="37"/>
  <c r="G135" i="37"/>
  <c r="A136" i="37"/>
  <c r="B136" i="37"/>
  <c r="C136" i="37"/>
  <c r="G136" i="37"/>
  <c r="A137" i="37"/>
  <c r="B137" i="37"/>
  <c r="C137" i="37"/>
  <c r="G137" i="37"/>
  <c r="A138" i="37"/>
  <c r="B138" i="37"/>
  <c r="C138" i="37"/>
  <c r="G138" i="37"/>
  <c r="A139" i="37"/>
  <c r="B139" i="37"/>
  <c r="C139" i="37"/>
  <c r="G139" i="37"/>
  <c r="A140" i="37"/>
  <c r="B140" i="37"/>
  <c r="C140" i="37"/>
  <c r="G140" i="37"/>
  <c r="A141" i="37"/>
  <c r="B141" i="37"/>
  <c r="C141" i="37"/>
  <c r="G141" i="37"/>
  <c r="A142" i="37"/>
  <c r="B142" i="37"/>
  <c r="C142" i="37"/>
  <c r="G142" i="37"/>
  <c r="A143" i="37"/>
  <c r="B143" i="37"/>
  <c r="C143" i="37"/>
  <c r="G143" i="37"/>
  <c r="A144" i="37"/>
  <c r="B144" i="37"/>
  <c r="C144" i="37"/>
  <c r="G144" i="37"/>
  <c r="A145" i="37"/>
  <c r="B145" i="37"/>
  <c r="C145" i="37"/>
  <c r="G145" i="37"/>
  <c r="A146" i="37"/>
  <c r="B146" i="37"/>
  <c r="C146" i="37"/>
  <c r="G146" i="37"/>
  <c r="A147" i="37"/>
  <c r="B147" i="37"/>
  <c r="C147" i="37"/>
  <c r="G147" i="37"/>
  <c r="A148" i="37"/>
  <c r="B148" i="37"/>
  <c r="C148" i="37"/>
  <c r="G148" i="37"/>
  <c r="A149" i="37"/>
  <c r="B149" i="37"/>
  <c r="C149" i="37"/>
  <c r="G149" i="37"/>
  <c r="A150" i="37"/>
  <c r="B150" i="37"/>
  <c r="C150" i="37"/>
  <c r="G150" i="37"/>
  <c r="A151" i="37"/>
  <c r="B151" i="37"/>
  <c r="C151" i="37"/>
  <c r="G151" i="37"/>
  <c r="A152" i="37"/>
  <c r="B152" i="37"/>
  <c r="C152" i="37"/>
  <c r="G152" i="37"/>
  <c r="A153" i="37"/>
  <c r="B153" i="37"/>
  <c r="C153" i="37"/>
  <c r="G153" i="37"/>
  <c r="A154" i="37"/>
  <c r="B154" i="37"/>
  <c r="C154" i="37"/>
  <c r="G154" i="37"/>
  <c r="A155" i="37"/>
  <c r="B155" i="37"/>
  <c r="C155" i="37"/>
  <c r="G155" i="37"/>
  <c r="A156" i="37"/>
  <c r="B156" i="37"/>
  <c r="C156" i="37"/>
  <c r="G156" i="37"/>
  <c r="A157" i="37"/>
  <c r="B157" i="37"/>
  <c r="C157" i="37"/>
  <c r="G157" i="37"/>
  <c r="A158" i="37"/>
  <c r="B158" i="37"/>
  <c r="C158" i="37"/>
  <c r="G158" i="37"/>
  <c r="A159" i="37"/>
  <c r="B159" i="37"/>
  <c r="C159" i="37"/>
  <c r="G159" i="37"/>
  <c r="A160" i="37"/>
  <c r="B160" i="37"/>
  <c r="C160" i="37"/>
  <c r="G160" i="37"/>
  <c r="A161" i="37"/>
  <c r="B161" i="37"/>
  <c r="C161" i="37"/>
  <c r="G161" i="37"/>
  <c r="A162" i="37"/>
  <c r="B162" i="37"/>
  <c r="C162" i="37"/>
  <c r="G162" i="37"/>
  <c r="A163" i="37"/>
  <c r="B163" i="37"/>
  <c r="C163" i="37"/>
  <c r="G163" i="37"/>
  <c r="A164" i="37"/>
  <c r="B164" i="37"/>
  <c r="C164" i="37"/>
  <c r="G164" i="37"/>
  <c r="A165" i="37"/>
  <c r="B165" i="37"/>
  <c r="C165" i="37"/>
  <c r="G165" i="37"/>
  <c r="A166" i="37"/>
  <c r="B166" i="37"/>
  <c r="C166" i="37"/>
  <c r="G166" i="37"/>
  <c r="A167" i="37"/>
  <c r="B167" i="37"/>
  <c r="C167" i="37"/>
  <c r="G167" i="37"/>
  <c r="A168" i="37"/>
  <c r="B168" i="37"/>
  <c r="C168" i="37"/>
  <c r="G168" i="37"/>
  <c r="A169" i="37"/>
  <c r="B169" i="37"/>
  <c r="C169" i="37"/>
  <c r="G169" i="37"/>
  <c r="A170" i="37"/>
  <c r="B170" i="37"/>
  <c r="C170" i="37"/>
  <c r="G170" i="37"/>
  <c r="A171" i="37"/>
  <c r="B171" i="37"/>
  <c r="C171" i="37"/>
  <c r="G171" i="37"/>
  <c r="A172" i="37"/>
  <c r="B172" i="37"/>
  <c r="C172" i="37"/>
  <c r="G172" i="37"/>
  <c r="A173" i="37"/>
  <c r="B173" i="37"/>
  <c r="C173" i="37"/>
  <c r="G173" i="37"/>
  <c r="A174" i="37"/>
  <c r="B174" i="37"/>
  <c r="C174" i="37"/>
  <c r="G174" i="37"/>
  <c r="A175" i="37"/>
  <c r="B175" i="37"/>
  <c r="C175" i="37"/>
  <c r="G175" i="37"/>
  <c r="A176" i="37"/>
  <c r="B176" i="37"/>
  <c r="C176" i="37"/>
  <c r="G176" i="37"/>
  <c r="A177" i="37"/>
  <c r="B177" i="37"/>
  <c r="C177" i="37"/>
  <c r="G177" i="37"/>
  <c r="A178" i="37"/>
  <c r="B178" i="37"/>
  <c r="C178" i="37"/>
  <c r="G178" i="37"/>
  <c r="A179" i="37"/>
  <c r="B179" i="37"/>
  <c r="C179" i="37"/>
  <c r="G179" i="37"/>
  <c r="A180" i="37"/>
  <c r="B180" i="37"/>
  <c r="C180" i="37"/>
  <c r="G180" i="37"/>
  <c r="A181" i="37"/>
  <c r="B181" i="37"/>
  <c r="C181" i="37"/>
  <c r="G181" i="37"/>
  <c r="A182" i="37"/>
  <c r="B182" i="37"/>
  <c r="C182" i="37"/>
  <c r="G182" i="37"/>
  <c r="A183" i="37"/>
  <c r="B183" i="37"/>
  <c r="C183" i="37"/>
  <c r="G183" i="37"/>
  <c r="A184" i="37"/>
  <c r="B184" i="37"/>
  <c r="C184" i="37"/>
  <c r="G184" i="37"/>
  <c r="A185" i="37"/>
  <c r="B185" i="37"/>
  <c r="C185" i="37"/>
  <c r="G185" i="37"/>
  <c r="A186" i="37"/>
  <c r="B186" i="37"/>
  <c r="C186" i="37"/>
  <c r="G186" i="37"/>
  <c r="A187" i="37"/>
  <c r="B187" i="37"/>
  <c r="C187" i="37"/>
  <c r="G187" i="37"/>
  <c r="A188" i="37"/>
  <c r="B188" i="37"/>
  <c r="C188" i="37"/>
  <c r="G188" i="37"/>
  <c r="A189" i="37"/>
  <c r="B189" i="37"/>
  <c r="C189" i="37"/>
  <c r="G189" i="37"/>
  <c r="A190" i="37"/>
  <c r="B190" i="37"/>
  <c r="C190" i="37"/>
  <c r="G190" i="37"/>
  <c r="A191" i="37"/>
  <c r="B191" i="37"/>
  <c r="C191" i="37"/>
  <c r="G191" i="37"/>
  <c r="A192" i="37"/>
  <c r="B192" i="37"/>
  <c r="C192" i="37"/>
  <c r="G192" i="37"/>
  <c r="A193" i="37"/>
  <c r="B193" i="37"/>
  <c r="C193" i="37"/>
  <c r="G193" i="37"/>
  <c r="A194" i="37"/>
  <c r="B194" i="37"/>
  <c r="C194" i="37"/>
  <c r="G194" i="37"/>
  <c r="A195" i="37"/>
  <c r="B195" i="37"/>
  <c r="C195" i="37"/>
  <c r="G195" i="37"/>
  <c r="A196" i="37"/>
  <c r="B196" i="37"/>
  <c r="C196" i="37"/>
  <c r="G196" i="37"/>
  <c r="A197" i="37"/>
  <c r="B197" i="37"/>
  <c r="C197" i="37"/>
  <c r="G197" i="37"/>
  <c r="A198" i="37"/>
  <c r="B198" i="37"/>
  <c r="C198" i="37"/>
  <c r="G198" i="37"/>
  <c r="A199" i="37"/>
  <c r="B199" i="37"/>
  <c r="C199" i="37"/>
  <c r="G199" i="37"/>
  <c r="A200" i="37"/>
  <c r="B200" i="37"/>
  <c r="C200" i="37"/>
  <c r="G200" i="37"/>
  <c r="A201" i="37"/>
  <c r="B201" i="37"/>
  <c r="C201" i="37"/>
  <c r="G201" i="37"/>
  <c r="A202" i="37"/>
  <c r="B202" i="37"/>
  <c r="C202" i="37"/>
  <c r="G202" i="37"/>
  <c r="A203" i="37"/>
  <c r="B203" i="37"/>
  <c r="C203" i="37"/>
  <c r="G203" i="37"/>
  <c r="A204" i="37"/>
  <c r="B204" i="37"/>
  <c r="C204" i="37"/>
  <c r="G204" i="37"/>
  <c r="A205" i="37"/>
  <c r="B205" i="37"/>
  <c r="C205" i="37"/>
  <c r="G205" i="37"/>
  <c r="A206" i="37"/>
  <c r="B206" i="37"/>
  <c r="C206" i="37"/>
  <c r="G206" i="37"/>
  <c r="A207" i="37"/>
  <c r="B207" i="37"/>
  <c r="C207" i="37"/>
  <c r="G207" i="37"/>
  <c r="A208" i="37"/>
  <c r="B208" i="37"/>
  <c r="C208" i="37"/>
  <c r="G208" i="37"/>
  <c r="A209" i="37"/>
  <c r="B209" i="37"/>
  <c r="C209" i="37"/>
  <c r="G209" i="37"/>
  <c r="A210" i="37"/>
  <c r="B210" i="37"/>
  <c r="C210" i="37"/>
  <c r="G210" i="37"/>
  <c r="A211" i="37"/>
  <c r="B211" i="37"/>
  <c r="C211" i="37"/>
  <c r="G211" i="37"/>
  <c r="A212" i="37"/>
  <c r="B212" i="37"/>
  <c r="C212" i="37"/>
  <c r="G212" i="37"/>
  <c r="A213" i="37"/>
  <c r="B213" i="37"/>
  <c r="C213" i="37"/>
  <c r="G213" i="37"/>
  <c r="A214" i="37"/>
  <c r="B214" i="37"/>
  <c r="C214" i="37"/>
  <c r="G214" i="37"/>
  <c r="A215" i="37"/>
  <c r="B215" i="37"/>
  <c r="C215" i="37"/>
  <c r="G215" i="37"/>
  <c r="A216" i="37"/>
  <c r="B216" i="37"/>
  <c r="C216" i="37"/>
  <c r="G216" i="37"/>
  <c r="A217" i="37"/>
  <c r="B217" i="37"/>
  <c r="C217" i="37"/>
  <c r="G217" i="37"/>
  <c r="A218" i="37"/>
  <c r="B218" i="37"/>
  <c r="C218" i="37"/>
  <c r="G218" i="37"/>
  <c r="A219" i="37"/>
  <c r="B219" i="37"/>
  <c r="C219" i="37"/>
  <c r="G219" i="37"/>
  <c r="A220" i="37"/>
  <c r="B220" i="37"/>
  <c r="C220" i="37"/>
  <c r="G220" i="37"/>
  <c r="A221" i="37"/>
  <c r="B221" i="37"/>
  <c r="C221" i="37"/>
  <c r="G221" i="37"/>
  <c r="A222" i="37"/>
  <c r="B222" i="37"/>
  <c r="C222" i="37"/>
  <c r="G222" i="37"/>
  <c r="A223" i="37"/>
  <c r="B223" i="37"/>
  <c r="C223" i="37"/>
  <c r="G223" i="37"/>
  <c r="A224" i="37"/>
  <c r="B224" i="37"/>
  <c r="C224" i="37"/>
  <c r="G224" i="37"/>
  <c r="A225" i="37"/>
  <c r="B225" i="37"/>
  <c r="C225" i="37"/>
  <c r="G225" i="37"/>
  <c r="A226" i="37"/>
  <c r="B226" i="37"/>
  <c r="C226" i="37"/>
  <c r="G226" i="37"/>
  <c r="A227" i="37"/>
  <c r="B227" i="37"/>
  <c r="C227" i="37"/>
  <c r="G227" i="37"/>
  <c r="A228" i="37"/>
  <c r="B228" i="37"/>
  <c r="C228" i="37"/>
  <c r="G228" i="37"/>
  <c r="A229" i="37"/>
  <c r="B229" i="37"/>
  <c r="C229" i="37"/>
  <c r="G229" i="37"/>
  <c r="A230" i="37"/>
  <c r="B230" i="37"/>
  <c r="C230" i="37"/>
  <c r="G230" i="37"/>
  <c r="A231" i="37"/>
  <c r="B231" i="37"/>
  <c r="C231" i="37"/>
  <c r="G231" i="37"/>
  <c r="A232" i="37"/>
  <c r="B232" i="37"/>
  <c r="C232" i="37"/>
  <c r="G232" i="37"/>
  <c r="A233" i="37"/>
  <c r="B233" i="37"/>
  <c r="C233" i="37"/>
  <c r="G233" i="37"/>
  <c r="A234" i="37"/>
  <c r="B234" i="37"/>
  <c r="C234" i="37"/>
  <c r="G234" i="37"/>
  <c r="A235" i="37"/>
  <c r="B235" i="37"/>
  <c r="C235" i="37"/>
  <c r="G235" i="37"/>
  <c r="A236" i="37"/>
  <c r="B236" i="37"/>
  <c r="C236" i="37"/>
  <c r="G236" i="37"/>
  <c r="A237" i="37"/>
  <c r="B237" i="37"/>
  <c r="C237" i="37"/>
  <c r="G237" i="37"/>
  <c r="A238" i="37"/>
  <c r="B238" i="37"/>
  <c r="C238" i="37"/>
  <c r="G238" i="37"/>
  <c r="A239" i="37"/>
  <c r="B239" i="37"/>
  <c r="C239" i="37"/>
  <c r="G239" i="37"/>
  <c r="A240" i="37"/>
  <c r="B240" i="37"/>
  <c r="C240" i="37"/>
  <c r="G240" i="37"/>
  <c r="A241" i="37"/>
  <c r="B241" i="37"/>
  <c r="C241" i="37"/>
  <c r="G241" i="37"/>
  <c r="A242" i="37"/>
  <c r="B242" i="37"/>
  <c r="C242" i="37"/>
  <c r="G242" i="37"/>
  <c r="A243" i="37"/>
  <c r="B243" i="37"/>
  <c r="C243" i="37"/>
  <c r="G243" i="37"/>
  <c r="A244" i="37"/>
  <c r="B244" i="37"/>
  <c r="C244" i="37"/>
  <c r="G244" i="37"/>
  <c r="A245" i="37"/>
  <c r="B245" i="37"/>
  <c r="C245" i="37"/>
  <c r="G245" i="37"/>
  <c r="A246" i="37"/>
  <c r="B246" i="37"/>
  <c r="C246" i="37"/>
  <c r="G246" i="37"/>
  <c r="A247" i="37"/>
  <c r="B247" i="37"/>
  <c r="C247" i="37"/>
  <c r="G247" i="37"/>
  <c r="A248" i="37"/>
  <c r="B248" i="37"/>
  <c r="C248" i="37"/>
  <c r="G248" i="37"/>
  <c r="A249" i="37"/>
  <c r="B249" i="37"/>
  <c r="C249" i="37"/>
  <c r="G249" i="37"/>
  <c r="A250" i="37"/>
  <c r="B250" i="37"/>
  <c r="C250" i="37"/>
  <c r="G250" i="37"/>
  <c r="A251" i="37"/>
  <c r="B251" i="37"/>
  <c r="C251" i="37"/>
  <c r="G251" i="37"/>
  <c r="A252" i="37"/>
  <c r="B252" i="37"/>
  <c r="C252" i="37"/>
  <c r="G252" i="37"/>
  <c r="A253" i="37"/>
  <c r="B253" i="37"/>
  <c r="C253" i="37"/>
  <c r="G253" i="37"/>
  <c r="A254" i="37"/>
  <c r="B254" i="37"/>
  <c r="C254" i="37"/>
  <c r="G254" i="37"/>
  <c r="A255" i="37"/>
  <c r="B255" i="37"/>
  <c r="C255" i="37"/>
  <c r="G255" i="37"/>
  <c r="A256" i="37"/>
  <c r="B256" i="37"/>
  <c r="C256" i="37"/>
  <c r="G256" i="37"/>
  <c r="A257" i="37"/>
  <c r="B257" i="37"/>
  <c r="C257" i="37"/>
  <c r="G257" i="37"/>
  <c r="A258" i="37"/>
  <c r="B258" i="37"/>
  <c r="C258" i="37"/>
  <c r="G258" i="37"/>
  <c r="A259" i="37"/>
  <c r="B259" i="37"/>
  <c r="C259" i="37"/>
  <c r="G259" i="37"/>
  <c r="A260" i="37"/>
  <c r="B260" i="37"/>
  <c r="C260" i="37"/>
  <c r="G260" i="37"/>
  <c r="A261" i="37"/>
  <c r="B261" i="37"/>
  <c r="C261" i="37"/>
  <c r="G261" i="37"/>
  <c r="A262" i="37"/>
  <c r="B262" i="37"/>
  <c r="C262" i="37"/>
  <c r="G262" i="37"/>
  <c r="A263" i="37"/>
  <c r="B263" i="37"/>
  <c r="C263" i="37"/>
  <c r="G263" i="37"/>
  <c r="A264" i="37"/>
  <c r="B264" i="37"/>
  <c r="C264" i="37"/>
  <c r="G264" i="37"/>
  <c r="A265" i="37"/>
  <c r="B265" i="37"/>
  <c r="C265" i="37"/>
  <c r="G265" i="37"/>
  <c r="A266" i="37"/>
  <c r="B266" i="37"/>
  <c r="C266" i="37"/>
  <c r="G266" i="37"/>
  <c r="A267" i="37"/>
  <c r="B267" i="37"/>
  <c r="C267" i="37"/>
  <c r="G267" i="37"/>
  <c r="A268" i="37"/>
  <c r="B268" i="37"/>
  <c r="C268" i="37"/>
  <c r="G268" i="37"/>
  <c r="A269" i="37"/>
  <c r="B269" i="37"/>
  <c r="C269" i="37"/>
  <c r="G269" i="37"/>
  <c r="A270" i="37"/>
  <c r="B270" i="37"/>
  <c r="C270" i="37"/>
  <c r="G270" i="37"/>
  <c r="A271" i="37"/>
  <c r="B271" i="37"/>
  <c r="C271" i="37"/>
  <c r="G271" i="37"/>
  <c r="A272" i="37"/>
  <c r="B272" i="37"/>
  <c r="C272" i="37"/>
  <c r="G272" i="37"/>
  <c r="A273" i="37"/>
  <c r="B273" i="37"/>
  <c r="C273" i="37"/>
  <c r="G273" i="37"/>
  <c r="A274" i="37"/>
  <c r="B274" i="37"/>
  <c r="C274" i="37"/>
  <c r="G274" i="37"/>
  <c r="A275" i="37"/>
  <c r="B275" i="37"/>
  <c r="C275" i="37"/>
  <c r="G275" i="37"/>
  <c r="A276" i="37"/>
  <c r="B276" i="37"/>
  <c r="C276" i="37"/>
  <c r="G276" i="37"/>
  <c r="A277" i="37"/>
  <c r="B277" i="37"/>
  <c r="C277" i="37"/>
  <c r="G277" i="37"/>
  <c r="A278" i="37"/>
  <c r="B278" i="37"/>
  <c r="C278" i="37"/>
  <c r="G278" i="37"/>
  <c r="A279" i="37"/>
  <c r="B279" i="37"/>
  <c r="C279" i="37"/>
  <c r="G279" i="37"/>
  <c r="A280" i="37"/>
  <c r="B280" i="37"/>
  <c r="C280" i="37"/>
  <c r="G280" i="37"/>
  <c r="A281" i="37"/>
  <c r="B281" i="37"/>
  <c r="C281" i="37"/>
  <c r="G281" i="37"/>
  <c r="A282" i="37"/>
  <c r="B282" i="37"/>
  <c r="C282" i="37"/>
  <c r="G282" i="37"/>
  <c r="A283" i="37"/>
  <c r="B283" i="37"/>
  <c r="C283" i="37"/>
  <c r="G283" i="37"/>
  <c r="A284" i="37"/>
  <c r="B284" i="37"/>
  <c r="C284" i="37"/>
  <c r="G284" i="37"/>
  <c r="A285" i="37"/>
  <c r="B285" i="37"/>
  <c r="C285" i="37"/>
  <c r="G285" i="37"/>
  <c r="A286" i="37"/>
  <c r="B286" i="37"/>
  <c r="C286" i="37"/>
  <c r="G286" i="37"/>
  <c r="A287" i="37"/>
  <c r="B287" i="37"/>
  <c r="C287" i="37"/>
  <c r="G287" i="37"/>
  <c r="A288" i="37"/>
  <c r="B288" i="37"/>
  <c r="C288" i="37"/>
  <c r="G288" i="37"/>
  <c r="A289" i="37"/>
  <c r="B289" i="37"/>
  <c r="C289" i="37"/>
  <c r="G289" i="37"/>
  <c r="A290" i="37"/>
  <c r="B290" i="37"/>
  <c r="C290" i="37"/>
  <c r="G290" i="37"/>
  <c r="A291" i="37"/>
  <c r="B291" i="37"/>
  <c r="C291" i="37"/>
  <c r="G291" i="37"/>
  <c r="A292" i="37"/>
  <c r="B292" i="37"/>
  <c r="C292" i="37"/>
  <c r="G292" i="37"/>
  <c r="A293" i="37"/>
  <c r="B293" i="37"/>
  <c r="C293" i="37"/>
  <c r="G293" i="37"/>
  <c r="A294" i="37"/>
  <c r="B294" i="37"/>
  <c r="C294" i="37"/>
  <c r="G294" i="37"/>
  <c r="A295" i="37"/>
  <c r="B295" i="37"/>
  <c r="C295" i="37"/>
  <c r="G295" i="37"/>
  <c r="A296" i="37"/>
  <c r="B296" i="37"/>
  <c r="C296" i="37"/>
  <c r="G296" i="37"/>
  <c r="A297" i="37"/>
  <c r="B297" i="37"/>
  <c r="C297" i="37"/>
  <c r="G297" i="37"/>
  <c r="A298" i="37"/>
  <c r="B298" i="37"/>
  <c r="C298" i="37"/>
  <c r="G298" i="37"/>
  <c r="A299" i="37"/>
  <c r="B299" i="37"/>
  <c r="C299" i="37"/>
  <c r="G299" i="37"/>
  <c r="A300" i="37"/>
  <c r="B300" i="37"/>
  <c r="C300" i="37"/>
  <c r="G300" i="37"/>
  <c r="A301" i="37"/>
  <c r="B301" i="37"/>
  <c r="C301" i="37"/>
  <c r="G301" i="37"/>
  <c r="A302" i="37"/>
  <c r="B302" i="37"/>
  <c r="C302" i="37"/>
  <c r="G302" i="37"/>
  <c r="A303" i="37"/>
  <c r="B303" i="37"/>
  <c r="C303" i="37"/>
  <c r="G303" i="37"/>
  <c r="A304" i="37"/>
  <c r="B304" i="37"/>
  <c r="C304" i="37"/>
  <c r="G304" i="37"/>
  <c r="A305" i="37"/>
  <c r="B305" i="37"/>
  <c r="C305" i="37"/>
  <c r="G305" i="37"/>
  <c r="A306" i="37"/>
  <c r="B306" i="37"/>
  <c r="C306" i="37"/>
  <c r="G306" i="37"/>
  <c r="A307" i="37"/>
  <c r="B307" i="37"/>
  <c r="C307" i="37"/>
  <c r="G307" i="37"/>
  <c r="A308" i="37"/>
  <c r="B308" i="37"/>
  <c r="C308" i="37"/>
  <c r="G308" i="37"/>
  <c r="A309" i="37"/>
  <c r="B309" i="37"/>
  <c r="C309" i="37"/>
  <c r="G309" i="37"/>
  <c r="A310" i="37"/>
  <c r="B310" i="37"/>
  <c r="C310" i="37"/>
  <c r="G310" i="37"/>
  <c r="A311" i="37"/>
  <c r="B311" i="37"/>
  <c r="C311" i="37"/>
  <c r="G311" i="37"/>
  <c r="A312" i="37"/>
  <c r="B312" i="37"/>
  <c r="C312" i="37"/>
  <c r="G312" i="37"/>
  <c r="A313" i="37"/>
  <c r="B313" i="37"/>
  <c r="C313" i="37"/>
  <c r="G313" i="37"/>
  <c r="A10" i="36"/>
  <c r="B10" i="36"/>
  <c r="C10" i="36"/>
  <c r="A11" i="36"/>
  <c r="B11" i="36"/>
  <c r="C11" i="36"/>
  <c r="A12" i="36"/>
  <c r="B12" i="36"/>
  <c r="C12" i="36"/>
  <c r="A13" i="36"/>
  <c r="B13" i="36"/>
  <c r="C13" i="36"/>
  <c r="A14" i="36"/>
  <c r="B14" i="36"/>
  <c r="C14" i="36"/>
  <c r="A15" i="36"/>
  <c r="B15" i="36"/>
  <c r="C15" i="36"/>
  <c r="A16" i="36"/>
  <c r="B16" i="36"/>
  <c r="C16" i="36"/>
  <c r="A17" i="36"/>
  <c r="B17" i="36"/>
  <c r="C17" i="36"/>
  <c r="A18" i="36"/>
  <c r="B18" i="36"/>
  <c r="C18" i="36"/>
  <c r="A19" i="36"/>
  <c r="B19" i="36"/>
  <c r="C19" i="36"/>
  <c r="A20" i="36"/>
  <c r="B20" i="36"/>
  <c r="C20" i="36"/>
  <c r="A21" i="36"/>
  <c r="B21" i="36"/>
  <c r="C21" i="36"/>
  <c r="A22" i="36"/>
  <c r="B22" i="36"/>
  <c r="C22" i="36"/>
  <c r="A23" i="36"/>
  <c r="B23" i="36"/>
  <c r="C23" i="36"/>
  <c r="A24" i="36"/>
  <c r="B24" i="36"/>
  <c r="C24" i="36"/>
  <c r="A25" i="36"/>
  <c r="B25" i="36"/>
  <c r="C25" i="36"/>
  <c r="A26" i="36"/>
  <c r="B26" i="36"/>
  <c r="C26" i="36"/>
  <c r="A27" i="36"/>
  <c r="B27" i="36"/>
  <c r="C27" i="36"/>
  <c r="A28" i="36"/>
  <c r="B28" i="36"/>
  <c r="C28" i="36"/>
  <c r="A29" i="36"/>
  <c r="B29" i="36"/>
  <c r="C29" i="36"/>
  <c r="A30" i="36"/>
  <c r="B30" i="36"/>
  <c r="C30" i="36"/>
  <c r="A31" i="36"/>
  <c r="B31" i="36"/>
  <c r="C31" i="36"/>
  <c r="A32" i="36"/>
  <c r="B32" i="36"/>
  <c r="C32" i="36"/>
  <c r="A33" i="36"/>
  <c r="B33" i="36"/>
  <c r="C33" i="36"/>
  <c r="A34" i="36"/>
  <c r="B34" i="36"/>
  <c r="C34" i="36"/>
  <c r="A35" i="36"/>
  <c r="B35" i="36"/>
  <c r="C35" i="36"/>
  <c r="A36" i="36"/>
  <c r="B36" i="36"/>
  <c r="C36" i="36"/>
  <c r="A37" i="36"/>
  <c r="B37" i="36"/>
  <c r="C37" i="36"/>
  <c r="A38" i="36"/>
  <c r="B38" i="36"/>
  <c r="C38" i="36"/>
  <c r="A39" i="36"/>
  <c r="B39" i="36"/>
  <c r="C39" i="36"/>
  <c r="A40" i="36"/>
  <c r="B40" i="36"/>
  <c r="C40" i="36"/>
  <c r="A41" i="36"/>
  <c r="B41" i="36"/>
  <c r="C41" i="36"/>
  <c r="A42" i="36"/>
  <c r="B42" i="36"/>
  <c r="C42" i="36"/>
  <c r="A43" i="36"/>
  <c r="B43" i="36"/>
  <c r="C43" i="36"/>
  <c r="A44" i="36"/>
  <c r="B44" i="36"/>
  <c r="C44" i="36"/>
  <c r="A45" i="36"/>
  <c r="B45" i="36"/>
  <c r="C45" i="36"/>
  <c r="A46" i="36"/>
  <c r="B46" i="36"/>
  <c r="C46" i="36"/>
  <c r="A47" i="36"/>
  <c r="B47" i="36"/>
  <c r="C47" i="36"/>
  <c r="A48" i="36"/>
  <c r="B48" i="36"/>
  <c r="C48" i="36"/>
  <c r="A49" i="36"/>
  <c r="B49" i="36"/>
  <c r="C49" i="36"/>
  <c r="A50" i="36"/>
  <c r="B50" i="36"/>
  <c r="C50" i="36"/>
  <c r="A51" i="36"/>
  <c r="B51" i="36"/>
  <c r="C51" i="36"/>
  <c r="A52" i="36"/>
  <c r="B52" i="36"/>
  <c r="C52" i="36"/>
  <c r="A53" i="36"/>
  <c r="B53" i="36"/>
  <c r="C53" i="36"/>
  <c r="A54" i="36"/>
  <c r="B54" i="36"/>
  <c r="C54" i="36"/>
  <c r="A55" i="36"/>
  <c r="B55" i="36"/>
  <c r="C55" i="36"/>
  <c r="A56" i="36"/>
  <c r="B56" i="36"/>
  <c r="C56" i="36"/>
  <c r="A57" i="36"/>
  <c r="B57" i="36"/>
  <c r="C57" i="36"/>
  <c r="A58" i="36"/>
  <c r="B58" i="36"/>
  <c r="C58" i="36"/>
  <c r="A59" i="36"/>
  <c r="B59" i="36"/>
  <c r="C59" i="36"/>
  <c r="A60" i="36"/>
  <c r="B60" i="36"/>
  <c r="C60" i="36"/>
  <c r="A61" i="36"/>
  <c r="B61" i="36"/>
  <c r="C61" i="36"/>
  <c r="A62" i="36"/>
  <c r="B62" i="36"/>
  <c r="C62" i="36"/>
  <c r="A63" i="36"/>
  <c r="B63" i="36"/>
  <c r="C63" i="36"/>
  <c r="A64" i="36"/>
  <c r="B64" i="36"/>
  <c r="C64" i="36"/>
  <c r="A65" i="36"/>
  <c r="B65" i="36"/>
  <c r="C65" i="36"/>
  <c r="A66" i="36"/>
  <c r="B66" i="36"/>
  <c r="C66" i="36"/>
  <c r="A67" i="36"/>
  <c r="B67" i="36"/>
  <c r="C67" i="36"/>
  <c r="A68" i="36"/>
  <c r="B68" i="36"/>
  <c r="C68" i="36"/>
  <c r="A69" i="36"/>
  <c r="B69" i="36"/>
  <c r="C69" i="36"/>
  <c r="A70" i="36"/>
  <c r="B70" i="36"/>
  <c r="C70" i="36"/>
  <c r="A71" i="36"/>
  <c r="B71" i="36"/>
  <c r="C71" i="36"/>
  <c r="A72" i="36"/>
  <c r="B72" i="36"/>
  <c r="C72" i="36"/>
  <c r="A73" i="36"/>
  <c r="B73" i="36"/>
  <c r="C73" i="36"/>
  <c r="A74" i="36"/>
  <c r="B74" i="36"/>
  <c r="C74" i="36"/>
  <c r="A75" i="36"/>
  <c r="B75" i="36"/>
  <c r="C75" i="36"/>
  <c r="A76" i="36"/>
  <c r="B76" i="36"/>
  <c r="C76" i="36"/>
  <c r="A77" i="36"/>
  <c r="B77" i="36"/>
  <c r="C77" i="36"/>
  <c r="A78" i="36"/>
  <c r="B78" i="36"/>
  <c r="C78" i="36"/>
  <c r="A79" i="36"/>
  <c r="B79" i="36"/>
  <c r="C79" i="36"/>
  <c r="A80" i="36"/>
  <c r="B80" i="36"/>
  <c r="C80" i="36"/>
  <c r="A81" i="36"/>
  <c r="B81" i="36"/>
  <c r="C81" i="36"/>
  <c r="A82" i="36"/>
  <c r="B82" i="36"/>
  <c r="C82" i="36"/>
  <c r="A83" i="36"/>
  <c r="B83" i="36"/>
  <c r="C83" i="36"/>
  <c r="A84" i="36"/>
  <c r="B84" i="36"/>
  <c r="C84" i="36"/>
  <c r="A85" i="36"/>
  <c r="B85" i="36"/>
  <c r="C85" i="36"/>
  <c r="A86" i="36"/>
  <c r="B86" i="36"/>
  <c r="C86" i="36"/>
  <c r="A87" i="36"/>
  <c r="B87" i="36"/>
  <c r="C87" i="36"/>
  <c r="A88" i="36"/>
  <c r="B88" i="36"/>
  <c r="C88" i="36"/>
  <c r="A89" i="36"/>
  <c r="B89" i="36"/>
  <c r="C89" i="36"/>
  <c r="A90" i="36"/>
  <c r="B90" i="36"/>
  <c r="C90" i="36"/>
  <c r="A91" i="36"/>
  <c r="B91" i="36"/>
  <c r="C91" i="36"/>
  <c r="A92" i="36"/>
  <c r="B92" i="36"/>
  <c r="C92" i="36"/>
  <c r="A93" i="36"/>
  <c r="B93" i="36"/>
  <c r="C93" i="36"/>
  <c r="A94" i="36"/>
  <c r="B94" i="36"/>
  <c r="C94" i="36"/>
  <c r="A95" i="36"/>
  <c r="B95" i="36"/>
  <c r="C95" i="36"/>
  <c r="A96" i="36"/>
  <c r="B96" i="36"/>
  <c r="C96" i="36"/>
  <c r="A97" i="36"/>
  <c r="B97" i="36"/>
  <c r="C97" i="36"/>
  <c r="A98" i="36"/>
  <c r="B98" i="36"/>
  <c r="C98" i="36"/>
  <c r="A99" i="36"/>
  <c r="B99" i="36"/>
  <c r="C99" i="36"/>
  <c r="A100" i="36"/>
  <c r="B100" i="36"/>
  <c r="C100" i="36"/>
  <c r="A101" i="36"/>
  <c r="B101" i="36"/>
  <c r="C101" i="36"/>
  <c r="A102" i="36"/>
  <c r="B102" i="36"/>
  <c r="C102" i="36"/>
  <c r="A103" i="36"/>
  <c r="B103" i="36"/>
  <c r="C103" i="36"/>
  <c r="A104" i="36"/>
  <c r="B104" i="36"/>
  <c r="C104" i="36"/>
  <c r="A105" i="36"/>
  <c r="B105" i="36"/>
  <c r="C105" i="36"/>
  <c r="A106" i="36"/>
  <c r="B106" i="36"/>
  <c r="C106" i="36"/>
  <c r="A107" i="36"/>
  <c r="B107" i="36"/>
  <c r="C107" i="36"/>
  <c r="A108" i="36"/>
  <c r="B108" i="36"/>
  <c r="C108" i="36"/>
  <c r="A109" i="36"/>
  <c r="B109" i="36"/>
  <c r="C109" i="36"/>
  <c r="A110" i="36"/>
  <c r="B110" i="36"/>
  <c r="C110" i="36"/>
  <c r="A111" i="36"/>
  <c r="B111" i="36"/>
  <c r="C111" i="36"/>
  <c r="A112" i="36"/>
  <c r="B112" i="36"/>
  <c r="C112" i="36"/>
  <c r="A113" i="36"/>
  <c r="B113" i="36"/>
  <c r="C113" i="36"/>
  <c r="A114" i="36"/>
  <c r="B114" i="36"/>
  <c r="C114" i="36"/>
  <c r="A115" i="36"/>
  <c r="B115" i="36"/>
  <c r="C115" i="36"/>
  <c r="A116" i="36"/>
  <c r="B116" i="36"/>
  <c r="C116" i="36"/>
  <c r="A117" i="36"/>
  <c r="B117" i="36"/>
  <c r="C117" i="36"/>
  <c r="A118" i="36"/>
  <c r="B118" i="36"/>
  <c r="C118" i="36"/>
  <c r="A119" i="36"/>
  <c r="B119" i="36"/>
  <c r="C119" i="36"/>
  <c r="A120" i="36"/>
  <c r="B120" i="36"/>
  <c r="C120" i="36"/>
  <c r="A121" i="36"/>
  <c r="B121" i="36"/>
  <c r="C121" i="36"/>
  <c r="A122" i="36"/>
  <c r="B122" i="36"/>
  <c r="C122" i="36"/>
  <c r="A123" i="36"/>
  <c r="B123" i="36"/>
  <c r="C123" i="36"/>
  <c r="A124" i="36"/>
  <c r="B124" i="36"/>
  <c r="C124" i="36"/>
  <c r="A125" i="36"/>
  <c r="B125" i="36"/>
  <c r="C125" i="36"/>
  <c r="A126" i="36"/>
  <c r="B126" i="36"/>
  <c r="C126" i="36"/>
  <c r="A127" i="36"/>
  <c r="B127" i="36"/>
  <c r="C127" i="36"/>
  <c r="A128" i="36"/>
  <c r="B128" i="36"/>
  <c r="C128" i="36"/>
  <c r="A129" i="36"/>
  <c r="B129" i="36"/>
  <c r="C129" i="36"/>
  <c r="A130" i="36"/>
  <c r="B130" i="36"/>
  <c r="C130" i="36"/>
  <c r="A131" i="36"/>
  <c r="B131" i="36"/>
  <c r="C131" i="36"/>
  <c r="A132" i="36"/>
  <c r="B132" i="36"/>
  <c r="C132" i="36"/>
  <c r="A133" i="36"/>
  <c r="B133" i="36"/>
  <c r="C133" i="36"/>
  <c r="A134" i="36"/>
  <c r="B134" i="36"/>
  <c r="C134" i="36"/>
  <c r="A135" i="36"/>
  <c r="B135" i="36"/>
  <c r="C135" i="36"/>
  <c r="A136" i="36"/>
  <c r="B136" i="36"/>
  <c r="C136" i="36"/>
  <c r="A137" i="36"/>
  <c r="B137" i="36"/>
  <c r="C137" i="36"/>
  <c r="A138" i="36"/>
  <c r="B138" i="36"/>
  <c r="C138" i="36"/>
  <c r="A139" i="36"/>
  <c r="B139" i="36"/>
  <c r="C139" i="36"/>
  <c r="A140" i="36"/>
  <c r="B140" i="36"/>
  <c r="C140" i="36"/>
  <c r="A141" i="36"/>
  <c r="B141" i="36"/>
  <c r="C141" i="36"/>
  <c r="A142" i="36"/>
  <c r="B142" i="36"/>
  <c r="C142" i="36"/>
  <c r="A143" i="36"/>
  <c r="B143" i="36"/>
  <c r="C143" i="36"/>
  <c r="A144" i="36"/>
  <c r="B144" i="36"/>
  <c r="C144" i="36"/>
  <c r="A145" i="36"/>
  <c r="B145" i="36"/>
  <c r="C145" i="36"/>
  <c r="A146" i="36"/>
  <c r="B146" i="36"/>
  <c r="C146" i="36"/>
  <c r="A147" i="36"/>
  <c r="B147" i="36"/>
  <c r="C147" i="36"/>
  <c r="A148" i="36"/>
  <c r="B148" i="36"/>
  <c r="C148" i="36"/>
  <c r="A149" i="36"/>
  <c r="B149" i="36"/>
  <c r="C149" i="36"/>
  <c r="A150" i="36"/>
  <c r="B150" i="36"/>
  <c r="C150" i="36"/>
  <c r="A151" i="36"/>
  <c r="B151" i="36"/>
  <c r="C151" i="36"/>
  <c r="A152" i="36"/>
  <c r="B152" i="36"/>
  <c r="C152" i="36"/>
  <c r="A153" i="36"/>
  <c r="B153" i="36"/>
  <c r="C153" i="36"/>
  <c r="A154" i="36"/>
  <c r="B154" i="36"/>
  <c r="C154" i="36"/>
  <c r="A155" i="36"/>
  <c r="B155" i="36"/>
  <c r="C155" i="36"/>
  <c r="A156" i="36"/>
  <c r="B156" i="36"/>
  <c r="C156" i="36"/>
  <c r="A157" i="36"/>
  <c r="B157" i="36"/>
  <c r="C157" i="36"/>
  <c r="A158" i="36"/>
  <c r="B158" i="36"/>
  <c r="C158" i="36"/>
  <c r="A159" i="36"/>
  <c r="B159" i="36"/>
  <c r="C159" i="36"/>
  <c r="A160" i="36"/>
  <c r="B160" i="36"/>
  <c r="C160" i="36"/>
  <c r="A161" i="36"/>
  <c r="B161" i="36"/>
  <c r="C161" i="36"/>
  <c r="A162" i="36"/>
  <c r="B162" i="36"/>
  <c r="C162" i="36"/>
  <c r="A163" i="36"/>
  <c r="B163" i="36"/>
  <c r="C163" i="36"/>
  <c r="A164" i="36"/>
  <c r="B164" i="36"/>
  <c r="C164" i="36"/>
  <c r="A165" i="36"/>
  <c r="B165" i="36"/>
  <c r="C165" i="36"/>
  <c r="A166" i="36"/>
  <c r="B166" i="36"/>
  <c r="C166" i="36"/>
  <c r="A167" i="36"/>
  <c r="B167" i="36"/>
  <c r="C167" i="36"/>
  <c r="A168" i="36"/>
  <c r="B168" i="36"/>
  <c r="C168" i="36"/>
  <c r="A169" i="36"/>
  <c r="B169" i="36"/>
  <c r="C169" i="36"/>
  <c r="A170" i="36"/>
  <c r="B170" i="36"/>
  <c r="C170" i="36"/>
  <c r="A171" i="36"/>
  <c r="B171" i="36"/>
  <c r="C171" i="36"/>
  <c r="A172" i="36"/>
  <c r="B172" i="36"/>
  <c r="C172" i="36"/>
  <c r="A173" i="36"/>
  <c r="B173" i="36"/>
  <c r="C173" i="36"/>
  <c r="A174" i="36"/>
  <c r="B174" i="36"/>
  <c r="C174" i="36"/>
  <c r="A175" i="36"/>
  <c r="B175" i="36"/>
  <c r="C175" i="36"/>
  <c r="A176" i="36"/>
  <c r="B176" i="36"/>
  <c r="C176" i="36"/>
  <c r="A177" i="36"/>
  <c r="B177" i="36"/>
  <c r="C177" i="36"/>
  <c r="A178" i="36"/>
  <c r="B178" i="36"/>
  <c r="C178" i="36"/>
  <c r="A179" i="36"/>
  <c r="B179" i="36"/>
  <c r="C179" i="36"/>
  <c r="A180" i="36"/>
  <c r="B180" i="36"/>
  <c r="C180" i="36"/>
  <c r="A181" i="36"/>
  <c r="B181" i="36"/>
  <c r="C181" i="36"/>
  <c r="A182" i="36"/>
  <c r="B182" i="36"/>
  <c r="C182" i="36"/>
  <c r="A183" i="36"/>
  <c r="B183" i="36"/>
  <c r="C183" i="36"/>
  <c r="A184" i="36"/>
  <c r="B184" i="36"/>
  <c r="C184" i="36"/>
  <c r="A185" i="36"/>
  <c r="B185" i="36"/>
  <c r="C185" i="36"/>
  <c r="A186" i="36"/>
  <c r="B186" i="36"/>
  <c r="C186" i="36"/>
  <c r="A187" i="36"/>
  <c r="B187" i="36"/>
  <c r="C187" i="36"/>
  <c r="A188" i="36"/>
  <c r="B188" i="36"/>
  <c r="C188" i="36"/>
  <c r="A189" i="36"/>
  <c r="B189" i="36"/>
  <c r="C189" i="36"/>
  <c r="A190" i="36"/>
  <c r="B190" i="36"/>
  <c r="C190" i="36"/>
  <c r="A191" i="36"/>
  <c r="B191" i="36"/>
  <c r="C191" i="36"/>
  <c r="A192" i="36"/>
  <c r="B192" i="36"/>
  <c r="C192" i="36"/>
  <c r="A193" i="36"/>
  <c r="B193" i="36"/>
  <c r="C193" i="36"/>
  <c r="A194" i="36"/>
  <c r="B194" i="36"/>
  <c r="C194" i="36"/>
  <c r="A195" i="36"/>
  <c r="B195" i="36"/>
  <c r="C195" i="36"/>
  <c r="A196" i="36"/>
  <c r="B196" i="36"/>
  <c r="C196" i="36"/>
  <c r="A197" i="36"/>
  <c r="B197" i="36"/>
  <c r="C197" i="36"/>
  <c r="A198" i="36"/>
  <c r="B198" i="36"/>
  <c r="C198" i="36"/>
  <c r="A199" i="36"/>
  <c r="B199" i="36"/>
  <c r="C199" i="36"/>
  <c r="A200" i="36"/>
  <c r="B200" i="36"/>
  <c r="C200" i="36"/>
  <c r="A201" i="36"/>
  <c r="B201" i="36"/>
  <c r="C201" i="36"/>
  <c r="A202" i="36"/>
  <c r="B202" i="36"/>
  <c r="C202" i="36"/>
  <c r="A203" i="36"/>
  <c r="B203" i="36"/>
  <c r="C203" i="36"/>
  <c r="A204" i="36"/>
  <c r="B204" i="36"/>
  <c r="C204" i="36"/>
  <c r="A205" i="36"/>
  <c r="B205" i="36"/>
  <c r="C205" i="36"/>
  <c r="A206" i="36"/>
  <c r="B206" i="36"/>
  <c r="C206" i="36"/>
  <c r="A207" i="36"/>
  <c r="B207" i="36"/>
  <c r="C207" i="36"/>
  <c r="A208" i="36"/>
  <c r="B208" i="36"/>
  <c r="C208" i="36"/>
  <c r="A209" i="36"/>
  <c r="B209" i="36"/>
  <c r="C209" i="36"/>
  <c r="A210" i="36"/>
  <c r="B210" i="36"/>
  <c r="C210" i="36"/>
  <c r="A211" i="36"/>
  <c r="B211" i="36"/>
  <c r="C211" i="36"/>
  <c r="A212" i="36"/>
  <c r="B212" i="36"/>
  <c r="C212" i="36"/>
  <c r="A213" i="36"/>
  <c r="B213" i="36"/>
  <c r="C213" i="36"/>
  <c r="A214" i="36"/>
  <c r="B214" i="36"/>
  <c r="C214" i="36"/>
  <c r="A215" i="36"/>
  <c r="B215" i="36"/>
  <c r="C215" i="36"/>
  <c r="A216" i="36"/>
  <c r="B216" i="36"/>
  <c r="C216" i="36"/>
  <c r="A217" i="36"/>
  <c r="B217" i="36"/>
  <c r="C217" i="36"/>
  <c r="A218" i="36"/>
  <c r="B218" i="36"/>
  <c r="C218" i="36"/>
  <c r="A219" i="36"/>
  <c r="B219" i="36"/>
  <c r="C219" i="36"/>
  <c r="A220" i="36"/>
  <c r="B220" i="36"/>
  <c r="C220" i="36"/>
  <c r="A221" i="36"/>
  <c r="B221" i="36"/>
  <c r="C221" i="36"/>
  <c r="A222" i="36"/>
  <c r="B222" i="36"/>
  <c r="C222" i="36"/>
  <c r="A223" i="36"/>
  <c r="B223" i="36"/>
  <c r="C223" i="36"/>
  <c r="A224" i="36"/>
  <c r="B224" i="36"/>
  <c r="C224" i="36"/>
  <c r="A225" i="36"/>
  <c r="B225" i="36"/>
  <c r="C225" i="36"/>
  <c r="A226" i="36"/>
  <c r="B226" i="36"/>
  <c r="C226" i="36"/>
  <c r="A227" i="36"/>
  <c r="B227" i="36"/>
  <c r="C227" i="36"/>
  <c r="A228" i="36"/>
  <c r="B228" i="36"/>
  <c r="C228" i="36"/>
  <c r="A229" i="36"/>
  <c r="B229" i="36"/>
  <c r="C229" i="36"/>
  <c r="A230" i="36"/>
  <c r="B230" i="36"/>
  <c r="C230" i="36"/>
  <c r="A231" i="36"/>
  <c r="B231" i="36"/>
  <c r="C231" i="36"/>
  <c r="A232" i="36"/>
  <c r="B232" i="36"/>
  <c r="C232" i="36"/>
  <c r="A233" i="36"/>
  <c r="B233" i="36"/>
  <c r="C233" i="36"/>
  <c r="A234" i="36"/>
  <c r="B234" i="36"/>
  <c r="C234" i="36"/>
  <c r="A235" i="36"/>
  <c r="B235" i="36"/>
  <c r="C235" i="36"/>
  <c r="A236" i="36"/>
  <c r="B236" i="36"/>
  <c r="C236" i="36"/>
  <c r="A237" i="36"/>
  <c r="B237" i="36"/>
  <c r="C237" i="36"/>
  <c r="A238" i="36"/>
  <c r="B238" i="36"/>
  <c r="C238" i="36"/>
  <c r="A239" i="36"/>
  <c r="B239" i="36"/>
  <c r="C239" i="36"/>
  <c r="A240" i="36"/>
  <c r="B240" i="36"/>
  <c r="C240" i="36"/>
  <c r="A241" i="36"/>
  <c r="B241" i="36"/>
  <c r="C241" i="36"/>
  <c r="A242" i="36"/>
  <c r="B242" i="36"/>
  <c r="C242" i="36"/>
  <c r="A243" i="36"/>
  <c r="B243" i="36"/>
  <c r="C243" i="36"/>
  <c r="A244" i="36"/>
  <c r="B244" i="36"/>
  <c r="C244" i="36"/>
  <c r="A245" i="36"/>
  <c r="B245" i="36"/>
  <c r="C245" i="36"/>
  <c r="A246" i="36"/>
  <c r="B246" i="36"/>
  <c r="C246" i="36"/>
  <c r="A247" i="36"/>
  <c r="B247" i="36"/>
  <c r="C247" i="36"/>
  <c r="A248" i="36"/>
  <c r="B248" i="36"/>
  <c r="C248" i="36"/>
  <c r="A249" i="36"/>
  <c r="B249" i="36"/>
  <c r="C249" i="36"/>
  <c r="A250" i="36"/>
  <c r="B250" i="36"/>
  <c r="C250" i="36"/>
  <c r="A251" i="36"/>
  <c r="B251" i="36"/>
  <c r="C251" i="36"/>
  <c r="A252" i="36"/>
  <c r="B252" i="36"/>
  <c r="C252" i="36"/>
  <c r="A253" i="36"/>
  <c r="B253" i="36"/>
  <c r="C253" i="36"/>
  <c r="A254" i="36"/>
  <c r="B254" i="36"/>
  <c r="C254" i="36"/>
  <c r="A255" i="36"/>
  <c r="B255" i="36"/>
  <c r="C255" i="36"/>
  <c r="A256" i="36"/>
  <c r="B256" i="36"/>
  <c r="C256" i="36"/>
  <c r="A257" i="36"/>
  <c r="B257" i="36"/>
  <c r="C257" i="36"/>
  <c r="A258" i="36"/>
  <c r="B258" i="36"/>
  <c r="C258" i="36"/>
  <c r="A259" i="36"/>
  <c r="B259" i="36"/>
  <c r="C259" i="36"/>
  <c r="A260" i="36"/>
  <c r="B260" i="36"/>
  <c r="C260" i="36"/>
  <c r="A261" i="36"/>
  <c r="B261" i="36"/>
  <c r="C261" i="36"/>
  <c r="A262" i="36"/>
  <c r="B262" i="36"/>
  <c r="C262" i="36"/>
  <c r="A263" i="36"/>
  <c r="B263" i="36"/>
  <c r="C263" i="36"/>
  <c r="A264" i="36"/>
  <c r="B264" i="36"/>
  <c r="C264" i="36"/>
  <c r="A265" i="36"/>
  <c r="B265" i="36"/>
  <c r="C265" i="36"/>
  <c r="A266" i="36"/>
  <c r="B266" i="36"/>
  <c r="C266" i="36"/>
  <c r="A267" i="36"/>
  <c r="B267" i="36"/>
  <c r="C267" i="36"/>
  <c r="A268" i="36"/>
  <c r="B268" i="36"/>
  <c r="C268" i="36"/>
  <c r="A269" i="36"/>
  <c r="B269" i="36"/>
  <c r="C269" i="36"/>
  <c r="A270" i="36"/>
  <c r="B270" i="36"/>
  <c r="C270" i="36"/>
  <c r="A271" i="36"/>
  <c r="B271" i="36"/>
  <c r="C271" i="36"/>
  <c r="A272" i="36"/>
  <c r="B272" i="36"/>
  <c r="C272" i="36"/>
  <c r="A273" i="36"/>
  <c r="B273" i="36"/>
  <c r="C273" i="36"/>
  <c r="A274" i="36"/>
  <c r="B274" i="36"/>
  <c r="C274" i="36"/>
  <c r="A275" i="36"/>
  <c r="B275" i="36"/>
  <c r="C275" i="36"/>
  <c r="A276" i="36"/>
  <c r="B276" i="36"/>
  <c r="C276" i="36"/>
  <c r="A277" i="36"/>
  <c r="B277" i="36"/>
  <c r="C277" i="36"/>
  <c r="A278" i="36"/>
  <c r="B278" i="36"/>
  <c r="C278" i="36"/>
  <c r="A279" i="36"/>
  <c r="B279" i="36"/>
  <c r="C279" i="36"/>
  <c r="A280" i="36"/>
  <c r="B280" i="36"/>
  <c r="C280" i="36"/>
  <c r="A281" i="36"/>
  <c r="B281" i="36"/>
  <c r="C281" i="36"/>
  <c r="A282" i="36"/>
  <c r="B282" i="36"/>
  <c r="C282" i="36"/>
  <c r="A283" i="36"/>
  <c r="B283" i="36"/>
  <c r="C283" i="36"/>
  <c r="A284" i="36"/>
  <c r="B284" i="36"/>
  <c r="C284" i="36"/>
  <c r="A285" i="36"/>
  <c r="B285" i="36"/>
  <c r="C285" i="36"/>
  <c r="A286" i="36"/>
  <c r="B286" i="36"/>
  <c r="C286" i="36"/>
  <c r="A287" i="36"/>
  <c r="B287" i="36"/>
  <c r="C287" i="36"/>
  <c r="A288" i="36"/>
  <c r="B288" i="36"/>
  <c r="C288" i="36"/>
  <c r="A289" i="36"/>
  <c r="B289" i="36"/>
  <c r="C289" i="36"/>
  <c r="A290" i="36"/>
  <c r="B290" i="36"/>
  <c r="C290" i="36"/>
  <c r="A291" i="36"/>
  <c r="B291" i="36"/>
  <c r="C291" i="36"/>
  <c r="A292" i="36"/>
  <c r="B292" i="36"/>
  <c r="C292" i="36"/>
  <c r="A293" i="36"/>
  <c r="B293" i="36"/>
  <c r="C293" i="36"/>
  <c r="A294" i="36"/>
  <c r="B294" i="36"/>
  <c r="C294" i="36"/>
  <c r="A295" i="36"/>
  <c r="B295" i="36"/>
  <c r="C295" i="36"/>
  <c r="A296" i="36"/>
  <c r="B296" i="36"/>
  <c r="C296" i="36"/>
  <c r="A297" i="36"/>
  <c r="B297" i="36"/>
  <c r="C297" i="36"/>
  <c r="A298" i="36"/>
  <c r="B298" i="36"/>
  <c r="C298" i="36"/>
  <c r="A299" i="36"/>
  <c r="B299" i="36"/>
  <c r="C299" i="36"/>
  <c r="A300" i="36"/>
  <c r="B300" i="36"/>
  <c r="C300" i="36"/>
  <c r="A301" i="36"/>
  <c r="B301" i="36"/>
  <c r="C301" i="36"/>
  <c r="A302" i="36"/>
  <c r="B302" i="36"/>
  <c r="C302" i="36"/>
  <c r="A303" i="36"/>
  <c r="B303" i="36"/>
  <c r="C303" i="36"/>
  <c r="A304" i="36"/>
  <c r="B304" i="36"/>
  <c r="C304" i="36"/>
  <c r="A305" i="36"/>
  <c r="B305" i="36"/>
  <c r="C305" i="36"/>
  <c r="A306" i="36"/>
  <c r="B306" i="36"/>
  <c r="C306" i="36"/>
  <c r="A307" i="36"/>
  <c r="B307" i="36"/>
  <c r="C307" i="36"/>
  <c r="A308" i="36"/>
  <c r="B308" i="36"/>
  <c r="C308" i="36"/>
  <c r="A309" i="36"/>
  <c r="B309" i="36"/>
  <c r="C309" i="36"/>
  <c r="A310" i="36"/>
  <c r="B310" i="36"/>
  <c r="C310" i="36"/>
  <c r="A311" i="36"/>
  <c r="B311" i="36"/>
  <c r="C311" i="36"/>
  <c r="A312" i="36"/>
  <c r="B312" i="36"/>
  <c r="C312" i="36"/>
  <c r="A313" i="36"/>
  <c r="B313" i="36"/>
  <c r="C313" i="36"/>
  <c r="A314" i="36"/>
  <c r="B314" i="36"/>
  <c r="C314" i="36"/>
  <c r="A315" i="36"/>
  <c r="B315" i="36"/>
  <c r="C315" i="36"/>
  <c r="A316" i="36"/>
  <c r="B316" i="36"/>
  <c r="C316" i="36"/>
  <c r="A13" i="9"/>
  <c r="B13" i="9"/>
  <c r="C13" i="9"/>
  <c r="A14" i="9"/>
  <c r="B14" i="9"/>
  <c r="C14" i="9"/>
  <c r="A15" i="9"/>
  <c r="B15" i="9"/>
  <c r="C15" i="9"/>
  <c r="A16" i="9"/>
  <c r="B16" i="9"/>
  <c r="C16" i="9"/>
  <c r="A17" i="9"/>
  <c r="B17" i="9"/>
  <c r="C17" i="9"/>
  <c r="A18" i="9"/>
  <c r="B18" i="9"/>
  <c r="C18" i="9"/>
  <c r="A19" i="9"/>
  <c r="B19" i="9"/>
  <c r="C19" i="9"/>
  <c r="A20" i="9"/>
  <c r="B20" i="9"/>
  <c r="C20" i="9"/>
  <c r="A21" i="9"/>
  <c r="B21" i="9"/>
  <c r="C21" i="9"/>
  <c r="A22" i="9"/>
  <c r="B22" i="9"/>
  <c r="C22" i="9"/>
  <c r="A23" i="9"/>
  <c r="B23" i="9"/>
  <c r="C23" i="9"/>
  <c r="A24" i="9"/>
  <c r="B24" i="9"/>
  <c r="C24" i="9"/>
  <c r="A25" i="9"/>
  <c r="B25" i="9"/>
  <c r="C25" i="9"/>
  <c r="A26" i="9"/>
  <c r="B26" i="9"/>
  <c r="C26" i="9"/>
  <c r="A27" i="9"/>
  <c r="B27" i="9"/>
  <c r="C27" i="9"/>
  <c r="A28" i="9"/>
  <c r="B28" i="9"/>
  <c r="C28" i="9"/>
  <c r="A29" i="9"/>
  <c r="B29" i="9"/>
  <c r="C29" i="9"/>
  <c r="A30" i="9"/>
  <c r="B30" i="9"/>
  <c r="C30" i="9"/>
  <c r="A31" i="9"/>
  <c r="B31" i="9"/>
  <c r="C31" i="9"/>
  <c r="A32" i="9"/>
  <c r="B32" i="9"/>
  <c r="C32" i="9"/>
  <c r="A33" i="9"/>
  <c r="B33" i="9"/>
  <c r="C33" i="9"/>
  <c r="A34" i="9"/>
  <c r="B34" i="9"/>
  <c r="C34" i="9"/>
  <c r="A35" i="9"/>
  <c r="B35" i="9"/>
  <c r="C35" i="9"/>
  <c r="A36" i="9"/>
  <c r="B36" i="9"/>
  <c r="C36" i="9"/>
  <c r="A37" i="9"/>
  <c r="B37" i="9"/>
  <c r="C37" i="9"/>
  <c r="A38" i="9"/>
  <c r="B38" i="9"/>
  <c r="C38" i="9"/>
  <c r="A39" i="9"/>
  <c r="B39" i="9"/>
  <c r="C39" i="9"/>
  <c r="A40" i="9"/>
  <c r="B40" i="9"/>
  <c r="C40" i="9"/>
  <c r="A41" i="9"/>
  <c r="B41" i="9"/>
  <c r="C41" i="9"/>
  <c r="A42" i="9"/>
  <c r="B42" i="9"/>
  <c r="C42" i="9"/>
  <c r="A43" i="9"/>
  <c r="B43" i="9"/>
  <c r="C43" i="9"/>
  <c r="A44" i="9"/>
  <c r="B44" i="9"/>
  <c r="C44" i="9"/>
  <c r="A45" i="9"/>
  <c r="B45" i="9"/>
  <c r="C45" i="9"/>
  <c r="A46" i="9"/>
  <c r="B46" i="9"/>
  <c r="C46" i="9"/>
  <c r="A47" i="9"/>
  <c r="B47" i="9"/>
  <c r="C47" i="9"/>
  <c r="A48" i="9"/>
  <c r="B48" i="9"/>
  <c r="C48" i="9"/>
  <c r="A49" i="9"/>
  <c r="B49" i="9"/>
  <c r="C49" i="9"/>
  <c r="A50" i="9"/>
  <c r="B50" i="9"/>
  <c r="C50" i="9"/>
  <c r="A51" i="9"/>
  <c r="B51" i="9"/>
  <c r="C51" i="9"/>
  <c r="A52" i="9"/>
  <c r="B52" i="9"/>
  <c r="C52" i="9"/>
  <c r="A53" i="9"/>
  <c r="B53" i="9"/>
  <c r="C53" i="9"/>
  <c r="A54" i="9"/>
  <c r="B54" i="9"/>
  <c r="C54" i="9"/>
  <c r="A55" i="9"/>
  <c r="B55" i="9"/>
  <c r="C55" i="9"/>
  <c r="A56" i="9"/>
  <c r="B56" i="9"/>
  <c r="C56" i="9"/>
  <c r="A57" i="9"/>
  <c r="B57" i="9"/>
  <c r="C57" i="9"/>
  <c r="A58" i="9"/>
  <c r="B58" i="9"/>
  <c r="C58" i="9"/>
  <c r="A59" i="9"/>
  <c r="B59" i="9"/>
  <c r="C59" i="9"/>
  <c r="A60" i="9"/>
  <c r="B60" i="9"/>
  <c r="C60" i="9"/>
  <c r="A61" i="9"/>
  <c r="B61" i="9"/>
  <c r="C61" i="9"/>
  <c r="A62" i="9"/>
  <c r="B62" i="9"/>
  <c r="C62" i="9"/>
  <c r="A63" i="9"/>
  <c r="B63" i="9"/>
  <c r="C63" i="9"/>
  <c r="A64" i="9"/>
  <c r="B64" i="9"/>
  <c r="C64" i="9"/>
  <c r="A65" i="9"/>
  <c r="B65" i="9"/>
  <c r="C65" i="9"/>
  <c r="A66" i="9"/>
  <c r="B66" i="9"/>
  <c r="C66" i="9"/>
  <c r="A67" i="9"/>
  <c r="B67" i="9"/>
  <c r="C67" i="9"/>
  <c r="A68" i="9"/>
  <c r="B68" i="9"/>
  <c r="C68" i="9"/>
  <c r="A69" i="9"/>
  <c r="B69" i="9"/>
  <c r="C69" i="9"/>
  <c r="A70" i="9"/>
  <c r="B70" i="9"/>
  <c r="C70" i="9"/>
  <c r="A71" i="9"/>
  <c r="B71" i="9"/>
  <c r="C71" i="9"/>
  <c r="A72" i="9"/>
  <c r="B72" i="9"/>
  <c r="C72" i="9"/>
  <c r="A73" i="9"/>
  <c r="B73" i="9"/>
  <c r="C73" i="9"/>
  <c r="A74" i="9"/>
  <c r="B74" i="9"/>
  <c r="C74" i="9"/>
  <c r="A75" i="9"/>
  <c r="B75" i="9"/>
  <c r="C75" i="9"/>
  <c r="A76" i="9"/>
  <c r="B76" i="9"/>
  <c r="C76" i="9"/>
  <c r="A77" i="9"/>
  <c r="B77" i="9"/>
  <c r="C77" i="9"/>
  <c r="A78" i="9"/>
  <c r="B78" i="9"/>
  <c r="C78" i="9"/>
  <c r="A79" i="9"/>
  <c r="B79" i="9"/>
  <c r="C79" i="9"/>
  <c r="A80" i="9"/>
  <c r="B80" i="9"/>
  <c r="C80" i="9"/>
  <c r="A81" i="9"/>
  <c r="B81" i="9"/>
  <c r="C81" i="9"/>
  <c r="A82" i="9"/>
  <c r="B82" i="9"/>
  <c r="C82" i="9"/>
  <c r="A83" i="9"/>
  <c r="B83" i="9"/>
  <c r="C83" i="9"/>
  <c r="A84" i="9"/>
  <c r="B84" i="9"/>
  <c r="C84" i="9"/>
  <c r="A85" i="9"/>
  <c r="B85" i="9"/>
  <c r="C85" i="9"/>
  <c r="A86" i="9"/>
  <c r="B86" i="9"/>
  <c r="C86" i="9"/>
  <c r="A87" i="9"/>
  <c r="B87" i="9"/>
  <c r="C87" i="9"/>
  <c r="A88" i="9"/>
  <c r="B88" i="9"/>
  <c r="C88" i="9"/>
  <c r="A89" i="9"/>
  <c r="B89" i="9"/>
  <c r="C89" i="9"/>
  <c r="A90" i="9"/>
  <c r="B90" i="9"/>
  <c r="C90" i="9"/>
  <c r="A91" i="9"/>
  <c r="B91" i="9"/>
  <c r="C91" i="9"/>
  <c r="A92" i="9"/>
  <c r="B92" i="9"/>
  <c r="C92" i="9"/>
  <c r="A93" i="9"/>
  <c r="B93" i="9"/>
  <c r="C93" i="9"/>
  <c r="A94" i="9"/>
  <c r="B94" i="9"/>
  <c r="C94" i="9"/>
  <c r="A95" i="9"/>
  <c r="B95" i="9"/>
  <c r="C95" i="9"/>
  <c r="A96" i="9"/>
  <c r="B96" i="9"/>
  <c r="C96" i="9"/>
  <c r="A97" i="9"/>
  <c r="B97" i="9"/>
  <c r="C97" i="9"/>
  <c r="A98" i="9"/>
  <c r="B98" i="9"/>
  <c r="C98" i="9"/>
  <c r="A99" i="9"/>
  <c r="B99" i="9"/>
  <c r="C99" i="9"/>
  <c r="A100" i="9"/>
  <c r="B100" i="9"/>
  <c r="C100" i="9"/>
  <c r="A101" i="9"/>
  <c r="B101" i="9"/>
  <c r="C101" i="9"/>
  <c r="A102" i="9"/>
  <c r="B102" i="9"/>
  <c r="C102" i="9"/>
  <c r="A103" i="9"/>
  <c r="B103" i="9"/>
  <c r="C103" i="9"/>
  <c r="A104" i="9"/>
  <c r="B104" i="9"/>
  <c r="C104" i="9"/>
  <c r="A105" i="9"/>
  <c r="B105" i="9"/>
  <c r="C105" i="9"/>
  <c r="A106" i="9"/>
  <c r="B106" i="9"/>
  <c r="C106" i="9"/>
  <c r="A107" i="9"/>
  <c r="B107" i="9"/>
  <c r="C107" i="9"/>
  <c r="A108" i="9"/>
  <c r="B108" i="9"/>
  <c r="C108" i="9"/>
  <c r="A109" i="9"/>
  <c r="B109" i="9"/>
  <c r="C109" i="9"/>
  <c r="A110" i="9"/>
  <c r="B110" i="9"/>
  <c r="C110" i="9"/>
  <c r="A111" i="9"/>
  <c r="B111" i="9"/>
  <c r="C111" i="9"/>
  <c r="A112" i="9"/>
  <c r="B112" i="9"/>
  <c r="C112" i="9"/>
  <c r="A113" i="9"/>
  <c r="B113" i="9"/>
  <c r="C113" i="9"/>
  <c r="A114" i="9"/>
  <c r="B114" i="9"/>
  <c r="C114" i="9"/>
  <c r="A115" i="9"/>
  <c r="B115" i="9"/>
  <c r="C115" i="9"/>
  <c r="A116" i="9"/>
  <c r="B116" i="9"/>
  <c r="C116" i="9"/>
  <c r="A117" i="9"/>
  <c r="B117" i="9"/>
  <c r="C117" i="9"/>
  <c r="A118" i="9"/>
  <c r="B118" i="9"/>
  <c r="C118" i="9"/>
  <c r="A119" i="9"/>
  <c r="B119" i="9"/>
  <c r="C119" i="9"/>
  <c r="A120" i="9"/>
  <c r="B120" i="9"/>
  <c r="C120" i="9"/>
  <c r="A121" i="9"/>
  <c r="B121" i="9"/>
  <c r="C121" i="9"/>
  <c r="A122" i="9"/>
  <c r="B122" i="9"/>
  <c r="C122" i="9"/>
  <c r="A123" i="9"/>
  <c r="B123" i="9"/>
  <c r="C123" i="9"/>
  <c r="A124" i="9"/>
  <c r="B124" i="9"/>
  <c r="C124" i="9"/>
  <c r="A125" i="9"/>
  <c r="B125" i="9"/>
  <c r="C125" i="9"/>
  <c r="A126" i="9"/>
  <c r="B126" i="9"/>
  <c r="C126" i="9"/>
  <c r="A127" i="9"/>
  <c r="B127" i="9"/>
  <c r="C127" i="9"/>
  <c r="A128" i="9"/>
  <c r="B128" i="9"/>
  <c r="C128" i="9"/>
  <c r="A129" i="9"/>
  <c r="B129" i="9"/>
  <c r="C129" i="9"/>
  <c r="A130" i="9"/>
  <c r="B130" i="9"/>
  <c r="C130" i="9"/>
  <c r="A131" i="9"/>
  <c r="B131" i="9"/>
  <c r="C131" i="9"/>
  <c r="A132" i="9"/>
  <c r="B132" i="9"/>
  <c r="C132" i="9"/>
  <c r="A133" i="9"/>
  <c r="B133" i="9"/>
  <c r="C133" i="9"/>
  <c r="A134" i="9"/>
  <c r="B134" i="9"/>
  <c r="C134" i="9"/>
  <c r="A135" i="9"/>
  <c r="B135" i="9"/>
  <c r="C135" i="9"/>
  <c r="A136" i="9"/>
  <c r="B136" i="9"/>
  <c r="C136" i="9"/>
  <c r="A137" i="9"/>
  <c r="B137" i="9"/>
  <c r="C137" i="9"/>
  <c r="A138" i="9"/>
  <c r="B138" i="9"/>
  <c r="C138" i="9"/>
  <c r="A139" i="9"/>
  <c r="B139" i="9"/>
  <c r="C139" i="9"/>
  <c r="A140" i="9"/>
  <c r="B140" i="9"/>
  <c r="C140" i="9"/>
  <c r="A141" i="9"/>
  <c r="B141" i="9"/>
  <c r="C141" i="9"/>
  <c r="A142" i="9"/>
  <c r="B142" i="9"/>
  <c r="C142" i="9"/>
  <c r="A143" i="9"/>
  <c r="B143" i="9"/>
  <c r="C143" i="9"/>
  <c r="A144" i="9"/>
  <c r="B144" i="9"/>
  <c r="C144" i="9"/>
  <c r="A145" i="9"/>
  <c r="B145" i="9"/>
  <c r="C145" i="9"/>
  <c r="A146" i="9"/>
  <c r="B146" i="9"/>
  <c r="C146" i="9"/>
  <c r="A147" i="9"/>
  <c r="B147" i="9"/>
  <c r="C147" i="9"/>
  <c r="A148" i="9"/>
  <c r="B148" i="9"/>
  <c r="C148" i="9"/>
  <c r="A149" i="9"/>
  <c r="B149" i="9"/>
  <c r="C149" i="9"/>
  <c r="A150" i="9"/>
  <c r="B150" i="9"/>
  <c r="C150" i="9"/>
  <c r="A151" i="9"/>
  <c r="B151" i="9"/>
  <c r="C151" i="9"/>
  <c r="A152" i="9"/>
  <c r="B152" i="9"/>
  <c r="C152" i="9"/>
  <c r="A153" i="9"/>
  <c r="B153" i="9"/>
  <c r="C153" i="9"/>
  <c r="A154" i="9"/>
  <c r="B154" i="9"/>
  <c r="C154" i="9"/>
  <c r="A155" i="9"/>
  <c r="B155" i="9"/>
  <c r="C155" i="9"/>
  <c r="A156" i="9"/>
  <c r="B156" i="9"/>
  <c r="C156" i="9"/>
  <c r="A157" i="9"/>
  <c r="B157" i="9"/>
  <c r="C157" i="9"/>
  <c r="A158" i="9"/>
  <c r="B158" i="9"/>
  <c r="C158" i="9"/>
  <c r="A159" i="9"/>
  <c r="B159" i="9"/>
  <c r="C159" i="9"/>
  <c r="A160" i="9"/>
  <c r="B160" i="9"/>
  <c r="C160" i="9"/>
  <c r="A161" i="9"/>
  <c r="B161" i="9"/>
  <c r="C161" i="9"/>
  <c r="A162" i="9"/>
  <c r="B162" i="9"/>
  <c r="C162" i="9"/>
  <c r="A163" i="9"/>
  <c r="B163" i="9"/>
  <c r="C163" i="9"/>
  <c r="A164" i="9"/>
  <c r="B164" i="9"/>
  <c r="C164" i="9"/>
  <c r="A165" i="9"/>
  <c r="B165" i="9"/>
  <c r="C165" i="9"/>
  <c r="A166" i="9"/>
  <c r="B166" i="9"/>
  <c r="C166" i="9"/>
  <c r="A167" i="9"/>
  <c r="B167" i="9"/>
  <c r="C167" i="9"/>
  <c r="A168" i="9"/>
  <c r="B168" i="9"/>
  <c r="C168" i="9"/>
  <c r="A169" i="9"/>
  <c r="B169" i="9"/>
  <c r="C169" i="9"/>
  <c r="A170" i="9"/>
  <c r="B170" i="9"/>
  <c r="C170" i="9"/>
  <c r="A171" i="9"/>
  <c r="B171" i="9"/>
  <c r="C171" i="9"/>
  <c r="A172" i="9"/>
  <c r="B172" i="9"/>
  <c r="C172" i="9"/>
  <c r="A173" i="9"/>
  <c r="B173" i="9"/>
  <c r="C173" i="9"/>
  <c r="A174" i="9"/>
  <c r="B174" i="9"/>
  <c r="C174" i="9"/>
  <c r="A175" i="9"/>
  <c r="B175" i="9"/>
  <c r="C175" i="9"/>
  <c r="A176" i="9"/>
  <c r="B176" i="9"/>
  <c r="C176" i="9"/>
  <c r="A177" i="9"/>
  <c r="B177" i="9"/>
  <c r="C177" i="9"/>
  <c r="A178" i="9"/>
  <c r="B178" i="9"/>
  <c r="C178" i="9"/>
  <c r="A179" i="9"/>
  <c r="B179" i="9"/>
  <c r="C179" i="9"/>
  <c r="A180" i="9"/>
  <c r="B180" i="9"/>
  <c r="C180" i="9"/>
  <c r="A181" i="9"/>
  <c r="B181" i="9"/>
  <c r="C181" i="9"/>
  <c r="A182" i="9"/>
  <c r="B182" i="9"/>
  <c r="C182" i="9"/>
  <c r="A183" i="9"/>
  <c r="B183" i="9"/>
  <c r="C183" i="9"/>
  <c r="A184" i="9"/>
  <c r="B184" i="9"/>
  <c r="C184" i="9"/>
  <c r="A185" i="9"/>
  <c r="B185" i="9"/>
  <c r="C185" i="9"/>
  <c r="A186" i="9"/>
  <c r="B186" i="9"/>
  <c r="C186" i="9"/>
  <c r="A187" i="9"/>
  <c r="B187" i="9"/>
  <c r="C187" i="9"/>
  <c r="A188" i="9"/>
  <c r="B188" i="9"/>
  <c r="C188" i="9"/>
  <c r="A189" i="9"/>
  <c r="B189" i="9"/>
  <c r="C189" i="9"/>
  <c r="A190" i="9"/>
  <c r="B190" i="9"/>
  <c r="C190" i="9"/>
  <c r="A191" i="9"/>
  <c r="B191" i="9"/>
  <c r="C191" i="9"/>
  <c r="A192" i="9"/>
  <c r="B192" i="9"/>
  <c r="C192" i="9"/>
  <c r="A193" i="9"/>
  <c r="B193" i="9"/>
  <c r="C193" i="9"/>
  <c r="A194" i="9"/>
  <c r="B194" i="9"/>
  <c r="C194" i="9"/>
  <c r="A195" i="9"/>
  <c r="B195" i="9"/>
  <c r="C195" i="9"/>
  <c r="A196" i="9"/>
  <c r="B196" i="9"/>
  <c r="C196" i="9"/>
  <c r="A197" i="9"/>
  <c r="B197" i="9"/>
  <c r="C197" i="9"/>
  <c r="A198" i="9"/>
  <c r="B198" i="9"/>
  <c r="C198" i="9"/>
  <c r="A199" i="9"/>
  <c r="B199" i="9"/>
  <c r="C199" i="9"/>
  <c r="A200" i="9"/>
  <c r="B200" i="9"/>
  <c r="C200" i="9"/>
  <c r="A201" i="9"/>
  <c r="B201" i="9"/>
  <c r="C201" i="9"/>
  <c r="A202" i="9"/>
  <c r="B202" i="9"/>
  <c r="C202" i="9"/>
  <c r="A203" i="9"/>
  <c r="B203" i="9"/>
  <c r="C203" i="9"/>
  <c r="A204" i="9"/>
  <c r="B204" i="9"/>
  <c r="C204" i="9"/>
  <c r="A205" i="9"/>
  <c r="B205" i="9"/>
  <c r="C205" i="9"/>
  <c r="A206" i="9"/>
  <c r="B206" i="9"/>
  <c r="C206" i="9"/>
  <c r="A207" i="9"/>
  <c r="B207" i="9"/>
  <c r="C207" i="9"/>
  <c r="A208" i="9"/>
  <c r="B208" i="9"/>
  <c r="C208" i="9"/>
  <c r="A209" i="9"/>
  <c r="B209" i="9"/>
  <c r="C209" i="9"/>
  <c r="A210" i="9"/>
  <c r="B210" i="9"/>
  <c r="C210" i="9"/>
  <c r="A211" i="9"/>
  <c r="B211" i="9"/>
  <c r="C211" i="9"/>
  <c r="A212" i="9"/>
  <c r="B212" i="9"/>
  <c r="C212" i="9"/>
  <c r="A213" i="9"/>
  <c r="B213" i="9"/>
  <c r="C213" i="9"/>
  <c r="A214" i="9"/>
  <c r="B214" i="9"/>
  <c r="C214" i="9"/>
  <c r="A215" i="9"/>
  <c r="B215" i="9"/>
  <c r="C215" i="9"/>
  <c r="A216" i="9"/>
  <c r="B216" i="9"/>
  <c r="C216" i="9"/>
  <c r="A217" i="9"/>
  <c r="B217" i="9"/>
  <c r="C217" i="9"/>
  <c r="A218" i="9"/>
  <c r="B218" i="9"/>
  <c r="C218" i="9"/>
  <c r="A219" i="9"/>
  <c r="B219" i="9"/>
  <c r="C219" i="9"/>
  <c r="A220" i="9"/>
  <c r="B220" i="9"/>
  <c r="C220" i="9"/>
  <c r="A221" i="9"/>
  <c r="B221" i="9"/>
  <c r="C221" i="9"/>
  <c r="A222" i="9"/>
  <c r="B222" i="9"/>
  <c r="C222" i="9"/>
  <c r="A223" i="9"/>
  <c r="B223" i="9"/>
  <c r="C223" i="9"/>
  <c r="A224" i="9"/>
  <c r="B224" i="9"/>
  <c r="C224" i="9"/>
  <c r="A225" i="9"/>
  <c r="B225" i="9"/>
  <c r="C225" i="9"/>
  <c r="A226" i="9"/>
  <c r="B226" i="9"/>
  <c r="C226" i="9"/>
  <c r="A227" i="9"/>
  <c r="B227" i="9"/>
  <c r="C227" i="9"/>
  <c r="A228" i="9"/>
  <c r="B228" i="9"/>
  <c r="C228" i="9"/>
  <c r="A229" i="9"/>
  <c r="B229" i="9"/>
  <c r="C229" i="9"/>
  <c r="A230" i="9"/>
  <c r="B230" i="9"/>
  <c r="C230" i="9"/>
  <c r="A231" i="9"/>
  <c r="B231" i="9"/>
  <c r="C231" i="9"/>
  <c r="A232" i="9"/>
  <c r="B232" i="9"/>
  <c r="C232" i="9"/>
  <c r="A233" i="9"/>
  <c r="B233" i="9"/>
  <c r="C233" i="9"/>
  <c r="A234" i="9"/>
  <c r="B234" i="9"/>
  <c r="C234" i="9"/>
  <c r="A235" i="9"/>
  <c r="B235" i="9"/>
  <c r="C235" i="9"/>
  <c r="A236" i="9"/>
  <c r="B236" i="9"/>
  <c r="C236" i="9"/>
  <c r="A237" i="9"/>
  <c r="B237" i="9"/>
  <c r="C237" i="9"/>
  <c r="A238" i="9"/>
  <c r="B238" i="9"/>
  <c r="C238" i="9"/>
  <c r="A239" i="9"/>
  <c r="B239" i="9"/>
  <c r="C239" i="9"/>
  <c r="A240" i="9"/>
  <c r="B240" i="9"/>
  <c r="C240" i="9"/>
  <c r="A241" i="9"/>
  <c r="B241" i="9"/>
  <c r="C241" i="9"/>
  <c r="A242" i="9"/>
  <c r="B242" i="9"/>
  <c r="C242" i="9"/>
  <c r="A243" i="9"/>
  <c r="B243" i="9"/>
  <c r="C243" i="9"/>
  <c r="A244" i="9"/>
  <c r="B244" i="9"/>
  <c r="C244" i="9"/>
  <c r="A245" i="9"/>
  <c r="B245" i="9"/>
  <c r="C245" i="9"/>
  <c r="A246" i="9"/>
  <c r="B246" i="9"/>
  <c r="C246" i="9"/>
  <c r="A247" i="9"/>
  <c r="B247" i="9"/>
  <c r="C247" i="9"/>
  <c r="A248" i="9"/>
  <c r="B248" i="9"/>
  <c r="C248" i="9"/>
  <c r="A249" i="9"/>
  <c r="B249" i="9"/>
  <c r="C249" i="9"/>
  <c r="A250" i="9"/>
  <c r="B250" i="9"/>
  <c r="C250" i="9"/>
  <c r="A251" i="9"/>
  <c r="B251" i="9"/>
  <c r="C251" i="9"/>
  <c r="A252" i="9"/>
  <c r="B252" i="9"/>
  <c r="C252" i="9"/>
  <c r="A253" i="9"/>
  <c r="B253" i="9"/>
  <c r="C253" i="9"/>
  <c r="A254" i="9"/>
  <c r="B254" i="9"/>
  <c r="C254" i="9"/>
  <c r="A255" i="9"/>
  <c r="B255" i="9"/>
  <c r="C255" i="9"/>
  <c r="A256" i="9"/>
  <c r="B256" i="9"/>
  <c r="C256" i="9"/>
  <c r="A257" i="9"/>
  <c r="B257" i="9"/>
  <c r="C257" i="9"/>
  <c r="A258" i="9"/>
  <c r="B258" i="9"/>
  <c r="C258" i="9"/>
  <c r="A259" i="9"/>
  <c r="B259" i="9"/>
  <c r="C259" i="9"/>
  <c r="A260" i="9"/>
  <c r="B260" i="9"/>
  <c r="C260" i="9"/>
  <c r="A261" i="9"/>
  <c r="B261" i="9"/>
  <c r="C261" i="9"/>
  <c r="A262" i="9"/>
  <c r="B262" i="9"/>
  <c r="C262" i="9"/>
  <c r="A263" i="9"/>
  <c r="B263" i="9"/>
  <c r="C263" i="9"/>
  <c r="A264" i="9"/>
  <c r="B264" i="9"/>
  <c r="C264" i="9"/>
  <c r="A265" i="9"/>
  <c r="B265" i="9"/>
  <c r="C265" i="9"/>
  <c r="A266" i="9"/>
  <c r="B266" i="9"/>
  <c r="C266" i="9"/>
  <c r="A267" i="9"/>
  <c r="B267" i="9"/>
  <c r="C267" i="9"/>
  <c r="A268" i="9"/>
  <c r="B268" i="9"/>
  <c r="C268" i="9"/>
  <c r="A269" i="9"/>
  <c r="B269" i="9"/>
  <c r="C269" i="9"/>
  <c r="A270" i="9"/>
  <c r="B270" i="9"/>
  <c r="C270" i="9"/>
  <c r="A271" i="9"/>
  <c r="B271" i="9"/>
  <c r="C271" i="9"/>
  <c r="A272" i="9"/>
  <c r="B272" i="9"/>
  <c r="C272" i="9"/>
  <c r="A273" i="9"/>
  <c r="B273" i="9"/>
  <c r="C273" i="9"/>
  <c r="A274" i="9"/>
  <c r="B274" i="9"/>
  <c r="C274" i="9"/>
  <c r="A275" i="9"/>
  <c r="B275" i="9"/>
  <c r="C275" i="9"/>
  <c r="A276" i="9"/>
  <c r="B276" i="9"/>
  <c r="C276" i="9"/>
  <c r="A277" i="9"/>
  <c r="B277" i="9"/>
  <c r="C277" i="9"/>
  <c r="A278" i="9"/>
  <c r="B278" i="9"/>
  <c r="C278" i="9"/>
  <c r="A279" i="9"/>
  <c r="B279" i="9"/>
  <c r="C279" i="9"/>
  <c r="A280" i="9"/>
  <c r="B280" i="9"/>
  <c r="C280" i="9"/>
  <c r="A281" i="9"/>
  <c r="B281" i="9"/>
  <c r="C281" i="9"/>
  <c r="A282" i="9"/>
  <c r="B282" i="9"/>
  <c r="C282" i="9"/>
  <c r="A283" i="9"/>
  <c r="B283" i="9"/>
  <c r="C283" i="9"/>
  <c r="A284" i="9"/>
  <c r="B284" i="9"/>
  <c r="C284" i="9"/>
  <c r="A285" i="9"/>
  <c r="B285" i="9"/>
  <c r="C285" i="9"/>
  <c r="A286" i="9"/>
  <c r="B286" i="9"/>
  <c r="C286" i="9"/>
  <c r="A287" i="9"/>
  <c r="B287" i="9"/>
  <c r="C287" i="9"/>
  <c r="A288" i="9"/>
  <c r="B288" i="9"/>
  <c r="C288" i="9"/>
  <c r="A289" i="9"/>
  <c r="B289" i="9"/>
  <c r="C289" i="9"/>
  <c r="A290" i="9"/>
  <c r="B290" i="9"/>
  <c r="C290" i="9"/>
  <c r="A291" i="9"/>
  <c r="B291" i="9"/>
  <c r="C291" i="9"/>
  <c r="A292" i="9"/>
  <c r="B292" i="9"/>
  <c r="C292" i="9"/>
  <c r="A293" i="9"/>
  <c r="B293" i="9"/>
  <c r="C293" i="9"/>
  <c r="A294" i="9"/>
  <c r="B294" i="9"/>
  <c r="C294" i="9"/>
  <c r="A295" i="9"/>
  <c r="B295" i="9"/>
  <c r="C295" i="9"/>
  <c r="A296" i="9"/>
  <c r="B296" i="9"/>
  <c r="C296" i="9"/>
  <c r="A297" i="9"/>
  <c r="B297" i="9"/>
  <c r="C297" i="9"/>
  <c r="A298" i="9"/>
  <c r="B298" i="9"/>
  <c r="C298" i="9"/>
  <c r="A299" i="9"/>
  <c r="B299" i="9"/>
  <c r="C299" i="9"/>
  <c r="A300" i="9"/>
  <c r="B300" i="9"/>
  <c r="C300" i="9"/>
  <c r="A301" i="9"/>
  <c r="B301" i="9"/>
  <c r="C301" i="9"/>
  <c r="A302" i="9"/>
  <c r="B302" i="9"/>
  <c r="C302" i="9"/>
  <c r="A303" i="9"/>
  <c r="B303" i="9"/>
  <c r="C303" i="9"/>
  <c r="A304" i="9"/>
  <c r="B304" i="9"/>
  <c r="C304" i="9"/>
  <c r="A305" i="9"/>
  <c r="B305" i="9"/>
  <c r="C305" i="9"/>
  <c r="A306" i="9"/>
  <c r="B306" i="9"/>
  <c r="C306" i="9"/>
  <c r="A307" i="9"/>
  <c r="B307" i="9"/>
  <c r="C307" i="9"/>
  <c r="A308" i="9"/>
  <c r="B308" i="9"/>
  <c r="C308" i="9"/>
  <c r="A309" i="9"/>
  <c r="B309" i="9"/>
  <c r="C309" i="9"/>
  <c r="A310" i="9"/>
  <c r="B310" i="9"/>
  <c r="C310" i="9"/>
  <c r="A311" i="9"/>
  <c r="B311" i="9"/>
  <c r="C311" i="9"/>
  <c r="A312" i="9"/>
  <c r="B312" i="9"/>
  <c r="C312" i="9"/>
  <c r="A313" i="9"/>
  <c r="B313" i="9"/>
  <c r="C313" i="9"/>
  <c r="A314" i="9"/>
  <c r="B314" i="9"/>
  <c r="C314" i="9"/>
  <c r="A315" i="9"/>
  <c r="B315" i="9"/>
  <c r="C315" i="9"/>
  <c r="A316" i="9"/>
  <c r="B316" i="9"/>
  <c r="C316" i="9"/>
  <c r="A317" i="9"/>
  <c r="B317" i="9"/>
  <c r="C317" i="9"/>
  <c r="A318" i="9"/>
  <c r="B318" i="9"/>
  <c r="C318" i="9"/>
  <c r="A319" i="9"/>
  <c r="B319" i="9"/>
  <c r="C319" i="9"/>
  <c r="A7" i="33"/>
  <c r="B7" i="33"/>
  <c r="A8" i="33"/>
  <c r="B8" i="33"/>
  <c r="A9" i="33"/>
  <c r="B9" i="33"/>
  <c r="A10" i="33"/>
  <c r="B10" i="33"/>
  <c r="A11" i="33"/>
  <c r="B11" i="33"/>
  <c r="A12" i="33"/>
  <c r="B12" i="33"/>
  <c r="A13" i="33"/>
  <c r="B13" i="33"/>
  <c r="A14" i="33"/>
  <c r="B14" i="33"/>
  <c r="A15" i="33"/>
  <c r="B15" i="33"/>
  <c r="A16" i="33"/>
  <c r="B16" i="33"/>
  <c r="A17" i="33"/>
  <c r="B17" i="33"/>
  <c r="A18" i="33"/>
  <c r="B18" i="33"/>
  <c r="A19" i="33"/>
  <c r="B19" i="33"/>
  <c r="A20" i="33"/>
  <c r="B20" i="33"/>
  <c r="A21" i="33"/>
  <c r="B21" i="33"/>
  <c r="A22" i="33"/>
  <c r="B22" i="33"/>
  <c r="A23" i="33"/>
  <c r="B23" i="33"/>
  <c r="A24" i="33"/>
  <c r="B24" i="33"/>
  <c r="A25" i="33"/>
  <c r="B25" i="33"/>
  <c r="A26" i="33"/>
  <c r="B26" i="33"/>
  <c r="A27" i="33"/>
  <c r="B27" i="33"/>
  <c r="A28" i="33"/>
  <c r="B28" i="33"/>
  <c r="A29" i="33"/>
  <c r="B29" i="33"/>
  <c r="A30" i="33"/>
  <c r="B30" i="33"/>
  <c r="A31" i="33"/>
  <c r="B31" i="33"/>
  <c r="A32" i="33"/>
  <c r="B32" i="33"/>
  <c r="A33" i="33"/>
  <c r="B33" i="33"/>
  <c r="A34" i="33"/>
  <c r="B34" i="33"/>
  <c r="A35" i="33"/>
  <c r="B35" i="33"/>
  <c r="A36" i="33"/>
  <c r="B36" i="33"/>
  <c r="A37" i="33"/>
  <c r="B37" i="33"/>
  <c r="A38" i="33"/>
  <c r="B38" i="33"/>
  <c r="A39" i="33"/>
  <c r="B39" i="33"/>
  <c r="A40" i="33"/>
  <c r="B40" i="33"/>
  <c r="A41" i="33"/>
  <c r="B41" i="33"/>
  <c r="A42" i="33"/>
  <c r="B42" i="33"/>
  <c r="A43" i="33"/>
  <c r="B43" i="33"/>
  <c r="A44" i="33"/>
  <c r="B44" i="33"/>
  <c r="A45" i="33"/>
  <c r="B45" i="33"/>
  <c r="A46" i="33"/>
  <c r="B46" i="33"/>
  <c r="A47" i="33"/>
  <c r="B47" i="33"/>
  <c r="A48" i="33"/>
  <c r="B48" i="33"/>
  <c r="A49" i="33"/>
  <c r="B49" i="33"/>
  <c r="A50" i="33"/>
  <c r="B50" i="33"/>
  <c r="A51" i="33"/>
  <c r="B51" i="33"/>
  <c r="A52" i="33"/>
  <c r="B52" i="33"/>
  <c r="A53" i="33"/>
  <c r="B53" i="33"/>
  <c r="A54" i="33"/>
  <c r="B54" i="33"/>
  <c r="A55" i="33"/>
  <c r="B55" i="33"/>
  <c r="A56" i="33"/>
  <c r="B56" i="33"/>
  <c r="A57" i="33"/>
  <c r="B57" i="33"/>
  <c r="A58" i="33"/>
  <c r="B58" i="33"/>
  <c r="A59" i="33"/>
  <c r="B59" i="33"/>
  <c r="A60" i="33"/>
  <c r="B60" i="33"/>
  <c r="A61" i="33"/>
  <c r="B61" i="33"/>
  <c r="A62" i="33"/>
  <c r="B62" i="33"/>
  <c r="A63" i="33"/>
  <c r="B63" i="33"/>
  <c r="A64" i="33"/>
  <c r="B64" i="33"/>
  <c r="A65" i="33"/>
  <c r="B65" i="33"/>
  <c r="A66" i="33"/>
  <c r="B66" i="33"/>
  <c r="A67" i="33"/>
  <c r="B67" i="33"/>
  <c r="A68" i="33"/>
  <c r="B68" i="33"/>
  <c r="A69" i="33"/>
  <c r="B69" i="33"/>
  <c r="A70" i="33"/>
  <c r="B70" i="33"/>
  <c r="A71" i="33"/>
  <c r="B71" i="33"/>
  <c r="A72" i="33"/>
  <c r="B72" i="33"/>
  <c r="A73" i="33"/>
  <c r="B73" i="33"/>
  <c r="A74" i="33"/>
  <c r="B74" i="33"/>
  <c r="A75" i="33"/>
  <c r="B75" i="33"/>
  <c r="A76" i="33"/>
  <c r="B76" i="33"/>
  <c r="A77" i="33"/>
  <c r="B77" i="33"/>
  <c r="A78" i="33"/>
  <c r="B78" i="33"/>
  <c r="A79" i="33"/>
  <c r="B79" i="33"/>
  <c r="A80" i="33"/>
  <c r="B80" i="33"/>
  <c r="A81" i="33"/>
  <c r="B81" i="33"/>
  <c r="A82" i="33"/>
  <c r="B82" i="33"/>
  <c r="A83" i="33"/>
  <c r="B83" i="33"/>
  <c r="A84" i="33"/>
  <c r="B84" i="33"/>
  <c r="A85" i="33"/>
  <c r="B85" i="33"/>
  <c r="A86" i="33"/>
  <c r="B86" i="33"/>
  <c r="A87" i="33"/>
  <c r="B87" i="33"/>
  <c r="A88" i="33"/>
  <c r="B88" i="33"/>
  <c r="A89" i="33"/>
  <c r="B89" i="33"/>
  <c r="A90" i="33"/>
  <c r="B90" i="33"/>
  <c r="A91" i="33"/>
  <c r="B91" i="33"/>
  <c r="A92" i="33"/>
  <c r="B92" i="33"/>
  <c r="A93" i="33"/>
  <c r="B93" i="33"/>
  <c r="A94" i="33"/>
  <c r="B94" i="33"/>
  <c r="A95" i="33"/>
  <c r="B95" i="33"/>
  <c r="A96" i="33"/>
  <c r="B96" i="33"/>
  <c r="A97" i="33"/>
  <c r="B97" i="33"/>
  <c r="A98" i="33"/>
  <c r="B98" i="33"/>
  <c r="A99" i="33"/>
  <c r="B99" i="33"/>
  <c r="A100" i="33"/>
  <c r="B100" i="33"/>
  <c r="A101" i="33"/>
  <c r="B101" i="33"/>
  <c r="A102" i="33"/>
  <c r="B102" i="33"/>
  <c r="A103" i="33"/>
  <c r="B103" i="33"/>
  <c r="A104" i="33"/>
  <c r="B104" i="33"/>
  <c r="A105" i="33"/>
  <c r="B105" i="33"/>
  <c r="A106" i="33"/>
  <c r="B106" i="33"/>
  <c r="A107" i="33"/>
  <c r="B107" i="33"/>
  <c r="A108" i="33"/>
  <c r="B108" i="33"/>
  <c r="A109" i="33"/>
  <c r="B109" i="33"/>
  <c r="A110" i="33"/>
  <c r="B110" i="33"/>
  <c r="A111" i="33"/>
  <c r="B111" i="33"/>
  <c r="A112" i="33"/>
  <c r="B112" i="33"/>
  <c r="A113" i="33"/>
  <c r="B113" i="33"/>
  <c r="A114" i="33"/>
  <c r="B114" i="33"/>
  <c r="A115" i="33"/>
  <c r="B115" i="33"/>
  <c r="A116" i="33"/>
  <c r="B116" i="33"/>
  <c r="A117" i="33"/>
  <c r="B117" i="33"/>
  <c r="A118" i="33"/>
  <c r="B118" i="33"/>
  <c r="A119" i="33"/>
  <c r="B119" i="33"/>
  <c r="A120" i="33"/>
  <c r="B120" i="33"/>
  <c r="A121" i="33"/>
  <c r="B121" i="33"/>
  <c r="A122" i="33"/>
  <c r="B122" i="33"/>
  <c r="A123" i="33"/>
  <c r="B123" i="33"/>
  <c r="A124" i="33"/>
  <c r="B124" i="33"/>
  <c r="A125" i="33"/>
  <c r="B125" i="33"/>
  <c r="A126" i="33"/>
  <c r="B126" i="33"/>
  <c r="A127" i="33"/>
  <c r="B127" i="33"/>
  <c r="A128" i="33"/>
  <c r="B128" i="33"/>
  <c r="A129" i="33"/>
  <c r="B129" i="33"/>
  <c r="A130" i="33"/>
  <c r="B130" i="33"/>
  <c r="A131" i="33"/>
  <c r="B131" i="33"/>
  <c r="A132" i="33"/>
  <c r="B132" i="33"/>
  <c r="A133" i="33"/>
  <c r="B133" i="33"/>
  <c r="A134" i="33"/>
  <c r="B134" i="33"/>
  <c r="A135" i="33"/>
  <c r="B135" i="33"/>
  <c r="A136" i="33"/>
  <c r="B136" i="33"/>
  <c r="A137" i="33"/>
  <c r="B137" i="33"/>
  <c r="A138" i="33"/>
  <c r="B138" i="33"/>
  <c r="A139" i="33"/>
  <c r="B139" i="33"/>
  <c r="A140" i="33"/>
  <c r="B140" i="33"/>
  <c r="A141" i="33"/>
  <c r="B141" i="33"/>
  <c r="A142" i="33"/>
  <c r="B142" i="33"/>
  <c r="A143" i="33"/>
  <c r="B143" i="33"/>
  <c r="A144" i="33"/>
  <c r="B144" i="33"/>
  <c r="A145" i="33"/>
  <c r="B145" i="33"/>
  <c r="A146" i="33"/>
  <c r="B146" i="33"/>
  <c r="A147" i="33"/>
  <c r="B147" i="33"/>
  <c r="A148" i="33"/>
  <c r="B148" i="33"/>
  <c r="A149" i="33"/>
  <c r="B149" i="33"/>
  <c r="A150" i="33"/>
  <c r="B150" i="33"/>
  <c r="A151" i="33"/>
  <c r="B151" i="33"/>
  <c r="A152" i="33"/>
  <c r="B152" i="33"/>
  <c r="A153" i="33"/>
  <c r="B153" i="33"/>
  <c r="A154" i="33"/>
  <c r="B154" i="33"/>
  <c r="A155" i="33"/>
  <c r="B155" i="33"/>
  <c r="A156" i="33"/>
  <c r="B156" i="33"/>
  <c r="A157" i="33"/>
  <c r="B157" i="33"/>
  <c r="A158" i="33"/>
  <c r="B158" i="33"/>
  <c r="A159" i="33"/>
  <c r="B159" i="33"/>
  <c r="A160" i="33"/>
  <c r="B160" i="33"/>
  <c r="A161" i="33"/>
  <c r="B161" i="33"/>
  <c r="A162" i="33"/>
  <c r="B162" i="33"/>
  <c r="A163" i="33"/>
  <c r="B163" i="33"/>
  <c r="A164" i="33"/>
  <c r="B164" i="33"/>
  <c r="A165" i="33"/>
  <c r="B165" i="33"/>
  <c r="A166" i="33"/>
  <c r="B166" i="33"/>
  <c r="A167" i="33"/>
  <c r="B167" i="33"/>
  <c r="A168" i="33"/>
  <c r="B168" i="33"/>
  <c r="A169" i="33"/>
  <c r="B169" i="33"/>
  <c r="A170" i="33"/>
  <c r="B170" i="33"/>
  <c r="A171" i="33"/>
  <c r="B171" i="33"/>
  <c r="A172" i="33"/>
  <c r="B172" i="33"/>
  <c r="A173" i="33"/>
  <c r="B173" i="33"/>
  <c r="A174" i="33"/>
  <c r="B174" i="33"/>
  <c r="A175" i="33"/>
  <c r="B175" i="33"/>
  <c r="A176" i="33"/>
  <c r="B176" i="33"/>
  <c r="A177" i="33"/>
  <c r="B177" i="33"/>
  <c r="A178" i="33"/>
  <c r="B178" i="33"/>
  <c r="A179" i="33"/>
  <c r="B179" i="33"/>
  <c r="A180" i="33"/>
  <c r="B180" i="33"/>
  <c r="A181" i="33"/>
  <c r="B181" i="33"/>
  <c r="A182" i="33"/>
  <c r="B182" i="33"/>
  <c r="A183" i="33"/>
  <c r="B183" i="33"/>
  <c r="A184" i="33"/>
  <c r="B184" i="33"/>
  <c r="A185" i="33"/>
  <c r="B185" i="33"/>
  <c r="A186" i="33"/>
  <c r="B186" i="33"/>
  <c r="A187" i="33"/>
  <c r="B187" i="33"/>
  <c r="A188" i="33"/>
  <c r="B188" i="33"/>
  <c r="A189" i="33"/>
  <c r="B189" i="33"/>
  <c r="A190" i="33"/>
  <c r="B190" i="33"/>
  <c r="A191" i="33"/>
  <c r="B191" i="33"/>
  <c r="A192" i="33"/>
  <c r="B192" i="33"/>
  <c r="A193" i="33"/>
  <c r="B193" i="33"/>
  <c r="A194" i="33"/>
  <c r="B194" i="33"/>
  <c r="A195" i="33"/>
  <c r="B195" i="33"/>
  <c r="A196" i="33"/>
  <c r="B196" i="33"/>
  <c r="A197" i="33"/>
  <c r="B197" i="33"/>
  <c r="A198" i="33"/>
  <c r="B198" i="33"/>
  <c r="A199" i="33"/>
  <c r="B199" i="33"/>
  <c r="A200" i="33"/>
  <c r="B200" i="33"/>
  <c r="A201" i="33"/>
  <c r="B201" i="33"/>
  <c r="A202" i="33"/>
  <c r="B202" i="33"/>
  <c r="A203" i="33"/>
  <c r="B203" i="33"/>
  <c r="A204" i="33"/>
  <c r="B204" i="33"/>
  <c r="A205" i="33"/>
  <c r="B205" i="33"/>
  <c r="A206" i="33"/>
  <c r="B206" i="33"/>
  <c r="A207" i="33"/>
  <c r="B207" i="33"/>
  <c r="A208" i="33"/>
  <c r="B208" i="33"/>
  <c r="A209" i="33"/>
  <c r="B209" i="33"/>
  <c r="A210" i="33"/>
  <c r="B210" i="33"/>
  <c r="A211" i="33"/>
  <c r="B211" i="33"/>
  <c r="A212" i="33"/>
  <c r="B212" i="33"/>
  <c r="A213" i="33"/>
  <c r="B213" i="33"/>
  <c r="A214" i="33"/>
  <c r="B214" i="33"/>
  <c r="A215" i="33"/>
  <c r="B215" i="33"/>
  <c r="A216" i="33"/>
  <c r="B216" i="33"/>
  <c r="A217" i="33"/>
  <c r="B217" i="33"/>
  <c r="A218" i="33"/>
  <c r="B218" i="33"/>
  <c r="A219" i="33"/>
  <c r="B219" i="33"/>
  <c r="A220" i="33"/>
  <c r="B220" i="33"/>
  <c r="A221" i="33"/>
  <c r="B221" i="33"/>
  <c r="A222" i="33"/>
  <c r="B222" i="33"/>
  <c r="A223" i="33"/>
  <c r="B223" i="33"/>
  <c r="A224" i="33"/>
  <c r="B224" i="33"/>
  <c r="A225" i="33"/>
  <c r="B225" i="33"/>
  <c r="A226" i="33"/>
  <c r="B226" i="33"/>
  <c r="A227" i="33"/>
  <c r="B227" i="33"/>
  <c r="A228" i="33"/>
  <c r="B228" i="33"/>
  <c r="A229" i="33"/>
  <c r="B229" i="33"/>
  <c r="A230" i="33"/>
  <c r="B230" i="33"/>
  <c r="A231" i="33"/>
  <c r="B231" i="33"/>
  <c r="A232" i="33"/>
  <c r="B232" i="33"/>
  <c r="A233" i="33"/>
  <c r="B233" i="33"/>
  <c r="A234" i="33"/>
  <c r="B234" i="33"/>
  <c r="A235" i="33"/>
  <c r="B235" i="33"/>
  <c r="A236" i="33"/>
  <c r="B236" i="33"/>
  <c r="A237" i="33"/>
  <c r="B237" i="33"/>
  <c r="A238" i="33"/>
  <c r="B238" i="33"/>
  <c r="A239" i="33"/>
  <c r="B239" i="33"/>
  <c r="A240" i="33"/>
  <c r="B240" i="33"/>
  <c r="A241" i="33"/>
  <c r="B241" i="33"/>
  <c r="A242" i="33"/>
  <c r="B242" i="33"/>
  <c r="A243" i="33"/>
  <c r="B243" i="33"/>
  <c r="A244" i="33"/>
  <c r="B244" i="33"/>
  <c r="A245" i="33"/>
  <c r="B245" i="33"/>
  <c r="A246" i="33"/>
  <c r="B246" i="33"/>
  <c r="A247" i="33"/>
  <c r="B247" i="33"/>
  <c r="A248" i="33"/>
  <c r="B248" i="33"/>
  <c r="A249" i="33"/>
  <c r="B249" i="33"/>
  <c r="A250" i="33"/>
  <c r="B250" i="33"/>
  <c r="A251" i="33"/>
  <c r="B251" i="33"/>
  <c r="A252" i="33"/>
  <c r="B252" i="33"/>
  <c r="A253" i="33"/>
  <c r="B253" i="33"/>
  <c r="A254" i="33"/>
  <c r="B254" i="33"/>
  <c r="A255" i="33"/>
  <c r="B255" i="33"/>
  <c r="A256" i="33"/>
  <c r="B256" i="33"/>
  <c r="A257" i="33"/>
  <c r="B257" i="33"/>
  <c r="A258" i="33"/>
  <c r="B258" i="33"/>
  <c r="A259" i="33"/>
  <c r="B259" i="33"/>
  <c r="A260" i="33"/>
  <c r="B260" i="33"/>
  <c r="A261" i="33"/>
  <c r="B261" i="33"/>
  <c r="A262" i="33"/>
  <c r="B262" i="33"/>
  <c r="A263" i="33"/>
  <c r="B263" i="33"/>
  <c r="A264" i="33"/>
  <c r="B264" i="33"/>
  <c r="A265" i="33"/>
  <c r="B265" i="33"/>
  <c r="A266" i="33"/>
  <c r="B266" i="33"/>
  <c r="A267" i="33"/>
  <c r="B267" i="33"/>
  <c r="A268" i="33"/>
  <c r="B268" i="33"/>
  <c r="A269" i="33"/>
  <c r="B269" i="33"/>
  <c r="A270" i="33"/>
  <c r="B270" i="33"/>
  <c r="A271" i="33"/>
  <c r="B271" i="33"/>
  <c r="A272" i="33"/>
  <c r="B272" i="33"/>
  <c r="A273" i="33"/>
  <c r="B273" i="33"/>
  <c r="A274" i="33"/>
  <c r="B274" i="33"/>
  <c r="A275" i="33"/>
  <c r="B275" i="33"/>
  <c r="A276" i="33"/>
  <c r="B276" i="33"/>
  <c r="A277" i="33"/>
  <c r="B277" i="33"/>
  <c r="A278" i="33"/>
  <c r="B278" i="33"/>
  <c r="A279" i="33"/>
  <c r="B279" i="33"/>
  <c r="A280" i="33"/>
  <c r="B280" i="33"/>
  <c r="A281" i="33"/>
  <c r="B281" i="33"/>
  <c r="A282" i="33"/>
  <c r="B282" i="33"/>
  <c r="A283" i="33"/>
  <c r="B283" i="33"/>
  <c r="A284" i="33"/>
  <c r="B284" i="33"/>
  <c r="A285" i="33"/>
  <c r="B285" i="33"/>
  <c r="A286" i="33"/>
  <c r="B286" i="33"/>
  <c r="A287" i="33"/>
  <c r="B287" i="33"/>
  <c r="A288" i="33"/>
  <c r="B288" i="33"/>
  <c r="A289" i="33"/>
  <c r="B289" i="33"/>
  <c r="A290" i="33"/>
  <c r="B290" i="33"/>
  <c r="A291" i="33"/>
  <c r="B291" i="33"/>
  <c r="A292" i="33"/>
  <c r="B292" i="33"/>
  <c r="A293" i="33"/>
  <c r="B293" i="33"/>
  <c r="A294" i="33"/>
  <c r="B294" i="33"/>
  <c r="A295" i="33"/>
  <c r="B295" i="33"/>
  <c r="A296" i="33"/>
  <c r="B296" i="33"/>
  <c r="A297" i="33"/>
  <c r="B297" i="33"/>
  <c r="A298" i="33"/>
  <c r="B298" i="33"/>
  <c r="A299" i="33"/>
  <c r="B299" i="33"/>
  <c r="A300" i="33"/>
  <c r="B300" i="33"/>
  <c r="A301" i="33"/>
  <c r="B301" i="33"/>
  <c r="A302" i="33"/>
  <c r="B302" i="33"/>
  <c r="A303" i="33"/>
  <c r="B303" i="33"/>
  <c r="A304" i="33"/>
  <c r="B304" i="33"/>
  <c r="A305" i="33"/>
  <c r="B305" i="33"/>
  <c r="A306" i="33"/>
  <c r="B306" i="33"/>
  <c r="A307" i="33"/>
  <c r="B307" i="33"/>
  <c r="A308" i="33"/>
  <c r="B308" i="33"/>
  <c r="A309" i="33"/>
  <c r="B309" i="33"/>
  <c r="A310" i="33"/>
  <c r="B310" i="33"/>
  <c r="A311" i="33"/>
  <c r="B311" i="33"/>
  <c r="A312" i="33"/>
  <c r="B312" i="33"/>
  <c r="A313" i="33"/>
  <c r="B313" i="33"/>
  <c r="A7" i="32"/>
  <c r="B7" i="32"/>
  <c r="A8" i="32"/>
  <c r="B8" i="32"/>
  <c r="A9" i="32"/>
  <c r="B9" i="32"/>
  <c r="A10" i="32"/>
  <c r="B10" i="32"/>
  <c r="A11" i="32"/>
  <c r="B11" i="32"/>
  <c r="A12" i="32"/>
  <c r="B12" i="32"/>
  <c r="A13" i="32"/>
  <c r="B13" i="32"/>
  <c r="A14" i="32"/>
  <c r="B14" i="32"/>
  <c r="A15" i="32"/>
  <c r="B15" i="32"/>
  <c r="A16" i="32"/>
  <c r="B16" i="32"/>
  <c r="A17" i="32"/>
  <c r="B17" i="32"/>
  <c r="A18" i="32"/>
  <c r="B18" i="32"/>
  <c r="A19" i="32"/>
  <c r="B19" i="32"/>
  <c r="A20" i="32"/>
  <c r="B20" i="32"/>
  <c r="A21" i="32"/>
  <c r="B21" i="32"/>
  <c r="A22" i="32"/>
  <c r="B22" i="32"/>
  <c r="A23" i="32"/>
  <c r="B23" i="32"/>
  <c r="A24" i="32"/>
  <c r="B24" i="32"/>
  <c r="A25" i="32"/>
  <c r="B25" i="32"/>
  <c r="A26" i="32"/>
  <c r="B26" i="32"/>
  <c r="A27" i="32"/>
  <c r="B27" i="32"/>
  <c r="A28" i="32"/>
  <c r="B28" i="32"/>
  <c r="A29" i="32"/>
  <c r="B29" i="32"/>
  <c r="A30" i="32"/>
  <c r="B30" i="32"/>
  <c r="A31" i="32"/>
  <c r="B31" i="32"/>
  <c r="A32" i="32"/>
  <c r="B32" i="32"/>
  <c r="A33" i="32"/>
  <c r="B33" i="32"/>
  <c r="A34" i="32"/>
  <c r="B34" i="32"/>
  <c r="A35" i="32"/>
  <c r="B35" i="32"/>
  <c r="A36" i="32"/>
  <c r="B36" i="32"/>
  <c r="A37" i="32"/>
  <c r="B37" i="32"/>
  <c r="A38" i="32"/>
  <c r="B38" i="32"/>
  <c r="A39" i="32"/>
  <c r="B39" i="32"/>
  <c r="A40" i="32"/>
  <c r="B40" i="32"/>
  <c r="A41" i="32"/>
  <c r="B41" i="32"/>
  <c r="A42" i="32"/>
  <c r="B42" i="32"/>
  <c r="A43" i="32"/>
  <c r="B43" i="32"/>
  <c r="A44" i="32"/>
  <c r="B44" i="32"/>
  <c r="A45" i="32"/>
  <c r="B45" i="32"/>
  <c r="A46" i="32"/>
  <c r="B46" i="32"/>
  <c r="A47" i="32"/>
  <c r="B47" i="32"/>
  <c r="A48" i="32"/>
  <c r="B48" i="32"/>
  <c r="A49" i="32"/>
  <c r="B49" i="32"/>
  <c r="A50" i="32"/>
  <c r="B50" i="32"/>
  <c r="A51" i="32"/>
  <c r="B51" i="32"/>
  <c r="A52" i="32"/>
  <c r="B52" i="32"/>
  <c r="A53" i="32"/>
  <c r="B53" i="32"/>
  <c r="A54" i="32"/>
  <c r="B54" i="32"/>
  <c r="A55" i="32"/>
  <c r="B55" i="32"/>
  <c r="A56" i="32"/>
  <c r="B56" i="32"/>
  <c r="A57" i="32"/>
  <c r="B57" i="32"/>
  <c r="A58" i="32"/>
  <c r="B58" i="32"/>
  <c r="A59" i="32"/>
  <c r="B59" i="32"/>
  <c r="A60" i="32"/>
  <c r="B60" i="32"/>
  <c r="A61" i="32"/>
  <c r="B61" i="32"/>
  <c r="A62" i="32"/>
  <c r="B62" i="32"/>
  <c r="A63" i="32"/>
  <c r="B63" i="32"/>
  <c r="A64" i="32"/>
  <c r="B64" i="32"/>
  <c r="A65" i="32"/>
  <c r="B65" i="32"/>
  <c r="A66" i="32"/>
  <c r="B66" i="32"/>
  <c r="A67" i="32"/>
  <c r="B67" i="32"/>
  <c r="A68" i="32"/>
  <c r="B68" i="32"/>
  <c r="A69" i="32"/>
  <c r="B69" i="32"/>
  <c r="A70" i="32"/>
  <c r="B70" i="32"/>
  <c r="A71" i="32"/>
  <c r="B71" i="32"/>
  <c r="A72" i="32"/>
  <c r="B72" i="32"/>
  <c r="A73" i="32"/>
  <c r="B73" i="32"/>
  <c r="A74" i="32"/>
  <c r="B74" i="32"/>
  <c r="A75" i="32"/>
  <c r="B75" i="32"/>
  <c r="A76" i="32"/>
  <c r="B76" i="32"/>
  <c r="A77" i="32"/>
  <c r="B77" i="32"/>
  <c r="A78" i="32"/>
  <c r="B78" i="32"/>
  <c r="A79" i="32"/>
  <c r="B79" i="32"/>
  <c r="A80" i="32"/>
  <c r="B80" i="32"/>
  <c r="A81" i="32"/>
  <c r="B81" i="32"/>
  <c r="A82" i="32"/>
  <c r="B82" i="32"/>
  <c r="A83" i="32"/>
  <c r="B83" i="32"/>
  <c r="A84" i="32"/>
  <c r="B84" i="32"/>
  <c r="A85" i="32"/>
  <c r="B85" i="32"/>
  <c r="A86" i="32"/>
  <c r="B86" i="32"/>
  <c r="A87" i="32"/>
  <c r="B87" i="32"/>
  <c r="A88" i="32"/>
  <c r="B88" i="32"/>
  <c r="A89" i="32"/>
  <c r="B89" i="32"/>
  <c r="A90" i="32"/>
  <c r="B90" i="32"/>
  <c r="A91" i="32"/>
  <c r="B91" i="32"/>
  <c r="A92" i="32"/>
  <c r="B92" i="32"/>
  <c r="A93" i="32"/>
  <c r="B93" i="32"/>
  <c r="A94" i="32"/>
  <c r="B94" i="32"/>
  <c r="A95" i="32"/>
  <c r="B95" i="32"/>
  <c r="A96" i="32"/>
  <c r="B96" i="32"/>
  <c r="A97" i="32"/>
  <c r="B97" i="32"/>
  <c r="A98" i="32"/>
  <c r="B98" i="32"/>
  <c r="A99" i="32"/>
  <c r="B99" i="32"/>
  <c r="A100" i="32"/>
  <c r="B100" i="32"/>
  <c r="A101" i="32"/>
  <c r="B101" i="32"/>
  <c r="A102" i="32"/>
  <c r="B102" i="32"/>
  <c r="A103" i="32"/>
  <c r="B103" i="32"/>
  <c r="A104" i="32"/>
  <c r="B104" i="32"/>
  <c r="A105" i="32"/>
  <c r="B105" i="32"/>
  <c r="A106" i="32"/>
  <c r="B106" i="32"/>
  <c r="A107" i="32"/>
  <c r="B107" i="32"/>
  <c r="A108" i="32"/>
  <c r="B108" i="32"/>
  <c r="A109" i="32"/>
  <c r="B109" i="32"/>
  <c r="A110" i="32"/>
  <c r="B110" i="32"/>
  <c r="A111" i="32"/>
  <c r="B111" i="32"/>
  <c r="A112" i="32"/>
  <c r="B112" i="32"/>
  <c r="A113" i="32"/>
  <c r="B113" i="32"/>
  <c r="A114" i="32"/>
  <c r="B114" i="32"/>
  <c r="A115" i="32"/>
  <c r="B115" i="32"/>
  <c r="A116" i="32"/>
  <c r="B116" i="32"/>
  <c r="A117" i="32"/>
  <c r="B117" i="32"/>
  <c r="A118" i="32"/>
  <c r="B118" i="32"/>
  <c r="A119" i="32"/>
  <c r="B119" i="32"/>
  <c r="A120" i="32"/>
  <c r="B120" i="32"/>
  <c r="A121" i="32"/>
  <c r="B121" i="32"/>
  <c r="A122" i="32"/>
  <c r="B122" i="32"/>
  <c r="A123" i="32"/>
  <c r="B123" i="32"/>
  <c r="A124" i="32"/>
  <c r="B124" i="32"/>
  <c r="A125" i="32"/>
  <c r="B125" i="32"/>
  <c r="A126" i="32"/>
  <c r="B126" i="32"/>
  <c r="A127" i="32"/>
  <c r="B127" i="32"/>
  <c r="A128" i="32"/>
  <c r="B128" i="32"/>
  <c r="A129" i="32"/>
  <c r="B129" i="32"/>
  <c r="A130" i="32"/>
  <c r="B130" i="32"/>
  <c r="A131" i="32"/>
  <c r="B131" i="32"/>
  <c r="A132" i="32"/>
  <c r="B132" i="32"/>
  <c r="A133" i="32"/>
  <c r="B133" i="32"/>
  <c r="A134" i="32"/>
  <c r="B134" i="32"/>
  <c r="A135" i="32"/>
  <c r="B135" i="32"/>
  <c r="A136" i="32"/>
  <c r="B136" i="32"/>
  <c r="A137" i="32"/>
  <c r="B137" i="32"/>
  <c r="A138" i="32"/>
  <c r="B138" i="32"/>
  <c r="A139" i="32"/>
  <c r="B139" i="32"/>
  <c r="A140" i="32"/>
  <c r="B140" i="32"/>
  <c r="A141" i="32"/>
  <c r="B141" i="32"/>
  <c r="A142" i="32"/>
  <c r="B142" i="32"/>
  <c r="A143" i="32"/>
  <c r="B143" i="32"/>
  <c r="A144" i="32"/>
  <c r="B144" i="32"/>
  <c r="A145" i="32"/>
  <c r="B145" i="32"/>
  <c r="A146" i="32"/>
  <c r="B146" i="32"/>
  <c r="A147" i="32"/>
  <c r="B147" i="32"/>
  <c r="A148" i="32"/>
  <c r="B148" i="32"/>
  <c r="A149" i="32"/>
  <c r="B149" i="32"/>
  <c r="A150" i="32"/>
  <c r="B150" i="32"/>
  <c r="A151" i="32"/>
  <c r="B151" i="32"/>
  <c r="A152" i="32"/>
  <c r="B152" i="32"/>
  <c r="A153" i="32"/>
  <c r="B153" i="32"/>
  <c r="A154" i="32"/>
  <c r="B154" i="32"/>
  <c r="A155" i="32"/>
  <c r="B155" i="32"/>
  <c r="A156" i="32"/>
  <c r="B156" i="32"/>
  <c r="A157" i="32"/>
  <c r="B157" i="32"/>
  <c r="A158" i="32"/>
  <c r="B158" i="32"/>
  <c r="A159" i="32"/>
  <c r="B159" i="32"/>
  <c r="A160" i="32"/>
  <c r="B160" i="32"/>
  <c r="A161" i="32"/>
  <c r="B161" i="32"/>
  <c r="A162" i="32"/>
  <c r="B162" i="32"/>
  <c r="A163" i="32"/>
  <c r="B163" i="32"/>
  <c r="A164" i="32"/>
  <c r="B164" i="32"/>
  <c r="A165" i="32"/>
  <c r="B165" i="32"/>
  <c r="A166" i="32"/>
  <c r="B166" i="32"/>
  <c r="A167" i="32"/>
  <c r="B167" i="32"/>
  <c r="A168" i="32"/>
  <c r="B168" i="32"/>
  <c r="A169" i="32"/>
  <c r="B169" i="32"/>
  <c r="A170" i="32"/>
  <c r="B170" i="32"/>
  <c r="A171" i="32"/>
  <c r="B171" i="32"/>
  <c r="A172" i="32"/>
  <c r="B172" i="32"/>
  <c r="A173" i="32"/>
  <c r="B173" i="32"/>
  <c r="A174" i="32"/>
  <c r="B174" i="32"/>
  <c r="A175" i="32"/>
  <c r="B175" i="32"/>
  <c r="A176" i="32"/>
  <c r="B176" i="32"/>
  <c r="A177" i="32"/>
  <c r="B177" i="32"/>
  <c r="A178" i="32"/>
  <c r="B178" i="32"/>
  <c r="A179" i="32"/>
  <c r="B179" i="32"/>
  <c r="A180" i="32"/>
  <c r="B180" i="32"/>
  <c r="A181" i="32"/>
  <c r="B181" i="32"/>
  <c r="A182" i="32"/>
  <c r="B182" i="32"/>
  <c r="A183" i="32"/>
  <c r="B183" i="32"/>
  <c r="A184" i="32"/>
  <c r="B184" i="32"/>
  <c r="A185" i="32"/>
  <c r="B185" i="32"/>
  <c r="A186" i="32"/>
  <c r="B186" i="32"/>
  <c r="A187" i="32"/>
  <c r="B187" i="32"/>
  <c r="A188" i="32"/>
  <c r="B188" i="32"/>
  <c r="A189" i="32"/>
  <c r="B189" i="32"/>
  <c r="A190" i="32"/>
  <c r="B190" i="32"/>
  <c r="A191" i="32"/>
  <c r="B191" i="32"/>
  <c r="A192" i="32"/>
  <c r="B192" i="32"/>
  <c r="A193" i="32"/>
  <c r="B193" i="32"/>
  <c r="A194" i="32"/>
  <c r="B194" i="32"/>
  <c r="A195" i="32"/>
  <c r="B195" i="32"/>
  <c r="A196" i="32"/>
  <c r="B196" i="32"/>
  <c r="A197" i="32"/>
  <c r="B197" i="32"/>
  <c r="A198" i="32"/>
  <c r="B198" i="32"/>
  <c r="A199" i="32"/>
  <c r="B199" i="32"/>
  <c r="A200" i="32"/>
  <c r="B200" i="32"/>
  <c r="A201" i="32"/>
  <c r="B201" i="32"/>
  <c r="A202" i="32"/>
  <c r="B202" i="32"/>
  <c r="A203" i="32"/>
  <c r="B203" i="32"/>
  <c r="A204" i="32"/>
  <c r="B204" i="32"/>
  <c r="A205" i="32"/>
  <c r="B205" i="32"/>
  <c r="A206" i="32"/>
  <c r="B206" i="32"/>
  <c r="A207" i="32"/>
  <c r="B207" i="32"/>
  <c r="A208" i="32"/>
  <c r="B208" i="32"/>
  <c r="A209" i="32"/>
  <c r="B209" i="32"/>
  <c r="A210" i="32"/>
  <c r="B210" i="32"/>
  <c r="A211" i="32"/>
  <c r="B211" i="32"/>
  <c r="A212" i="32"/>
  <c r="B212" i="32"/>
  <c r="A213" i="32"/>
  <c r="B213" i="32"/>
  <c r="A214" i="32"/>
  <c r="B214" i="32"/>
  <c r="A215" i="32"/>
  <c r="B215" i="32"/>
  <c r="A216" i="32"/>
  <c r="B216" i="32"/>
  <c r="A217" i="32"/>
  <c r="B217" i="32"/>
  <c r="A218" i="32"/>
  <c r="B218" i="32"/>
  <c r="A219" i="32"/>
  <c r="B219" i="32"/>
  <c r="A220" i="32"/>
  <c r="B220" i="32"/>
  <c r="A221" i="32"/>
  <c r="B221" i="32"/>
  <c r="A222" i="32"/>
  <c r="B222" i="32"/>
  <c r="A223" i="32"/>
  <c r="B223" i="32"/>
  <c r="A224" i="32"/>
  <c r="B224" i="32"/>
  <c r="A225" i="32"/>
  <c r="B225" i="32"/>
  <c r="A226" i="32"/>
  <c r="B226" i="32"/>
  <c r="A227" i="32"/>
  <c r="B227" i="32"/>
  <c r="A228" i="32"/>
  <c r="B228" i="32"/>
  <c r="A229" i="32"/>
  <c r="B229" i="32"/>
  <c r="A230" i="32"/>
  <c r="B230" i="32"/>
  <c r="A231" i="32"/>
  <c r="B231" i="32"/>
  <c r="A232" i="32"/>
  <c r="B232" i="32"/>
  <c r="A233" i="32"/>
  <c r="B233" i="32"/>
  <c r="A234" i="32"/>
  <c r="B234" i="32"/>
  <c r="A235" i="32"/>
  <c r="B235" i="32"/>
  <c r="A236" i="32"/>
  <c r="B236" i="32"/>
  <c r="A237" i="32"/>
  <c r="B237" i="32"/>
  <c r="A238" i="32"/>
  <c r="B238" i="32"/>
  <c r="A239" i="32"/>
  <c r="B239" i="32"/>
  <c r="A240" i="32"/>
  <c r="B240" i="32"/>
  <c r="A241" i="32"/>
  <c r="B241" i="32"/>
  <c r="A242" i="32"/>
  <c r="B242" i="32"/>
  <c r="A243" i="32"/>
  <c r="B243" i="32"/>
  <c r="A244" i="32"/>
  <c r="B244" i="32"/>
  <c r="A245" i="32"/>
  <c r="B245" i="32"/>
  <c r="A246" i="32"/>
  <c r="B246" i="32"/>
  <c r="A247" i="32"/>
  <c r="B247" i="32"/>
  <c r="A248" i="32"/>
  <c r="B248" i="32"/>
  <c r="A249" i="32"/>
  <c r="B249" i="32"/>
  <c r="A250" i="32"/>
  <c r="B250" i="32"/>
  <c r="A251" i="32"/>
  <c r="B251" i="32"/>
  <c r="A252" i="32"/>
  <c r="B252" i="32"/>
  <c r="A253" i="32"/>
  <c r="B253" i="32"/>
  <c r="A254" i="32"/>
  <c r="B254" i="32"/>
  <c r="A255" i="32"/>
  <c r="B255" i="32"/>
  <c r="A256" i="32"/>
  <c r="B256" i="32"/>
  <c r="A257" i="32"/>
  <c r="B257" i="32"/>
  <c r="A258" i="32"/>
  <c r="B258" i="32"/>
  <c r="A259" i="32"/>
  <c r="B259" i="32"/>
  <c r="A260" i="32"/>
  <c r="B260" i="32"/>
  <c r="A261" i="32"/>
  <c r="B261" i="32"/>
  <c r="A262" i="32"/>
  <c r="B262" i="32"/>
  <c r="A263" i="32"/>
  <c r="B263" i="32"/>
  <c r="A264" i="32"/>
  <c r="B264" i="32"/>
  <c r="A265" i="32"/>
  <c r="B265" i="32"/>
  <c r="A266" i="32"/>
  <c r="B266" i="32"/>
  <c r="A267" i="32"/>
  <c r="B267" i="32"/>
  <c r="A268" i="32"/>
  <c r="B268" i="32"/>
  <c r="A269" i="32"/>
  <c r="B269" i="32"/>
  <c r="A270" i="32"/>
  <c r="B270" i="32"/>
  <c r="A271" i="32"/>
  <c r="B271" i="32"/>
  <c r="A272" i="32"/>
  <c r="B272" i="32"/>
  <c r="A273" i="32"/>
  <c r="B273" i="32"/>
  <c r="A274" i="32"/>
  <c r="B274" i="32"/>
  <c r="A275" i="32"/>
  <c r="B275" i="32"/>
  <c r="A276" i="32"/>
  <c r="B276" i="32"/>
  <c r="A277" i="32"/>
  <c r="B277" i="32"/>
  <c r="A278" i="32"/>
  <c r="B278" i="32"/>
  <c r="A279" i="32"/>
  <c r="B279" i="32"/>
  <c r="A280" i="32"/>
  <c r="B280" i="32"/>
  <c r="A281" i="32"/>
  <c r="B281" i="32"/>
  <c r="A282" i="32"/>
  <c r="B282" i="32"/>
  <c r="A283" i="32"/>
  <c r="B283" i="32"/>
  <c r="A284" i="32"/>
  <c r="B284" i="32"/>
  <c r="A285" i="32"/>
  <c r="B285" i="32"/>
  <c r="A286" i="32"/>
  <c r="B286" i="32"/>
  <c r="A287" i="32"/>
  <c r="B287" i="32"/>
  <c r="A288" i="32"/>
  <c r="B288" i="32"/>
  <c r="A289" i="32"/>
  <c r="B289" i="32"/>
  <c r="A290" i="32"/>
  <c r="B290" i="32"/>
  <c r="A291" i="32"/>
  <c r="B291" i="32"/>
  <c r="A292" i="32"/>
  <c r="B292" i="32"/>
  <c r="A293" i="32"/>
  <c r="B293" i="32"/>
  <c r="A294" i="32"/>
  <c r="B294" i="32"/>
  <c r="A295" i="32"/>
  <c r="B295" i="32"/>
  <c r="A296" i="32"/>
  <c r="B296" i="32"/>
  <c r="A297" i="32"/>
  <c r="B297" i="32"/>
  <c r="A298" i="32"/>
  <c r="B298" i="32"/>
  <c r="A299" i="32"/>
  <c r="B299" i="32"/>
  <c r="A300" i="32"/>
  <c r="B300" i="32"/>
  <c r="A301" i="32"/>
  <c r="B301" i="32"/>
  <c r="A302" i="32"/>
  <c r="B302" i="32"/>
  <c r="A303" i="32"/>
  <c r="B303" i="32"/>
  <c r="A304" i="32"/>
  <c r="B304" i="32"/>
  <c r="A305" i="32"/>
  <c r="B305" i="32"/>
  <c r="A306" i="32"/>
  <c r="B306" i="32"/>
  <c r="A307" i="32"/>
  <c r="B307" i="32"/>
  <c r="A308" i="32"/>
  <c r="B308" i="32"/>
  <c r="A309" i="32"/>
  <c r="B309" i="32"/>
  <c r="A310" i="32"/>
  <c r="B310" i="32"/>
  <c r="A311" i="32"/>
  <c r="B311" i="32"/>
  <c r="A312" i="32"/>
  <c r="B312" i="32"/>
  <c r="A313" i="32"/>
  <c r="B313" i="32"/>
  <c r="A8" i="19"/>
  <c r="A7" i="54" s="1"/>
  <c r="B8" i="19"/>
  <c r="B7" i="54" s="1"/>
  <c r="C8" i="19"/>
  <c r="D8" i="19"/>
  <c r="E8" i="19"/>
  <c r="F8" i="19"/>
  <c r="H8" i="19"/>
  <c r="I8" i="19"/>
  <c r="J8" i="19"/>
  <c r="K8" i="19"/>
  <c r="L8" i="19"/>
  <c r="M8" i="19"/>
  <c r="N8" i="19"/>
  <c r="P8" i="19"/>
  <c r="Q8" i="19"/>
  <c r="S8" i="19"/>
  <c r="V8" i="19"/>
  <c r="W8" i="19"/>
  <c r="X8" i="19"/>
  <c r="Z8" i="19"/>
  <c r="D7" i="32" s="1"/>
  <c r="AA8" i="19"/>
  <c r="D7" i="33" s="1"/>
  <c r="A9" i="19"/>
  <c r="A8" i="54" s="1"/>
  <c r="B9" i="19"/>
  <c r="B8" i="54" s="1"/>
  <c r="C9" i="19"/>
  <c r="D9" i="19"/>
  <c r="E9" i="19"/>
  <c r="F9" i="19"/>
  <c r="H9" i="19"/>
  <c r="I9" i="19"/>
  <c r="J9" i="19"/>
  <c r="K9" i="19"/>
  <c r="L9" i="19"/>
  <c r="M9" i="19"/>
  <c r="N9" i="19"/>
  <c r="P9" i="19"/>
  <c r="Q9" i="19"/>
  <c r="S9" i="19"/>
  <c r="V9" i="19"/>
  <c r="W9" i="19"/>
  <c r="X9" i="19"/>
  <c r="Z9" i="19"/>
  <c r="D8" i="32" s="1"/>
  <c r="AA9" i="19"/>
  <c r="D8" i="33" s="1"/>
  <c r="A10" i="19"/>
  <c r="A9" i="54" s="1"/>
  <c r="B10" i="19"/>
  <c r="B9" i="54" s="1"/>
  <c r="C10" i="19"/>
  <c r="D10" i="19"/>
  <c r="E10" i="19"/>
  <c r="F10" i="19"/>
  <c r="H10" i="19"/>
  <c r="I10" i="19"/>
  <c r="J10" i="19"/>
  <c r="K10" i="19"/>
  <c r="L10" i="19"/>
  <c r="M10" i="19"/>
  <c r="N10" i="19"/>
  <c r="P10" i="19"/>
  <c r="Q10" i="19"/>
  <c r="S10" i="19"/>
  <c r="V10" i="19"/>
  <c r="Y10" i="19" s="1"/>
  <c r="C9" i="32" s="1"/>
  <c r="W10" i="19"/>
  <c r="X10" i="19"/>
  <c r="Z10" i="19"/>
  <c r="D9" i="32" s="1"/>
  <c r="AA10" i="19"/>
  <c r="D9" i="33" s="1"/>
  <c r="A11" i="19"/>
  <c r="A10" i="54" s="1"/>
  <c r="B11" i="19"/>
  <c r="B10" i="54" s="1"/>
  <c r="C11" i="19"/>
  <c r="D11" i="19"/>
  <c r="E11" i="19"/>
  <c r="F11" i="19"/>
  <c r="H11" i="19"/>
  <c r="I11" i="19"/>
  <c r="J11" i="19"/>
  <c r="K11" i="19"/>
  <c r="L11" i="19"/>
  <c r="M11" i="19"/>
  <c r="N11" i="19"/>
  <c r="P11" i="19"/>
  <c r="Q11" i="19"/>
  <c r="S11" i="19"/>
  <c r="V11" i="19"/>
  <c r="W11" i="19"/>
  <c r="X11" i="19"/>
  <c r="Z11" i="19"/>
  <c r="D10" i="32" s="1"/>
  <c r="AA11" i="19"/>
  <c r="D10" i="33" s="1"/>
  <c r="A12" i="19"/>
  <c r="A11" i="54" s="1"/>
  <c r="B12" i="19"/>
  <c r="B11" i="54" s="1"/>
  <c r="C12" i="19"/>
  <c r="D12" i="19"/>
  <c r="E12" i="19"/>
  <c r="F12" i="19"/>
  <c r="H12" i="19"/>
  <c r="I12" i="19"/>
  <c r="J12" i="19"/>
  <c r="K12" i="19"/>
  <c r="L12" i="19"/>
  <c r="M12" i="19"/>
  <c r="N12" i="19"/>
  <c r="P12" i="19"/>
  <c r="Q12" i="19"/>
  <c r="S12" i="19"/>
  <c r="V12" i="19"/>
  <c r="W12" i="19"/>
  <c r="X12" i="19"/>
  <c r="Y12" i="19" s="1"/>
  <c r="C11" i="32" s="1"/>
  <c r="Z12" i="19"/>
  <c r="D11" i="32" s="1"/>
  <c r="AA12" i="19"/>
  <c r="D11" i="33" s="1"/>
  <c r="A13" i="19"/>
  <c r="A12" i="54" s="1"/>
  <c r="B13" i="19"/>
  <c r="B12" i="54" s="1"/>
  <c r="C13" i="19"/>
  <c r="D13" i="19"/>
  <c r="E13" i="19"/>
  <c r="F13" i="19"/>
  <c r="H13" i="19"/>
  <c r="I13" i="19"/>
  <c r="J13" i="19"/>
  <c r="K13" i="19"/>
  <c r="L13" i="19"/>
  <c r="M13" i="19"/>
  <c r="N13" i="19"/>
  <c r="P13" i="19"/>
  <c r="Q13" i="19"/>
  <c r="S13" i="19"/>
  <c r="V13" i="19"/>
  <c r="W13" i="19"/>
  <c r="X13" i="19"/>
  <c r="Z13" i="19"/>
  <c r="D12" i="32" s="1"/>
  <c r="AA13" i="19"/>
  <c r="D12" i="33" s="1"/>
  <c r="A14" i="19"/>
  <c r="A13" i="54" s="1"/>
  <c r="B14" i="19"/>
  <c r="B13" i="54" s="1"/>
  <c r="C14" i="19"/>
  <c r="D14" i="19"/>
  <c r="E14" i="19"/>
  <c r="F14" i="19"/>
  <c r="H14" i="19"/>
  <c r="I14" i="19"/>
  <c r="J14" i="19"/>
  <c r="K14" i="19"/>
  <c r="L14" i="19"/>
  <c r="M14" i="19"/>
  <c r="N14" i="19"/>
  <c r="P14" i="19"/>
  <c r="Q14" i="19"/>
  <c r="S14" i="19"/>
  <c r="V14" i="19"/>
  <c r="W14" i="19"/>
  <c r="X14" i="19"/>
  <c r="Z14" i="19"/>
  <c r="D13" i="32" s="1"/>
  <c r="AA14" i="19"/>
  <c r="D13" i="33" s="1"/>
  <c r="A15" i="19"/>
  <c r="A14" i="54" s="1"/>
  <c r="B15" i="19"/>
  <c r="B14" i="54" s="1"/>
  <c r="C15" i="19"/>
  <c r="D15" i="19"/>
  <c r="E15" i="19"/>
  <c r="F15" i="19"/>
  <c r="H15" i="19"/>
  <c r="I15" i="19"/>
  <c r="J15" i="19"/>
  <c r="K15" i="19"/>
  <c r="L15" i="19"/>
  <c r="M15" i="19"/>
  <c r="N15" i="19"/>
  <c r="P15" i="19"/>
  <c r="Q15" i="19"/>
  <c r="S15" i="19"/>
  <c r="V15" i="19"/>
  <c r="W15" i="19"/>
  <c r="X15" i="19"/>
  <c r="Z15" i="19"/>
  <c r="D14" i="32" s="1"/>
  <c r="AA15" i="19"/>
  <c r="D14" i="33" s="1"/>
  <c r="A16" i="19"/>
  <c r="A15" i="54" s="1"/>
  <c r="B16" i="19"/>
  <c r="B15" i="54" s="1"/>
  <c r="C16" i="19"/>
  <c r="D16" i="19"/>
  <c r="E16" i="19"/>
  <c r="F16" i="19"/>
  <c r="H16" i="19"/>
  <c r="I16" i="19"/>
  <c r="J16" i="19"/>
  <c r="K16" i="19"/>
  <c r="L16" i="19"/>
  <c r="M16" i="19"/>
  <c r="N16" i="19"/>
  <c r="P16" i="19"/>
  <c r="Q16" i="19"/>
  <c r="S16" i="19"/>
  <c r="V16" i="19"/>
  <c r="W16" i="19"/>
  <c r="X16" i="19"/>
  <c r="Z16" i="19"/>
  <c r="D15" i="32" s="1"/>
  <c r="AA16" i="19"/>
  <c r="D15" i="33" s="1"/>
  <c r="A17" i="19"/>
  <c r="A16" i="54" s="1"/>
  <c r="B17" i="19"/>
  <c r="B16" i="54" s="1"/>
  <c r="C17" i="19"/>
  <c r="D17" i="19"/>
  <c r="E17" i="19"/>
  <c r="F17" i="19"/>
  <c r="H17" i="19"/>
  <c r="I17" i="19"/>
  <c r="J17" i="19"/>
  <c r="K17" i="19"/>
  <c r="L17" i="19"/>
  <c r="M17" i="19"/>
  <c r="N17" i="19"/>
  <c r="P17" i="19"/>
  <c r="Q17" i="19"/>
  <c r="S17" i="19"/>
  <c r="V17" i="19"/>
  <c r="W17" i="19"/>
  <c r="X17" i="19"/>
  <c r="Z17" i="19"/>
  <c r="D16" i="32" s="1"/>
  <c r="AA17" i="19"/>
  <c r="D16" i="33" s="1"/>
  <c r="A18" i="19"/>
  <c r="A17" i="54" s="1"/>
  <c r="B18" i="19"/>
  <c r="B17" i="54" s="1"/>
  <c r="C18" i="19"/>
  <c r="D18" i="19"/>
  <c r="E18" i="19"/>
  <c r="F18" i="19"/>
  <c r="H18" i="19"/>
  <c r="I18" i="19"/>
  <c r="J18" i="19"/>
  <c r="K18" i="19"/>
  <c r="L18" i="19"/>
  <c r="M18" i="19"/>
  <c r="N18" i="19"/>
  <c r="P18" i="19"/>
  <c r="Q18" i="19"/>
  <c r="S18" i="19"/>
  <c r="V18" i="19"/>
  <c r="W18" i="19"/>
  <c r="X18" i="19"/>
  <c r="Z18" i="19"/>
  <c r="D17" i="32" s="1"/>
  <c r="AA18" i="19"/>
  <c r="D17" i="33" s="1"/>
  <c r="A19" i="19"/>
  <c r="A18" i="54" s="1"/>
  <c r="B19" i="19"/>
  <c r="B18" i="54" s="1"/>
  <c r="C19" i="19"/>
  <c r="D19" i="19"/>
  <c r="E19" i="19"/>
  <c r="F19" i="19"/>
  <c r="H19" i="19"/>
  <c r="I19" i="19"/>
  <c r="J19" i="19"/>
  <c r="K19" i="19"/>
  <c r="L19" i="19"/>
  <c r="M19" i="19"/>
  <c r="N19" i="19"/>
  <c r="P19" i="19"/>
  <c r="Q19" i="19"/>
  <c r="S19" i="19"/>
  <c r="V19" i="19"/>
  <c r="W19" i="19"/>
  <c r="X19" i="19"/>
  <c r="Z19" i="19"/>
  <c r="D18" i="32" s="1"/>
  <c r="AA19" i="19"/>
  <c r="D18" i="33" s="1"/>
  <c r="A20" i="19"/>
  <c r="A19" i="54" s="1"/>
  <c r="B20" i="19"/>
  <c r="B19" i="54" s="1"/>
  <c r="C20" i="19"/>
  <c r="D20" i="19"/>
  <c r="E20" i="19"/>
  <c r="F20" i="19"/>
  <c r="H20" i="19"/>
  <c r="I20" i="19"/>
  <c r="J20" i="19"/>
  <c r="K20" i="19"/>
  <c r="L20" i="19"/>
  <c r="M20" i="19"/>
  <c r="N20" i="19"/>
  <c r="P20" i="19"/>
  <c r="Q20" i="19"/>
  <c r="S20" i="19"/>
  <c r="V20" i="19"/>
  <c r="W20" i="19"/>
  <c r="X20" i="19"/>
  <c r="Z20" i="19"/>
  <c r="D19" i="32" s="1"/>
  <c r="AA20" i="19"/>
  <c r="D19" i="33" s="1"/>
  <c r="A21" i="19"/>
  <c r="A20" i="54" s="1"/>
  <c r="B21" i="19"/>
  <c r="B20" i="54" s="1"/>
  <c r="C21" i="19"/>
  <c r="D21" i="19"/>
  <c r="E21" i="19"/>
  <c r="F21" i="19"/>
  <c r="H21" i="19"/>
  <c r="I21" i="19"/>
  <c r="J21" i="19"/>
  <c r="K21" i="19"/>
  <c r="L21" i="19"/>
  <c r="M21" i="19"/>
  <c r="N21" i="19"/>
  <c r="P21" i="19"/>
  <c r="Q21" i="19"/>
  <c r="S21" i="19"/>
  <c r="V21" i="19"/>
  <c r="W21" i="19"/>
  <c r="X21" i="19"/>
  <c r="Z21" i="19"/>
  <c r="D20" i="32" s="1"/>
  <c r="AA21" i="19"/>
  <c r="D20" i="33" s="1"/>
  <c r="A22" i="19"/>
  <c r="A21" i="54" s="1"/>
  <c r="B22" i="19"/>
  <c r="B21" i="54" s="1"/>
  <c r="C22" i="19"/>
  <c r="D22" i="19"/>
  <c r="E22" i="19"/>
  <c r="F22" i="19"/>
  <c r="H22" i="19"/>
  <c r="I22" i="19"/>
  <c r="J22" i="19"/>
  <c r="K22" i="19"/>
  <c r="L22" i="19"/>
  <c r="M22" i="19"/>
  <c r="N22" i="19"/>
  <c r="P22" i="19"/>
  <c r="Q22" i="19"/>
  <c r="S22" i="19"/>
  <c r="V22" i="19"/>
  <c r="W22" i="19"/>
  <c r="X22" i="19"/>
  <c r="Z22" i="19"/>
  <c r="D21" i="32" s="1"/>
  <c r="AA22" i="19"/>
  <c r="D21" i="33" s="1"/>
  <c r="A23" i="19"/>
  <c r="A22" i="54" s="1"/>
  <c r="B23" i="19"/>
  <c r="B22" i="54" s="1"/>
  <c r="C23" i="19"/>
  <c r="D23" i="19"/>
  <c r="E23" i="19"/>
  <c r="F23" i="19"/>
  <c r="H23" i="19"/>
  <c r="I23" i="19"/>
  <c r="J23" i="19"/>
  <c r="K23" i="19"/>
  <c r="L23" i="19"/>
  <c r="M23" i="19"/>
  <c r="N23" i="19"/>
  <c r="P23" i="19"/>
  <c r="Q23" i="19"/>
  <c r="S23" i="19"/>
  <c r="V23" i="19"/>
  <c r="W23" i="19"/>
  <c r="X23" i="19"/>
  <c r="Z23" i="19"/>
  <c r="D22" i="32" s="1"/>
  <c r="AA23" i="19"/>
  <c r="D22" i="33" s="1"/>
  <c r="A24" i="19"/>
  <c r="A23" i="54" s="1"/>
  <c r="B24" i="19"/>
  <c r="B23" i="54" s="1"/>
  <c r="C24" i="19"/>
  <c r="D24" i="19"/>
  <c r="E24" i="19"/>
  <c r="F24" i="19"/>
  <c r="H24" i="19"/>
  <c r="I24" i="19"/>
  <c r="J24" i="19"/>
  <c r="K24" i="19"/>
  <c r="L24" i="19"/>
  <c r="M24" i="19"/>
  <c r="N24" i="19"/>
  <c r="P24" i="19"/>
  <c r="Q24" i="19"/>
  <c r="S24" i="19"/>
  <c r="V24" i="19"/>
  <c r="W24" i="19"/>
  <c r="X24" i="19"/>
  <c r="Z24" i="19"/>
  <c r="D23" i="32" s="1"/>
  <c r="AA24" i="19"/>
  <c r="D23" i="33" s="1"/>
  <c r="A25" i="19"/>
  <c r="A24" i="54" s="1"/>
  <c r="B25" i="19"/>
  <c r="B24" i="54" s="1"/>
  <c r="C25" i="19"/>
  <c r="D25" i="19"/>
  <c r="E25" i="19"/>
  <c r="F25" i="19"/>
  <c r="H25" i="19"/>
  <c r="I25" i="19"/>
  <c r="J25" i="19"/>
  <c r="K25" i="19"/>
  <c r="L25" i="19"/>
  <c r="M25" i="19"/>
  <c r="N25" i="19"/>
  <c r="P25" i="19"/>
  <c r="Q25" i="19"/>
  <c r="S25" i="19"/>
  <c r="V25" i="19"/>
  <c r="W25" i="19"/>
  <c r="X25" i="19"/>
  <c r="Z25" i="19"/>
  <c r="D24" i="32" s="1"/>
  <c r="AA25" i="19"/>
  <c r="D24" i="33" s="1"/>
  <c r="A26" i="19"/>
  <c r="A25" i="54" s="1"/>
  <c r="B26" i="19"/>
  <c r="B25" i="54" s="1"/>
  <c r="C26" i="19"/>
  <c r="D26" i="19"/>
  <c r="E26" i="19"/>
  <c r="F26" i="19"/>
  <c r="H26" i="19"/>
  <c r="I26" i="19"/>
  <c r="J26" i="19"/>
  <c r="K26" i="19"/>
  <c r="L26" i="19"/>
  <c r="M26" i="19"/>
  <c r="N26" i="19"/>
  <c r="P26" i="19"/>
  <c r="Q26" i="19"/>
  <c r="S26" i="19"/>
  <c r="V26" i="19"/>
  <c r="W26" i="19"/>
  <c r="X26" i="19"/>
  <c r="Z26" i="19"/>
  <c r="D25" i="32" s="1"/>
  <c r="AA26" i="19"/>
  <c r="D25" i="33" s="1"/>
  <c r="A27" i="19"/>
  <c r="A26" i="54" s="1"/>
  <c r="B27" i="19"/>
  <c r="B26" i="54" s="1"/>
  <c r="C27" i="19"/>
  <c r="D27" i="19"/>
  <c r="E27" i="19"/>
  <c r="F27" i="19"/>
  <c r="H27" i="19"/>
  <c r="I27" i="19"/>
  <c r="J27" i="19"/>
  <c r="K27" i="19"/>
  <c r="L27" i="19"/>
  <c r="M27" i="19"/>
  <c r="N27" i="19"/>
  <c r="P27" i="19"/>
  <c r="Q27" i="19"/>
  <c r="S27" i="19"/>
  <c r="V27" i="19"/>
  <c r="W27" i="19"/>
  <c r="X27" i="19"/>
  <c r="Z27" i="19"/>
  <c r="D26" i="32" s="1"/>
  <c r="AA27" i="19"/>
  <c r="D26" i="33" s="1"/>
  <c r="A28" i="19"/>
  <c r="A27" i="54" s="1"/>
  <c r="B28" i="19"/>
  <c r="B27" i="54" s="1"/>
  <c r="C28" i="19"/>
  <c r="D28" i="19"/>
  <c r="E28" i="19"/>
  <c r="F28" i="19"/>
  <c r="H28" i="19"/>
  <c r="I28" i="19"/>
  <c r="J28" i="19"/>
  <c r="K28" i="19"/>
  <c r="L28" i="19"/>
  <c r="M28" i="19"/>
  <c r="N28" i="19"/>
  <c r="P28" i="19"/>
  <c r="Q28" i="19"/>
  <c r="S28" i="19"/>
  <c r="V28" i="19"/>
  <c r="W28" i="19"/>
  <c r="X28" i="19"/>
  <c r="Z28" i="19"/>
  <c r="D27" i="32" s="1"/>
  <c r="AA28" i="19"/>
  <c r="D27" i="33" s="1"/>
  <c r="A29" i="19"/>
  <c r="A28" i="54" s="1"/>
  <c r="B29" i="19"/>
  <c r="B28" i="54" s="1"/>
  <c r="C29" i="19"/>
  <c r="D29" i="19"/>
  <c r="E29" i="19"/>
  <c r="F29" i="19"/>
  <c r="H29" i="19"/>
  <c r="I29" i="19"/>
  <c r="J29" i="19"/>
  <c r="K29" i="19"/>
  <c r="L29" i="19"/>
  <c r="M29" i="19"/>
  <c r="N29" i="19"/>
  <c r="P29" i="19"/>
  <c r="Q29" i="19"/>
  <c r="S29" i="19"/>
  <c r="V29" i="19"/>
  <c r="W29" i="19"/>
  <c r="X29" i="19"/>
  <c r="Z29" i="19"/>
  <c r="D28" i="32" s="1"/>
  <c r="AA29" i="19"/>
  <c r="D28" i="33" s="1"/>
  <c r="A30" i="19"/>
  <c r="A29" i="54" s="1"/>
  <c r="B30" i="19"/>
  <c r="B29" i="54" s="1"/>
  <c r="C30" i="19"/>
  <c r="D30" i="19"/>
  <c r="E30" i="19"/>
  <c r="F30" i="19"/>
  <c r="H30" i="19"/>
  <c r="I30" i="19"/>
  <c r="J30" i="19"/>
  <c r="K30" i="19"/>
  <c r="L30" i="19"/>
  <c r="M30" i="19"/>
  <c r="N30" i="19"/>
  <c r="P30" i="19"/>
  <c r="Q30" i="19"/>
  <c r="S30" i="19"/>
  <c r="V30" i="19"/>
  <c r="W30" i="19"/>
  <c r="X30" i="19"/>
  <c r="Z30" i="19"/>
  <c r="D29" i="32" s="1"/>
  <c r="AA30" i="19"/>
  <c r="D29" i="33" s="1"/>
  <c r="A31" i="19"/>
  <c r="A30" i="54" s="1"/>
  <c r="B31" i="19"/>
  <c r="B30" i="54" s="1"/>
  <c r="C31" i="19"/>
  <c r="D31" i="19"/>
  <c r="E31" i="19"/>
  <c r="F31" i="19"/>
  <c r="H31" i="19"/>
  <c r="I31" i="19"/>
  <c r="J31" i="19"/>
  <c r="K31" i="19"/>
  <c r="L31" i="19"/>
  <c r="M31" i="19"/>
  <c r="N31" i="19"/>
  <c r="P31" i="19"/>
  <c r="Q31" i="19"/>
  <c r="S31" i="19"/>
  <c r="V31" i="19"/>
  <c r="W31" i="19"/>
  <c r="X31" i="19"/>
  <c r="Z31" i="19"/>
  <c r="D30" i="32" s="1"/>
  <c r="AA31" i="19"/>
  <c r="D30" i="33" s="1"/>
  <c r="A32" i="19"/>
  <c r="A31" i="54" s="1"/>
  <c r="B32" i="19"/>
  <c r="B31" i="54" s="1"/>
  <c r="C32" i="19"/>
  <c r="D32" i="19"/>
  <c r="E32" i="19"/>
  <c r="F32" i="19"/>
  <c r="H32" i="19"/>
  <c r="I32" i="19"/>
  <c r="J32" i="19"/>
  <c r="K32" i="19"/>
  <c r="L32" i="19"/>
  <c r="M32" i="19"/>
  <c r="N32" i="19"/>
  <c r="P32" i="19"/>
  <c r="Q32" i="19"/>
  <c r="S32" i="19"/>
  <c r="V32" i="19"/>
  <c r="W32" i="19"/>
  <c r="X32" i="19"/>
  <c r="Z32" i="19"/>
  <c r="D31" i="32" s="1"/>
  <c r="AA32" i="19"/>
  <c r="D31" i="33" s="1"/>
  <c r="A33" i="19"/>
  <c r="A32" i="54" s="1"/>
  <c r="B33" i="19"/>
  <c r="B32" i="54" s="1"/>
  <c r="C33" i="19"/>
  <c r="D33" i="19"/>
  <c r="E33" i="19"/>
  <c r="F33" i="19"/>
  <c r="H33" i="19"/>
  <c r="I33" i="19"/>
  <c r="J33" i="19"/>
  <c r="K33" i="19"/>
  <c r="L33" i="19"/>
  <c r="M33" i="19"/>
  <c r="N33" i="19"/>
  <c r="P33" i="19"/>
  <c r="Q33" i="19"/>
  <c r="S33" i="19"/>
  <c r="V33" i="19"/>
  <c r="W33" i="19"/>
  <c r="X33" i="19"/>
  <c r="Z33" i="19"/>
  <c r="D32" i="32" s="1"/>
  <c r="AA33" i="19"/>
  <c r="D32" i="33" s="1"/>
  <c r="A34" i="19"/>
  <c r="A33" i="54" s="1"/>
  <c r="B34" i="19"/>
  <c r="B33" i="54" s="1"/>
  <c r="C34" i="19"/>
  <c r="D34" i="19"/>
  <c r="E34" i="19"/>
  <c r="F34" i="19"/>
  <c r="H34" i="19"/>
  <c r="I34" i="19"/>
  <c r="J34" i="19"/>
  <c r="K34" i="19"/>
  <c r="L34" i="19"/>
  <c r="M34" i="19"/>
  <c r="N34" i="19"/>
  <c r="P34" i="19"/>
  <c r="Q34" i="19"/>
  <c r="S34" i="19"/>
  <c r="V34" i="19"/>
  <c r="W34" i="19"/>
  <c r="X34" i="19"/>
  <c r="Z34" i="19"/>
  <c r="D33" i="32" s="1"/>
  <c r="AA34" i="19"/>
  <c r="D33" i="33" s="1"/>
  <c r="A35" i="19"/>
  <c r="A34" i="54" s="1"/>
  <c r="B35" i="19"/>
  <c r="B34" i="54" s="1"/>
  <c r="C35" i="19"/>
  <c r="D35" i="19"/>
  <c r="E35" i="19"/>
  <c r="F35" i="19"/>
  <c r="H35" i="19"/>
  <c r="I35" i="19"/>
  <c r="J35" i="19"/>
  <c r="K35" i="19"/>
  <c r="L35" i="19"/>
  <c r="M35" i="19"/>
  <c r="N35" i="19"/>
  <c r="P35" i="19"/>
  <c r="Q35" i="19"/>
  <c r="S35" i="19"/>
  <c r="V35" i="19"/>
  <c r="W35" i="19"/>
  <c r="X35" i="19"/>
  <c r="Z35" i="19"/>
  <c r="D34" i="32" s="1"/>
  <c r="AA35" i="19"/>
  <c r="D34" i="33" s="1"/>
  <c r="A36" i="19"/>
  <c r="A35" i="54" s="1"/>
  <c r="B36" i="19"/>
  <c r="B35" i="54" s="1"/>
  <c r="C36" i="19"/>
  <c r="D36" i="19"/>
  <c r="E36" i="19"/>
  <c r="F36" i="19"/>
  <c r="H36" i="19"/>
  <c r="I36" i="19"/>
  <c r="J36" i="19"/>
  <c r="K36" i="19"/>
  <c r="L36" i="19"/>
  <c r="M36" i="19"/>
  <c r="N36" i="19"/>
  <c r="P36" i="19"/>
  <c r="Q36" i="19"/>
  <c r="S36" i="19"/>
  <c r="V36" i="19"/>
  <c r="W36" i="19"/>
  <c r="X36" i="19"/>
  <c r="Z36" i="19"/>
  <c r="D35" i="32" s="1"/>
  <c r="AA36" i="19"/>
  <c r="D35" i="33" s="1"/>
  <c r="A37" i="19"/>
  <c r="A36" i="54" s="1"/>
  <c r="B37" i="19"/>
  <c r="B36" i="54" s="1"/>
  <c r="C37" i="19"/>
  <c r="D37" i="19"/>
  <c r="E37" i="19"/>
  <c r="F37" i="19"/>
  <c r="H37" i="19"/>
  <c r="I37" i="19"/>
  <c r="J37" i="19"/>
  <c r="K37" i="19"/>
  <c r="L37" i="19"/>
  <c r="M37" i="19"/>
  <c r="N37" i="19"/>
  <c r="P37" i="19"/>
  <c r="Q37" i="19"/>
  <c r="S37" i="19"/>
  <c r="V37" i="19"/>
  <c r="W37" i="19"/>
  <c r="X37" i="19"/>
  <c r="Z37" i="19"/>
  <c r="D36" i="32" s="1"/>
  <c r="AA37" i="19"/>
  <c r="D36" i="33" s="1"/>
  <c r="A38" i="19"/>
  <c r="A37" i="54" s="1"/>
  <c r="B38" i="19"/>
  <c r="B37" i="54" s="1"/>
  <c r="C38" i="19"/>
  <c r="D38" i="19"/>
  <c r="E38" i="19"/>
  <c r="F38" i="19"/>
  <c r="H38" i="19"/>
  <c r="I38" i="19"/>
  <c r="J38" i="19"/>
  <c r="K38" i="19"/>
  <c r="L38" i="19"/>
  <c r="M38" i="19"/>
  <c r="N38" i="19"/>
  <c r="P38" i="19"/>
  <c r="Q38" i="19"/>
  <c r="S38" i="19"/>
  <c r="V38" i="19"/>
  <c r="W38" i="19"/>
  <c r="X38" i="19"/>
  <c r="Z38" i="19"/>
  <c r="D37" i="32" s="1"/>
  <c r="AA38" i="19"/>
  <c r="D37" i="33" s="1"/>
  <c r="A39" i="19"/>
  <c r="A38" i="54" s="1"/>
  <c r="B39" i="19"/>
  <c r="B38" i="54" s="1"/>
  <c r="C39" i="19"/>
  <c r="D39" i="19"/>
  <c r="E39" i="19"/>
  <c r="F39" i="19"/>
  <c r="H39" i="19"/>
  <c r="I39" i="19"/>
  <c r="J39" i="19"/>
  <c r="K39" i="19"/>
  <c r="L39" i="19"/>
  <c r="M39" i="19"/>
  <c r="N39" i="19"/>
  <c r="P39" i="19"/>
  <c r="Q39" i="19"/>
  <c r="S39" i="19"/>
  <c r="V39" i="19"/>
  <c r="W39" i="19"/>
  <c r="X39" i="19"/>
  <c r="Z39" i="19"/>
  <c r="D38" i="32" s="1"/>
  <c r="AA39" i="19"/>
  <c r="D38" i="33" s="1"/>
  <c r="A40" i="19"/>
  <c r="A39" i="54" s="1"/>
  <c r="B40" i="19"/>
  <c r="B39" i="54" s="1"/>
  <c r="C40" i="19"/>
  <c r="D40" i="19"/>
  <c r="E40" i="19"/>
  <c r="F40" i="19"/>
  <c r="H40" i="19"/>
  <c r="I40" i="19"/>
  <c r="J40" i="19"/>
  <c r="K40" i="19"/>
  <c r="L40" i="19"/>
  <c r="M40" i="19"/>
  <c r="N40" i="19"/>
  <c r="P40" i="19"/>
  <c r="Q40" i="19"/>
  <c r="S40" i="19"/>
  <c r="V40" i="19"/>
  <c r="W40" i="19"/>
  <c r="X40" i="19"/>
  <c r="Z40" i="19"/>
  <c r="D39" i="32" s="1"/>
  <c r="AA40" i="19"/>
  <c r="D39" i="33" s="1"/>
  <c r="A41" i="19"/>
  <c r="A40" i="54" s="1"/>
  <c r="B41" i="19"/>
  <c r="B40" i="54" s="1"/>
  <c r="C41" i="19"/>
  <c r="D41" i="19"/>
  <c r="E41" i="19"/>
  <c r="F41" i="19"/>
  <c r="H41" i="19"/>
  <c r="I41" i="19"/>
  <c r="J41" i="19"/>
  <c r="K41" i="19"/>
  <c r="L41" i="19"/>
  <c r="M41" i="19"/>
  <c r="N41" i="19"/>
  <c r="P41" i="19"/>
  <c r="Q41" i="19"/>
  <c r="S41" i="19"/>
  <c r="V41" i="19"/>
  <c r="W41" i="19"/>
  <c r="X41" i="19"/>
  <c r="Z41" i="19"/>
  <c r="D40" i="32" s="1"/>
  <c r="AA41" i="19"/>
  <c r="D40" i="33" s="1"/>
  <c r="A42" i="19"/>
  <c r="A41" i="54" s="1"/>
  <c r="B42" i="19"/>
  <c r="B41" i="54" s="1"/>
  <c r="C42" i="19"/>
  <c r="D42" i="19"/>
  <c r="E42" i="19"/>
  <c r="F42" i="19"/>
  <c r="H42" i="19"/>
  <c r="I42" i="19"/>
  <c r="J42" i="19"/>
  <c r="K42" i="19"/>
  <c r="L42" i="19"/>
  <c r="M42" i="19"/>
  <c r="N42" i="19"/>
  <c r="P42" i="19"/>
  <c r="Q42" i="19"/>
  <c r="S42" i="19"/>
  <c r="V42" i="19"/>
  <c r="W42" i="19"/>
  <c r="X42" i="19"/>
  <c r="Z42" i="19"/>
  <c r="D41" i="32" s="1"/>
  <c r="AA42" i="19"/>
  <c r="D41" i="33" s="1"/>
  <c r="A43" i="19"/>
  <c r="A42" i="54" s="1"/>
  <c r="B43" i="19"/>
  <c r="B42" i="54" s="1"/>
  <c r="C43" i="19"/>
  <c r="D43" i="19"/>
  <c r="E43" i="19"/>
  <c r="F43" i="19"/>
  <c r="H43" i="19"/>
  <c r="I43" i="19"/>
  <c r="J43" i="19"/>
  <c r="K43" i="19"/>
  <c r="L43" i="19"/>
  <c r="M43" i="19"/>
  <c r="N43" i="19"/>
  <c r="P43" i="19"/>
  <c r="Q43" i="19"/>
  <c r="S43" i="19"/>
  <c r="V43" i="19"/>
  <c r="W43" i="19"/>
  <c r="X43" i="19"/>
  <c r="Z43" i="19"/>
  <c r="D42" i="32" s="1"/>
  <c r="AA43" i="19"/>
  <c r="D42" i="33" s="1"/>
  <c r="A44" i="19"/>
  <c r="A43" i="54" s="1"/>
  <c r="B44" i="19"/>
  <c r="B43" i="54" s="1"/>
  <c r="C44" i="19"/>
  <c r="D44" i="19"/>
  <c r="E44" i="19"/>
  <c r="F44" i="19"/>
  <c r="H44" i="19"/>
  <c r="I44" i="19"/>
  <c r="J44" i="19"/>
  <c r="K44" i="19"/>
  <c r="L44" i="19"/>
  <c r="M44" i="19"/>
  <c r="N44" i="19"/>
  <c r="P44" i="19"/>
  <c r="Q44" i="19"/>
  <c r="S44" i="19"/>
  <c r="V44" i="19"/>
  <c r="W44" i="19"/>
  <c r="X44" i="19"/>
  <c r="Z44" i="19"/>
  <c r="D43" i="32" s="1"/>
  <c r="AA44" i="19"/>
  <c r="D43" i="33" s="1"/>
  <c r="A45" i="19"/>
  <c r="A44" i="54" s="1"/>
  <c r="B45" i="19"/>
  <c r="B44" i="54" s="1"/>
  <c r="C45" i="19"/>
  <c r="D45" i="19"/>
  <c r="E45" i="19"/>
  <c r="F45" i="19"/>
  <c r="H45" i="19"/>
  <c r="I45" i="19"/>
  <c r="J45" i="19"/>
  <c r="K45" i="19"/>
  <c r="L45" i="19"/>
  <c r="M45" i="19"/>
  <c r="N45" i="19"/>
  <c r="P45" i="19"/>
  <c r="Q45" i="19"/>
  <c r="S45" i="19"/>
  <c r="V45" i="19"/>
  <c r="W45" i="19"/>
  <c r="X45" i="19"/>
  <c r="Z45" i="19"/>
  <c r="D44" i="32" s="1"/>
  <c r="AA45" i="19"/>
  <c r="D44" i="33" s="1"/>
  <c r="A46" i="19"/>
  <c r="A45" i="54" s="1"/>
  <c r="B46" i="19"/>
  <c r="B45" i="54" s="1"/>
  <c r="C46" i="19"/>
  <c r="D46" i="19"/>
  <c r="E46" i="19"/>
  <c r="F46" i="19"/>
  <c r="H46" i="19"/>
  <c r="I46" i="19"/>
  <c r="J46" i="19"/>
  <c r="K46" i="19"/>
  <c r="L46" i="19"/>
  <c r="M46" i="19"/>
  <c r="N46" i="19"/>
  <c r="P46" i="19"/>
  <c r="Q46" i="19"/>
  <c r="S46" i="19"/>
  <c r="V46" i="19"/>
  <c r="W46" i="19"/>
  <c r="X46" i="19"/>
  <c r="Z46" i="19"/>
  <c r="D45" i="32" s="1"/>
  <c r="AA46" i="19"/>
  <c r="D45" i="33" s="1"/>
  <c r="A47" i="19"/>
  <c r="A46" i="54" s="1"/>
  <c r="B47" i="19"/>
  <c r="B46" i="54" s="1"/>
  <c r="C47" i="19"/>
  <c r="D47" i="19"/>
  <c r="E47" i="19"/>
  <c r="F47" i="19"/>
  <c r="H47" i="19"/>
  <c r="I47" i="19"/>
  <c r="J47" i="19"/>
  <c r="K47" i="19"/>
  <c r="L47" i="19"/>
  <c r="M47" i="19"/>
  <c r="N47" i="19"/>
  <c r="P47" i="19"/>
  <c r="Q47" i="19"/>
  <c r="S47" i="19"/>
  <c r="V47" i="19"/>
  <c r="W47" i="19"/>
  <c r="X47" i="19"/>
  <c r="Z47" i="19"/>
  <c r="D46" i="32" s="1"/>
  <c r="AA47" i="19"/>
  <c r="D46" i="33" s="1"/>
  <c r="A48" i="19"/>
  <c r="A47" i="54" s="1"/>
  <c r="B48" i="19"/>
  <c r="B47" i="54" s="1"/>
  <c r="C48" i="19"/>
  <c r="D48" i="19"/>
  <c r="E48" i="19"/>
  <c r="F48" i="19"/>
  <c r="H48" i="19"/>
  <c r="I48" i="19"/>
  <c r="J48" i="19"/>
  <c r="K48" i="19"/>
  <c r="L48" i="19"/>
  <c r="M48" i="19"/>
  <c r="N48" i="19"/>
  <c r="P48" i="19"/>
  <c r="Q48" i="19"/>
  <c r="S48" i="19"/>
  <c r="V48" i="19"/>
  <c r="W48" i="19"/>
  <c r="X48" i="19"/>
  <c r="Z48" i="19"/>
  <c r="D47" i="32" s="1"/>
  <c r="AA48" i="19"/>
  <c r="D47" i="33" s="1"/>
  <c r="A49" i="19"/>
  <c r="A48" i="54" s="1"/>
  <c r="B49" i="19"/>
  <c r="B48" i="54" s="1"/>
  <c r="C49" i="19"/>
  <c r="D49" i="19"/>
  <c r="E49" i="19"/>
  <c r="F49" i="19"/>
  <c r="H49" i="19"/>
  <c r="I49" i="19"/>
  <c r="J49" i="19"/>
  <c r="K49" i="19"/>
  <c r="L49" i="19"/>
  <c r="M49" i="19"/>
  <c r="N49" i="19"/>
  <c r="P49" i="19"/>
  <c r="Q49" i="19"/>
  <c r="S49" i="19"/>
  <c r="V49" i="19"/>
  <c r="W49" i="19"/>
  <c r="X49" i="19"/>
  <c r="Z49" i="19"/>
  <c r="D48" i="32" s="1"/>
  <c r="AA49" i="19"/>
  <c r="D48" i="33" s="1"/>
  <c r="A50" i="19"/>
  <c r="A49" i="54" s="1"/>
  <c r="B50" i="19"/>
  <c r="B49" i="54" s="1"/>
  <c r="C50" i="19"/>
  <c r="D50" i="19"/>
  <c r="E50" i="19"/>
  <c r="F50" i="19"/>
  <c r="H50" i="19"/>
  <c r="I50" i="19"/>
  <c r="J50" i="19"/>
  <c r="K50" i="19"/>
  <c r="L50" i="19"/>
  <c r="M50" i="19"/>
  <c r="N50" i="19"/>
  <c r="P50" i="19"/>
  <c r="Q50" i="19"/>
  <c r="S50" i="19"/>
  <c r="V50" i="19"/>
  <c r="W50" i="19"/>
  <c r="X50" i="19"/>
  <c r="Z50" i="19"/>
  <c r="D49" i="32" s="1"/>
  <c r="AA50" i="19"/>
  <c r="D49" i="33" s="1"/>
  <c r="A51" i="19"/>
  <c r="A50" i="54" s="1"/>
  <c r="B51" i="19"/>
  <c r="B50" i="54" s="1"/>
  <c r="C51" i="19"/>
  <c r="D51" i="19"/>
  <c r="E51" i="19"/>
  <c r="F51" i="19"/>
  <c r="H51" i="19"/>
  <c r="I51" i="19"/>
  <c r="J51" i="19"/>
  <c r="K51" i="19"/>
  <c r="L51" i="19"/>
  <c r="M51" i="19"/>
  <c r="N51" i="19"/>
  <c r="P51" i="19"/>
  <c r="Q51" i="19"/>
  <c r="S51" i="19"/>
  <c r="V51" i="19"/>
  <c r="W51" i="19"/>
  <c r="X51" i="19"/>
  <c r="Z51" i="19"/>
  <c r="D50" i="32" s="1"/>
  <c r="AA51" i="19"/>
  <c r="D50" i="33" s="1"/>
  <c r="A52" i="19"/>
  <c r="A51" i="54" s="1"/>
  <c r="B52" i="19"/>
  <c r="B51" i="54" s="1"/>
  <c r="C52" i="19"/>
  <c r="D52" i="19"/>
  <c r="E52" i="19"/>
  <c r="F52" i="19"/>
  <c r="H52" i="19"/>
  <c r="I52" i="19"/>
  <c r="J52" i="19"/>
  <c r="K52" i="19"/>
  <c r="L52" i="19"/>
  <c r="M52" i="19"/>
  <c r="N52" i="19"/>
  <c r="P52" i="19"/>
  <c r="Q52" i="19"/>
  <c r="S52" i="19"/>
  <c r="V52" i="19"/>
  <c r="W52" i="19"/>
  <c r="X52" i="19"/>
  <c r="Y52" i="19" s="1"/>
  <c r="C51" i="32" s="1"/>
  <c r="Z52" i="19"/>
  <c r="D51" i="32" s="1"/>
  <c r="AA52" i="19"/>
  <c r="D51" i="33" s="1"/>
  <c r="A53" i="19"/>
  <c r="A52" i="54" s="1"/>
  <c r="B53" i="19"/>
  <c r="B52" i="54" s="1"/>
  <c r="C53" i="19"/>
  <c r="D53" i="19"/>
  <c r="E53" i="19"/>
  <c r="F53" i="19"/>
  <c r="H53" i="19"/>
  <c r="I53" i="19"/>
  <c r="J53" i="19"/>
  <c r="K53" i="19"/>
  <c r="L53" i="19"/>
  <c r="M53" i="19"/>
  <c r="N53" i="19"/>
  <c r="P53" i="19"/>
  <c r="Q53" i="19"/>
  <c r="S53" i="19"/>
  <c r="V53" i="19"/>
  <c r="W53" i="19"/>
  <c r="X53" i="19"/>
  <c r="Z53" i="19"/>
  <c r="D52" i="32" s="1"/>
  <c r="AA53" i="19"/>
  <c r="D52" i="33" s="1"/>
  <c r="A54" i="19"/>
  <c r="A53" i="54" s="1"/>
  <c r="B54" i="19"/>
  <c r="B53" i="54" s="1"/>
  <c r="C54" i="19"/>
  <c r="D54" i="19"/>
  <c r="E54" i="19"/>
  <c r="F54" i="19"/>
  <c r="H54" i="19"/>
  <c r="I54" i="19"/>
  <c r="J54" i="19"/>
  <c r="K54" i="19"/>
  <c r="L54" i="19"/>
  <c r="M54" i="19"/>
  <c r="N54" i="19"/>
  <c r="P54" i="19"/>
  <c r="Q54" i="19"/>
  <c r="S54" i="19"/>
  <c r="V54" i="19"/>
  <c r="W54" i="19"/>
  <c r="X54" i="19"/>
  <c r="Z54" i="19"/>
  <c r="D53" i="32" s="1"/>
  <c r="AA54" i="19"/>
  <c r="D53" i="33" s="1"/>
  <c r="A55" i="19"/>
  <c r="A54" i="54" s="1"/>
  <c r="B55" i="19"/>
  <c r="B54" i="54" s="1"/>
  <c r="C55" i="19"/>
  <c r="D55" i="19"/>
  <c r="E55" i="19"/>
  <c r="F55" i="19"/>
  <c r="H55" i="19"/>
  <c r="I55" i="19"/>
  <c r="J55" i="19"/>
  <c r="K55" i="19"/>
  <c r="L55" i="19"/>
  <c r="M55" i="19"/>
  <c r="N55" i="19"/>
  <c r="P55" i="19"/>
  <c r="Q55" i="19"/>
  <c r="S55" i="19"/>
  <c r="V55" i="19"/>
  <c r="W55" i="19"/>
  <c r="X55" i="19"/>
  <c r="Z55" i="19"/>
  <c r="D54" i="32" s="1"/>
  <c r="AA55" i="19"/>
  <c r="D54" i="33" s="1"/>
  <c r="A56" i="19"/>
  <c r="A55" i="54" s="1"/>
  <c r="B56" i="19"/>
  <c r="B55" i="54" s="1"/>
  <c r="C56" i="19"/>
  <c r="D56" i="19"/>
  <c r="E56" i="19"/>
  <c r="F56" i="19"/>
  <c r="H56" i="19"/>
  <c r="I56" i="19"/>
  <c r="J56" i="19"/>
  <c r="K56" i="19"/>
  <c r="L56" i="19"/>
  <c r="M56" i="19"/>
  <c r="N56" i="19"/>
  <c r="P56" i="19"/>
  <c r="Q56" i="19"/>
  <c r="S56" i="19"/>
  <c r="V56" i="19"/>
  <c r="W56" i="19"/>
  <c r="X56" i="19"/>
  <c r="Z56" i="19"/>
  <c r="D55" i="32" s="1"/>
  <c r="AA56" i="19"/>
  <c r="D55" i="33" s="1"/>
  <c r="A57" i="19"/>
  <c r="A56" i="54" s="1"/>
  <c r="B57" i="19"/>
  <c r="B56" i="54" s="1"/>
  <c r="C57" i="19"/>
  <c r="D57" i="19"/>
  <c r="E57" i="19"/>
  <c r="F57" i="19"/>
  <c r="H57" i="19"/>
  <c r="I57" i="19"/>
  <c r="J57" i="19"/>
  <c r="K57" i="19"/>
  <c r="L57" i="19"/>
  <c r="M57" i="19"/>
  <c r="N57" i="19"/>
  <c r="P57" i="19"/>
  <c r="Q57" i="19"/>
  <c r="S57" i="19"/>
  <c r="V57" i="19"/>
  <c r="W57" i="19"/>
  <c r="X57" i="19"/>
  <c r="Z57" i="19"/>
  <c r="D56" i="32" s="1"/>
  <c r="AA57" i="19"/>
  <c r="D56" i="33" s="1"/>
  <c r="A58" i="19"/>
  <c r="A57" i="54" s="1"/>
  <c r="B58" i="19"/>
  <c r="B57" i="54" s="1"/>
  <c r="C58" i="19"/>
  <c r="D58" i="19"/>
  <c r="E58" i="19"/>
  <c r="F58" i="19"/>
  <c r="H58" i="19"/>
  <c r="I58" i="19"/>
  <c r="J58" i="19"/>
  <c r="K58" i="19"/>
  <c r="L58" i="19"/>
  <c r="M58" i="19"/>
  <c r="N58" i="19"/>
  <c r="P58" i="19"/>
  <c r="Q58" i="19"/>
  <c r="S58" i="19"/>
  <c r="V58" i="19"/>
  <c r="W58" i="19"/>
  <c r="X58" i="19"/>
  <c r="Z58" i="19"/>
  <c r="D57" i="32" s="1"/>
  <c r="AA58" i="19"/>
  <c r="D57" i="33" s="1"/>
  <c r="A59" i="19"/>
  <c r="A58" i="54" s="1"/>
  <c r="B59" i="19"/>
  <c r="B58" i="54" s="1"/>
  <c r="C59" i="19"/>
  <c r="D59" i="19"/>
  <c r="E59" i="19"/>
  <c r="F59" i="19"/>
  <c r="H59" i="19"/>
  <c r="I59" i="19"/>
  <c r="J59" i="19"/>
  <c r="K59" i="19"/>
  <c r="L59" i="19"/>
  <c r="M59" i="19"/>
  <c r="N59" i="19"/>
  <c r="P59" i="19"/>
  <c r="Q59" i="19"/>
  <c r="S59" i="19"/>
  <c r="V59" i="19"/>
  <c r="W59" i="19"/>
  <c r="X59" i="19"/>
  <c r="Z59" i="19"/>
  <c r="D58" i="32" s="1"/>
  <c r="AA59" i="19"/>
  <c r="D58" i="33" s="1"/>
  <c r="A60" i="19"/>
  <c r="A59" i="54" s="1"/>
  <c r="B60" i="19"/>
  <c r="B59" i="54" s="1"/>
  <c r="C60" i="19"/>
  <c r="D60" i="19"/>
  <c r="E60" i="19"/>
  <c r="F60" i="19"/>
  <c r="H60" i="19"/>
  <c r="I60" i="19"/>
  <c r="J60" i="19"/>
  <c r="K60" i="19"/>
  <c r="L60" i="19"/>
  <c r="M60" i="19"/>
  <c r="N60" i="19"/>
  <c r="P60" i="19"/>
  <c r="Q60" i="19"/>
  <c r="S60" i="19"/>
  <c r="V60" i="19"/>
  <c r="W60" i="19"/>
  <c r="X60" i="19"/>
  <c r="Z60" i="19"/>
  <c r="D59" i="32" s="1"/>
  <c r="AA60" i="19"/>
  <c r="D59" i="33" s="1"/>
  <c r="A61" i="19"/>
  <c r="A60" i="54" s="1"/>
  <c r="B61" i="19"/>
  <c r="B60" i="54" s="1"/>
  <c r="C61" i="19"/>
  <c r="D61" i="19"/>
  <c r="E61" i="19"/>
  <c r="F61" i="19"/>
  <c r="H61" i="19"/>
  <c r="I61" i="19"/>
  <c r="J61" i="19"/>
  <c r="K61" i="19"/>
  <c r="L61" i="19"/>
  <c r="M61" i="19"/>
  <c r="N61" i="19"/>
  <c r="P61" i="19"/>
  <c r="Q61" i="19"/>
  <c r="S61" i="19"/>
  <c r="V61" i="19"/>
  <c r="W61" i="19"/>
  <c r="X61" i="19"/>
  <c r="Z61" i="19"/>
  <c r="D60" i="32" s="1"/>
  <c r="AA61" i="19"/>
  <c r="D60" i="33" s="1"/>
  <c r="A62" i="19"/>
  <c r="A61" i="54" s="1"/>
  <c r="B62" i="19"/>
  <c r="B61" i="54" s="1"/>
  <c r="C62" i="19"/>
  <c r="D62" i="19"/>
  <c r="E62" i="19"/>
  <c r="F62" i="19"/>
  <c r="H62" i="19"/>
  <c r="I62" i="19"/>
  <c r="J62" i="19"/>
  <c r="K62" i="19"/>
  <c r="L62" i="19"/>
  <c r="M62" i="19"/>
  <c r="N62" i="19"/>
  <c r="P62" i="19"/>
  <c r="Q62" i="19"/>
  <c r="S62" i="19"/>
  <c r="V62" i="19"/>
  <c r="W62" i="19"/>
  <c r="X62" i="19"/>
  <c r="Z62" i="19"/>
  <c r="D61" i="32" s="1"/>
  <c r="AA62" i="19"/>
  <c r="D61" i="33" s="1"/>
  <c r="A63" i="19"/>
  <c r="A62" i="54" s="1"/>
  <c r="B63" i="19"/>
  <c r="B62" i="54" s="1"/>
  <c r="C63" i="19"/>
  <c r="D63" i="19"/>
  <c r="E63" i="19"/>
  <c r="F63" i="19"/>
  <c r="H63" i="19"/>
  <c r="I63" i="19"/>
  <c r="J63" i="19"/>
  <c r="K63" i="19"/>
  <c r="L63" i="19"/>
  <c r="M63" i="19"/>
  <c r="N63" i="19"/>
  <c r="P63" i="19"/>
  <c r="Q63" i="19"/>
  <c r="S63" i="19"/>
  <c r="V63" i="19"/>
  <c r="W63" i="19"/>
  <c r="X63" i="19"/>
  <c r="Z63" i="19"/>
  <c r="D62" i="32" s="1"/>
  <c r="AA63" i="19"/>
  <c r="D62" i="33" s="1"/>
  <c r="A64" i="19"/>
  <c r="A63" i="54" s="1"/>
  <c r="B64" i="19"/>
  <c r="B63" i="54" s="1"/>
  <c r="C64" i="19"/>
  <c r="D64" i="19"/>
  <c r="E64" i="19"/>
  <c r="F64" i="19"/>
  <c r="H64" i="19"/>
  <c r="I64" i="19"/>
  <c r="J64" i="19"/>
  <c r="K64" i="19"/>
  <c r="L64" i="19"/>
  <c r="M64" i="19"/>
  <c r="N64" i="19"/>
  <c r="P64" i="19"/>
  <c r="Q64" i="19"/>
  <c r="S64" i="19"/>
  <c r="V64" i="19"/>
  <c r="W64" i="19"/>
  <c r="X64" i="19"/>
  <c r="Z64" i="19"/>
  <c r="D63" i="32" s="1"/>
  <c r="AA64" i="19"/>
  <c r="D63" i="33" s="1"/>
  <c r="A65" i="19"/>
  <c r="A64" i="54" s="1"/>
  <c r="B65" i="19"/>
  <c r="B64" i="54" s="1"/>
  <c r="C65" i="19"/>
  <c r="D65" i="19"/>
  <c r="E65" i="19"/>
  <c r="F65" i="19"/>
  <c r="H65" i="19"/>
  <c r="I65" i="19"/>
  <c r="J65" i="19"/>
  <c r="K65" i="19"/>
  <c r="L65" i="19"/>
  <c r="M65" i="19"/>
  <c r="N65" i="19"/>
  <c r="P65" i="19"/>
  <c r="O65" i="19" s="1"/>
  <c r="Q65" i="19"/>
  <c r="S65" i="19"/>
  <c r="V65" i="19"/>
  <c r="W65" i="19"/>
  <c r="X65" i="19"/>
  <c r="Z65" i="19"/>
  <c r="D64" i="32" s="1"/>
  <c r="AA65" i="19"/>
  <c r="D64" i="33" s="1"/>
  <c r="A66" i="19"/>
  <c r="A65" i="54" s="1"/>
  <c r="B66" i="19"/>
  <c r="B65" i="54" s="1"/>
  <c r="C66" i="19"/>
  <c r="D66" i="19"/>
  <c r="E66" i="19"/>
  <c r="F66" i="19"/>
  <c r="H66" i="19"/>
  <c r="I66" i="19"/>
  <c r="J66" i="19"/>
  <c r="K66" i="19"/>
  <c r="L66" i="19"/>
  <c r="M66" i="19"/>
  <c r="N66" i="19"/>
  <c r="P66" i="19"/>
  <c r="Q66" i="19"/>
  <c r="S66" i="19"/>
  <c r="V66" i="19"/>
  <c r="W66" i="19"/>
  <c r="X66" i="19"/>
  <c r="Z66" i="19"/>
  <c r="D65" i="32" s="1"/>
  <c r="AA66" i="19"/>
  <c r="D65" i="33" s="1"/>
  <c r="A67" i="19"/>
  <c r="A66" i="54" s="1"/>
  <c r="B67" i="19"/>
  <c r="B66" i="54" s="1"/>
  <c r="C67" i="19"/>
  <c r="D67" i="19"/>
  <c r="E67" i="19"/>
  <c r="F67" i="19"/>
  <c r="H67" i="19"/>
  <c r="I67" i="19"/>
  <c r="J67" i="19"/>
  <c r="K67" i="19"/>
  <c r="L67" i="19"/>
  <c r="M67" i="19"/>
  <c r="N67" i="19"/>
  <c r="P67" i="19"/>
  <c r="Q67" i="19"/>
  <c r="S67" i="19"/>
  <c r="V67" i="19"/>
  <c r="W67" i="19"/>
  <c r="X67" i="19"/>
  <c r="Z67" i="19"/>
  <c r="D66" i="32" s="1"/>
  <c r="AA67" i="19"/>
  <c r="D66" i="33" s="1"/>
  <c r="A68" i="19"/>
  <c r="A67" i="54" s="1"/>
  <c r="B68" i="19"/>
  <c r="B67" i="54" s="1"/>
  <c r="C68" i="19"/>
  <c r="D68" i="19"/>
  <c r="E68" i="19"/>
  <c r="F68" i="19"/>
  <c r="H68" i="19"/>
  <c r="I68" i="19"/>
  <c r="J68" i="19"/>
  <c r="K68" i="19"/>
  <c r="L68" i="19"/>
  <c r="M68" i="19"/>
  <c r="N68" i="19"/>
  <c r="P68" i="19"/>
  <c r="Q68" i="19"/>
  <c r="S68" i="19"/>
  <c r="V68" i="19"/>
  <c r="W68" i="19"/>
  <c r="X68" i="19"/>
  <c r="Z68" i="19"/>
  <c r="D67" i="32" s="1"/>
  <c r="AA68" i="19"/>
  <c r="D67" i="33" s="1"/>
  <c r="A69" i="19"/>
  <c r="A68" i="54" s="1"/>
  <c r="B69" i="19"/>
  <c r="B68" i="54" s="1"/>
  <c r="C69" i="19"/>
  <c r="D69" i="19"/>
  <c r="E69" i="19"/>
  <c r="F69" i="19"/>
  <c r="H69" i="19"/>
  <c r="I69" i="19"/>
  <c r="J69" i="19"/>
  <c r="K69" i="19"/>
  <c r="L69" i="19"/>
  <c r="M69" i="19"/>
  <c r="N69" i="19"/>
  <c r="P69" i="19"/>
  <c r="Q69" i="19"/>
  <c r="S69" i="19"/>
  <c r="V69" i="19"/>
  <c r="W69" i="19"/>
  <c r="X69" i="19"/>
  <c r="Z69" i="19"/>
  <c r="D68" i="32" s="1"/>
  <c r="AA69" i="19"/>
  <c r="D68" i="33" s="1"/>
  <c r="A70" i="19"/>
  <c r="A69" i="54" s="1"/>
  <c r="B70" i="19"/>
  <c r="B69" i="54" s="1"/>
  <c r="C70" i="19"/>
  <c r="D70" i="19"/>
  <c r="E70" i="19"/>
  <c r="F70" i="19"/>
  <c r="H70" i="19"/>
  <c r="I70" i="19"/>
  <c r="J70" i="19"/>
  <c r="K70" i="19"/>
  <c r="L70" i="19"/>
  <c r="M70" i="19"/>
  <c r="N70" i="19"/>
  <c r="P70" i="19"/>
  <c r="Q70" i="19"/>
  <c r="S70" i="19"/>
  <c r="V70" i="19"/>
  <c r="W70" i="19"/>
  <c r="X70" i="19"/>
  <c r="Z70" i="19"/>
  <c r="D69" i="32" s="1"/>
  <c r="AA70" i="19"/>
  <c r="D69" i="33" s="1"/>
  <c r="A71" i="19"/>
  <c r="A70" i="54" s="1"/>
  <c r="B71" i="19"/>
  <c r="B70" i="54" s="1"/>
  <c r="C71" i="19"/>
  <c r="D71" i="19"/>
  <c r="E71" i="19"/>
  <c r="F71" i="19"/>
  <c r="H71" i="19"/>
  <c r="I71" i="19"/>
  <c r="J71" i="19"/>
  <c r="K71" i="19"/>
  <c r="L71" i="19"/>
  <c r="M71" i="19"/>
  <c r="N71" i="19"/>
  <c r="P71" i="19"/>
  <c r="Q71" i="19"/>
  <c r="S71" i="19"/>
  <c r="V71" i="19"/>
  <c r="W71" i="19"/>
  <c r="X71" i="19"/>
  <c r="Z71" i="19"/>
  <c r="D70" i="32" s="1"/>
  <c r="AA71" i="19"/>
  <c r="D70" i="33" s="1"/>
  <c r="A72" i="19"/>
  <c r="A71" i="54" s="1"/>
  <c r="B72" i="19"/>
  <c r="B71" i="54" s="1"/>
  <c r="C72" i="19"/>
  <c r="D72" i="19"/>
  <c r="E72" i="19"/>
  <c r="F72" i="19"/>
  <c r="H72" i="19"/>
  <c r="I72" i="19"/>
  <c r="J72" i="19"/>
  <c r="K72" i="19"/>
  <c r="L72" i="19"/>
  <c r="M72" i="19"/>
  <c r="N72" i="19"/>
  <c r="P72" i="19"/>
  <c r="Q72" i="19"/>
  <c r="S72" i="19"/>
  <c r="V72" i="19"/>
  <c r="W72" i="19"/>
  <c r="X72" i="19"/>
  <c r="Z72" i="19"/>
  <c r="D71" i="32" s="1"/>
  <c r="AA72" i="19"/>
  <c r="D71" i="33" s="1"/>
  <c r="A73" i="19"/>
  <c r="A72" i="54" s="1"/>
  <c r="B73" i="19"/>
  <c r="B72" i="54" s="1"/>
  <c r="C73" i="19"/>
  <c r="D73" i="19"/>
  <c r="E73" i="19"/>
  <c r="F73" i="19"/>
  <c r="H73" i="19"/>
  <c r="I73" i="19"/>
  <c r="J73" i="19"/>
  <c r="K73" i="19"/>
  <c r="L73" i="19"/>
  <c r="M73" i="19"/>
  <c r="N73" i="19"/>
  <c r="P73" i="19"/>
  <c r="Q73" i="19"/>
  <c r="S73" i="19"/>
  <c r="V73" i="19"/>
  <c r="W73" i="19"/>
  <c r="X73" i="19"/>
  <c r="Z73" i="19"/>
  <c r="D72" i="32" s="1"/>
  <c r="AA73" i="19"/>
  <c r="D72" i="33" s="1"/>
  <c r="A74" i="19"/>
  <c r="A73" i="54" s="1"/>
  <c r="B74" i="19"/>
  <c r="B73" i="54" s="1"/>
  <c r="C74" i="19"/>
  <c r="D74" i="19"/>
  <c r="E74" i="19"/>
  <c r="F74" i="19"/>
  <c r="H74" i="19"/>
  <c r="I74" i="19"/>
  <c r="J74" i="19"/>
  <c r="K74" i="19"/>
  <c r="L74" i="19"/>
  <c r="M74" i="19"/>
  <c r="N74" i="19"/>
  <c r="P74" i="19"/>
  <c r="Q74" i="19"/>
  <c r="S74" i="19"/>
  <c r="V74" i="19"/>
  <c r="W74" i="19"/>
  <c r="X74" i="19"/>
  <c r="Z74" i="19"/>
  <c r="D73" i="32" s="1"/>
  <c r="AA74" i="19"/>
  <c r="D73" i="33" s="1"/>
  <c r="A75" i="19"/>
  <c r="A74" i="54" s="1"/>
  <c r="B75" i="19"/>
  <c r="B74" i="54" s="1"/>
  <c r="C75" i="19"/>
  <c r="D75" i="19"/>
  <c r="E75" i="19"/>
  <c r="F75" i="19"/>
  <c r="H75" i="19"/>
  <c r="I75" i="19"/>
  <c r="J75" i="19"/>
  <c r="K75" i="19"/>
  <c r="L75" i="19"/>
  <c r="M75" i="19"/>
  <c r="N75" i="19"/>
  <c r="P75" i="19"/>
  <c r="Q75" i="19"/>
  <c r="S75" i="19"/>
  <c r="V75" i="19"/>
  <c r="W75" i="19"/>
  <c r="X75" i="19"/>
  <c r="Z75" i="19"/>
  <c r="D74" i="32" s="1"/>
  <c r="AA75" i="19"/>
  <c r="D74" i="33" s="1"/>
  <c r="A76" i="19"/>
  <c r="A75" i="54" s="1"/>
  <c r="B76" i="19"/>
  <c r="B75" i="54" s="1"/>
  <c r="C76" i="19"/>
  <c r="D76" i="19"/>
  <c r="E76" i="19"/>
  <c r="F76" i="19"/>
  <c r="H76" i="19"/>
  <c r="I76" i="19"/>
  <c r="J76" i="19"/>
  <c r="K76" i="19"/>
  <c r="L76" i="19"/>
  <c r="M76" i="19"/>
  <c r="N76" i="19"/>
  <c r="P76" i="19"/>
  <c r="Q76" i="19"/>
  <c r="S76" i="19"/>
  <c r="V76" i="19"/>
  <c r="W76" i="19"/>
  <c r="X76" i="19"/>
  <c r="Z76" i="19"/>
  <c r="D75" i="32" s="1"/>
  <c r="AA76" i="19"/>
  <c r="D75" i="33" s="1"/>
  <c r="A77" i="19"/>
  <c r="A76" i="54" s="1"/>
  <c r="B77" i="19"/>
  <c r="B76" i="54" s="1"/>
  <c r="C77" i="19"/>
  <c r="D77" i="19"/>
  <c r="E77" i="19"/>
  <c r="F77" i="19"/>
  <c r="H77" i="19"/>
  <c r="I77" i="19"/>
  <c r="J77" i="19"/>
  <c r="K77" i="19"/>
  <c r="L77" i="19"/>
  <c r="M77" i="19"/>
  <c r="N77" i="19"/>
  <c r="P77" i="19"/>
  <c r="Q77" i="19"/>
  <c r="S77" i="19"/>
  <c r="V77" i="19"/>
  <c r="W77" i="19"/>
  <c r="X77" i="19"/>
  <c r="Z77" i="19"/>
  <c r="D76" i="32" s="1"/>
  <c r="AA77" i="19"/>
  <c r="D76" i="33" s="1"/>
  <c r="A78" i="19"/>
  <c r="A77" i="54" s="1"/>
  <c r="B78" i="19"/>
  <c r="B77" i="54" s="1"/>
  <c r="C78" i="19"/>
  <c r="D78" i="19"/>
  <c r="E78" i="19"/>
  <c r="F78" i="19"/>
  <c r="H78" i="19"/>
  <c r="I78" i="19"/>
  <c r="J78" i="19"/>
  <c r="K78" i="19"/>
  <c r="L78" i="19"/>
  <c r="M78" i="19"/>
  <c r="N78" i="19"/>
  <c r="P78" i="19"/>
  <c r="Q78" i="19"/>
  <c r="S78" i="19"/>
  <c r="V78" i="19"/>
  <c r="W78" i="19"/>
  <c r="X78" i="19"/>
  <c r="Z78" i="19"/>
  <c r="D77" i="32" s="1"/>
  <c r="AA78" i="19"/>
  <c r="D77" i="33" s="1"/>
  <c r="A79" i="19"/>
  <c r="A78" i="54" s="1"/>
  <c r="B79" i="19"/>
  <c r="B78" i="54" s="1"/>
  <c r="C79" i="19"/>
  <c r="D79" i="19"/>
  <c r="E79" i="19"/>
  <c r="F79" i="19"/>
  <c r="H79" i="19"/>
  <c r="I79" i="19"/>
  <c r="J79" i="19"/>
  <c r="K79" i="19"/>
  <c r="L79" i="19"/>
  <c r="M79" i="19"/>
  <c r="N79" i="19"/>
  <c r="P79" i="19"/>
  <c r="Q79" i="19"/>
  <c r="S79" i="19"/>
  <c r="V79" i="19"/>
  <c r="W79" i="19"/>
  <c r="X79" i="19"/>
  <c r="Z79" i="19"/>
  <c r="D78" i="32" s="1"/>
  <c r="AA79" i="19"/>
  <c r="D78" i="33" s="1"/>
  <c r="A80" i="19"/>
  <c r="A79" i="54" s="1"/>
  <c r="B80" i="19"/>
  <c r="B79" i="54" s="1"/>
  <c r="C80" i="19"/>
  <c r="D80" i="19"/>
  <c r="E80" i="19"/>
  <c r="F80" i="19"/>
  <c r="H80" i="19"/>
  <c r="I80" i="19"/>
  <c r="J80" i="19"/>
  <c r="K80" i="19"/>
  <c r="L80" i="19"/>
  <c r="M80" i="19"/>
  <c r="N80" i="19"/>
  <c r="P80" i="19"/>
  <c r="Q80" i="19"/>
  <c r="O80" i="19" s="1"/>
  <c r="S80" i="19"/>
  <c r="V80" i="19"/>
  <c r="W80" i="19"/>
  <c r="X80" i="19"/>
  <c r="Z80" i="19"/>
  <c r="D79" i="32" s="1"/>
  <c r="AA80" i="19"/>
  <c r="D79" i="33" s="1"/>
  <c r="A81" i="19"/>
  <c r="A80" i="54" s="1"/>
  <c r="B81" i="19"/>
  <c r="B80" i="54" s="1"/>
  <c r="C81" i="19"/>
  <c r="D81" i="19"/>
  <c r="E81" i="19"/>
  <c r="F81" i="19"/>
  <c r="H81" i="19"/>
  <c r="I81" i="19"/>
  <c r="J81" i="19"/>
  <c r="K81" i="19"/>
  <c r="L81" i="19"/>
  <c r="M81" i="19"/>
  <c r="N81" i="19"/>
  <c r="P81" i="19"/>
  <c r="Q81" i="19"/>
  <c r="S81" i="19"/>
  <c r="V81" i="19"/>
  <c r="W81" i="19"/>
  <c r="X81" i="19"/>
  <c r="Z81" i="19"/>
  <c r="D80" i="32" s="1"/>
  <c r="AA81" i="19"/>
  <c r="D80" i="33" s="1"/>
  <c r="A82" i="19"/>
  <c r="A81" i="54" s="1"/>
  <c r="B82" i="19"/>
  <c r="B81" i="54" s="1"/>
  <c r="C82" i="19"/>
  <c r="D82" i="19"/>
  <c r="E82" i="19"/>
  <c r="F82" i="19"/>
  <c r="H82" i="19"/>
  <c r="I82" i="19"/>
  <c r="J82" i="19"/>
  <c r="K82" i="19"/>
  <c r="L82" i="19"/>
  <c r="M82" i="19"/>
  <c r="N82" i="19"/>
  <c r="P82" i="19"/>
  <c r="Q82" i="19"/>
  <c r="S82" i="19"/>
  <c r="V82" i="19"/>
  <c r="W82" i="19"/>
  <c r="X82" i="19"/>
  <c r="Z82" i="19"/>
  <c r="D81" i="32" s="1"/>
  <c r="AA82" i="19"/>
  <c r="D81" i="33" s="1"/>
  <c r="A83" i="19"/>
  <c r="A82" i="54" s="1"/>
  <c r="B83" i="19"/>
  <c r="B82" i="54" s="1"/>
  <c r="C83" i="19"/>
  <c r="D83" i="19"/>
  <c r="E83" i="19"/>
  <c r="F83" i="19"/>
  <c r="H83" i="19"/>
  <c r="I83" i="19"/>
  <c r="J83" i="19"/>
  <c r="K83" i="19"/>
  <c r="L83" i="19"/>
  <c r="M83" i="19"/>
  <c r="N83" i="19"/>
  <c r="P83" i="19"/>
  <c r="Q83" i="19"/>
  <c r="S83" i="19"/>
  <c r="V83" i="19"/>
  <c r="W83" i="19"/>
  <c r="X83" i="19"/>
  <c r="Z83" i="19"/>
  <c r="D82" i="32" s="1"/>
  <c r="AA83" i="19"/>
  <c r="D82" i="33" s="1"/>
  <c r="A84" i="19"/>
  <c r="A83" i="54" s="1"/>
  <c r="B84" i="19"/>
  <c r="B83" i="54" s="1"/>
  <c r="C84" i="19"/>
  <c r="D84" i="19"/>
  <c r="E84" i="19"/>
  <c r="F84" i="19"/>
  <c r="H84" i="19"/>
  <c r="I84" i="19"/>
  <c r="J84" i="19"/>
  <c r="K84" i="19"/>
  <c r="L84" i="19"/>
  <c r="M84" i="19"/>
  <c r="N84" i="19"/>
  <c r="P84" i="19"/>
  <c r="Q84" i="19"/>
  <c r="S84" i="19"/>
  <c r="V84" i="19"/>
  <c r="W84" i="19"/>
  <c r="X84" i="19"/>
  <c r="Z84" i="19"/>
  <c r="D83" i="32" s="1"/>
  <c r="AA84" i="19"/>
  <c r="D83" i="33" s="1"/>
  <c r="A85" i="19"/>
  <c r="A84" i="54" s="1"/>
  <c r="B85" i="19"/>
  <c r="B84" i="54" s="1"/>
  <c r="C85" i="19"/>
  <c r="D85" i="19"/>
  <c r="E85" i="19"/>
  <c r="F85" i="19"/>
  <c r="H85" i="19"/>
  <c r="I85" i="19"/>
  <c r="J85" i="19"/>
  <c r="K85" i="19"/>
  <c r="L85" i="19"/>
  <c r="M85" i="19"/>
  <c r="N85" i="19"/>
  <c r="P85" i="19"/>
  <c r="Q85" i="19"/>
  <c r="S85" i="19"/>
  <c r="V85" i="19"/>
  <c r="W85" i="19"/>
  <c r="X85" i="19"/>
  <c r="Z85" i="19"/>
  <c r="D84" i="32" s="1"/>
  <c r="AA85" i="19"/>
  <c r="D84" i="33" s="1"/>
  <c r="A86" i="19"/>
  <c r="A85" i="54" s="1"/>
  <c r="B86" i="19"/>
  <c r="B85" i="54" s="1"/>
  <c r="C86" i="19"/>
  <c r="D86" i="19"/>
  <c r="E86" i="19"/>
  <c r="F86" i="19"/>
  <c r="H86" i="19"/>
  <c r="I86" i="19"/>
  <c r="J86" i="19"/>
  <c r="K86" i="19"/>
  <c r="L86" i="19"/>
  <c r="M86" i="19"/>
  <c r="N86" i="19"/>
  <c r="P86" i="19"/>
  <c r="Q86" i="19"/>
  <c r="S86" i="19"/>
  <c r="V86" i="19"/>
  <c r="W86" i="19"/>
  <c r="X86" i="19"/>
  <c r="Z86" i="19"/>
  <c r="D85" i="32" s="1"/>
  <c r="AA86" i="19"/>
  <c r="D85" i="33" s="1"/>
  <c r="A87" i="19"/>
  <c r="A86" i="54" s="1"/>
  <c r="B87" i="19"/>
  <c r="B86" i="54" s="1"/>
  <c r="C87" i="19"/>
  <c r="D87" i="19"/>
  <c r="E87" i="19"/>
  <c r="F87" i="19"/>
  <c r="H87" i="19"/>
  <c r="I87" i="19"/>
  <c r="J87" i="19"/>
  <c r="K87" i="19"/>
  <c r="L87" i="19"/>
  <c r="M87" i="19"/>
  <c r="N87" i="19"/>
  <c r="P87" i="19"/>
  <c r="Q87" i="19"/>
  <c r="S87" i="19"/>
  <c r="V87" i="19"/>
  <c r="W87" i="19"/>
  <c r="X87" i="19"/>
  <c r="Z87" i="19"/>
  <c r="D86" i="32" s="1"/>
  <c r="AA87" i="19"/>
  <c r="D86" i="33" s="1"/>
  <c r="A88" i="19"/>
  <c r="A87" i="54" s="1"/>
  <c r="B88" i="19"/>
  <c r="B87" i="54" s="1"/>
  <c r="C88" i="19"/>
  <c r="D88" i="19"/>
  <c r="E88" i="19"/>
  <c r="F88" i="19"/>
  <c r="H88" i="19"/>
  <c r="I88" i="19"/>
  <c r="J88" i="19"/>
  <c r="K88" i="19"/>
  <c r="L88" i="19"/>
  <c r="M88" i="19"/>
  <c r="N88" i="19"/>
  <c r="P88" i="19"/>
  <c r="Q88" i="19"/>
  <c r="S88" i="19"/>
  <c r="V88" i="19"/>
  <c r="W88" i="19"/>
  <c r="X88" i="19"/>
  <c r="Z88" i="19"/>
  <c r="D87" i="32" s="1"/>
  <c r="AA88" i="19"/>
  <c r="D87" i="33" s="1"/>
  <c r="A89" i="19"/>
  <c r="A88" i="54" s="1"/>
  <c r="B89" i="19"/>
  <c r="B88" i="54" s="1"/>
  <c r="C89" i="19"/>
  <c r="D89" i="19"/>
  <c r="E89" i="19"/>
  <c r="F89" i="19"/>
  <c r="H89" i="19"/>
  <c r="I89" i="19"/>
  <c r="J89" i="19"/>
  <c r="K89" i="19"/>
  <c r="L89" i="19"/>
  <c r="M89" i="19"/>
  <c r="N89" i="19"/>
  <c r="P89" i="19"/>
  <c r="Q89" i="19"/>
  <c r="S89" i="19"/>
  <c r="V89" i="19"/>
  <c r="W89" i="19"/>
  <c r="X89" i="19"/>
  <c r="Z89" i="19"/>
  <c r="D88" i="32" s="1"/>
  <c r="AA89" i="19"/>
  <c r="D88" i="33" s="1"/>
  <c r="A90" i="19"/>
  <c r="A89" i="54" s="1"/>
  <c r="B90" i="19"/>
  <c r="B89" i="54" s="1"/>
  <c r="C90" i="19"/>
  <c r="D90" i="19"/>
  <c r="E90" i="19"/>
  <c r="F90" i="19"/>
  <c r="H90" i="19"/>
  <c r="I90" i="19"/>
  <c r="J90" i="19"/>
  <c r="K90" i="19"/>
  <c r="L90" i="19"/>
  <c r="M90" i="19"/>
  <c r="N90" i="19"/>
  <c r="P90" i="19"/>
  <c r="Q90" i="19"/>
  <c r="S90" i="19"/>
  <c r="V90" i="19"/>
  <c r="W90" i="19"/>
  <c r="X90" i="19"/>
  <c r="Z90" i="19"/>
  <c r="D89" i="32" s="1"/>
  <c r="AA90" i="19"/>
  <c r="D89" i="33" s="1"/>
  <c r="A91" i="19"/>
  <c r="A90" i="54" s="1"/>
  <c r="B91" i="19"/>
  <c r="B90" i="54" s="1"/>
  <c r="C91" i="19"/>
  <c r="D91" i="19"/>
  <c r="E91" i="19"/>
  <c r="F91" i="19"/>
  <c r="H91" i="19"/>
  <c r="I91" i="19"/>
  <c r="J91" i="19"/>
  <c r="K91" i="19"/>
  <c r="L91" i="19"/>
  <c r="M91" i="19"/>
  <c r="N91" i="19"/>
  <c r="P91" i="19"/>
  <c r="Q91" i="19"/>
  <c r="S91" i="19"/>
  <c r="V91" i="19"/>
  <c r="W91" i="19"/>
  <c r="X91" i="19"/>
  <c r="Z91" i="19"/>
  <c r="D90" i="32" s="1"/>
  <c r="AA91" i="19"/>
  <c r="D90" i="33" s="1"/>
  <c r="A92" i="19"/>
  <c r="A91" i="54" s="1"/>
  <c r="B92" i="19"/>
  <c r="B91" i="54" s="1"/>
  <c r="C92" i="19"/>
  <c r="D92" i="19"/>
  <c r="E92" i="19"/>
  <c r="F92" i="19"/>
  <c r="H92" i="19"/>
  <c r="I92" i="19"/>
  <c r="J92" i="19"/>
  <c r="K92" i="19"/>
  <c r="L92" i="19"/>
  <c r="M92" i="19"/>
  <c r="N92" i="19"/>
  <c r="P92" i="19"/>
  <c r="Q92" i="19"/>
  <c r="S92" i="19"/>
  <c r="V92" i="19"/>
  <c r="W92" i="19"/>
  <c r="X92" i="19"/>
  <c r="Z92" i="19"/>
  <c r="D91" i="32" s="1"/>
  <c r="AA92" i="19"/>
  <c r="D91" i="33" s="1"/>
  <c r="A93" i="19"/>
  <c r="A92" i="54" s="1"/>
  <c r="B93" i="19"/>
  <c r="B92" i="54" s="1"/>
  <c r="C93" i="19"/>
  <c r="D93" i="19"/>
  <c r="E93" i="19"/>
  <c r="F93" i="19"/>
  <c r="H93" i="19"/>
  <c r="I93" i="19"/>
  <c r="J93" i="19"/>
  <c r="K93" i="19"/>
  <c r="L93" i="19"/>
  <c r="M93" i="19"/>
  <c r="N93" i="19"/>
  <c r="P93" i="19"/>
  <c r="Q93" i="19"/>
  <c r="S93" i="19"/>
  <c r="V93" i="19"/>
  <c r="W93" i="19"/>
  <c r="X93" i="19"/>
  <c r="Z93" i="19"/>
  <c r="D92" i="32" s="1"/>
  <c r="AA93" i="19"/>
  <c r="D92" i="33" s="1"/>
  <c r="A94" i="19"/>
  <c r="A93" i="54" s="1"/>
  <c r="B94" i="19"/>
  <c r="B93" i="54" s="1"/>
  <c r="C94" i="19"/>
  <c r="D94" i="19"/>
  <c r="E94" i="19"/>
  <c r="F94" i="19"/>
  <c r="H94" i="19"/>
  <c r="I94" i="19"/>
  <c r="J94" i="19"/>
  <c r="K94" i="19"/>
  <c r="L94" i="19"/>
  <c r="M94" i="19"/>
  <c r="N94" i="19"/>
  <c r="P94" i="19"/>
  <c r="Q94" i="19"/>
  <c r="S94" i="19"/>
  <c r="V94" i="19"/>
  <c r="W94" i="19"/>
  <c r="X94" i="19"/>
  <c r="Z94" i="19"/>
  <c r="D93" i="32" s="1"/>
  <c r="AA94" i="19"/>
  <c r="D93" i="33" s="1"/>
  <c r="A95" i="19"/>
  <c r="A94" i="54" s="1"/>
  <c r="B95" i="19"/>
  <c r="B94" i="54" s="1"/>
  <c r="C95" i="19"/>
  <c r="D95" i="19"/>
  <c r="E95" i="19"/>
  <c r="F95" i="19"/>
  <c r="H95" i="19"/>
  <c r="I95" i="19"/>
  <c r="J95" i="19"/>
  <c r="K95" i="19"/>
  <c r="L95" i="19"/>
  <c r="M95" i="19"/>
  <c r="N95" i="19"/>
  <c r="P95" i="19"/>
  <c r="Q95" i="19"/>
  <c r="S95" i="19"/>
  <c r="V95" i="19"/>
  <c r="W95" i="19"/>
  <c r="X95" i="19"/>
  <c r="Z95" i="19"/>
  <c r="D94" i="32" s="1"/>
  <c r="AA95" i="19"/>
  <c r="D94" i="33" s="1"/>
  <c r="A96" i="19"/>
  <c r="A95" i="54" s="1"/>
  <c r="B96" i="19"/>
  <c r="B95" i="54" s="1"/>
  <c r="C96" i="19"/>
  <c r="D96" i="19"/>
  <c r="E96" i="19"/>
  <c r="F96" i="19"/>
  <c r="H96" i="19"/>
  <c r="I96" i="19"/>
  <c r="J96" i="19"/>
  <c r="K96" i="19"/>
  <c r="L96" i="19"/>
  <c r="M96" i="19"/>
  <c r="N96" i="19"/>
  <c r="P96" i="19"/>
  <c r="Q96" i="19"/>
  <c r="S96" i="19"/>
  <c r="V96" i="19"/>
  <c r="W96" i="19"/>
  <c r="X96" i="19"/>
  <c r="Z96" i="19"/>
  <c r="D95" i="32" s="1"/>
  <c r="AA96" i="19"/>
  <c r="D95" i="33" s="1"/>
  <c r="A97" i="19"/>
  <c r="A96" i="54" s="1"/>
  <c r="B97" i="19"/>
  <c r="B96" i="54" s="1"/>
  <c r="C97" i="19"/>
  <c r="D97" i="19"/>
  <c r="E97" i="19"/>
  <c r="F97" i="19"/>
  <c r="H97" i="19"/>
  <c r="I97" i="19"/>
  <c r="J97" i="19"/>
  <c r="K97" i="19"/>
  <c r="L97" i="19"/>
  <c r="M97" i="19"/>
  <c r="N97" i="19"/>
  <c r="P97" i="19"/>
  <c r="Q97" i="19"/>
  <c r="S97" i="19"/>
  <c r="V97" i="19"/>
  <c r="W97" i="19"/>
  <c r="X97" i="19"/>
  <c r="Z97" i="19"/>
  <c r="D96" i="32" s="1"/>
  <c r="AA97" i="19"/>
  <c r="D96" i="33" s="1"/>
  <c r="A98" i="19"/>
  <c r="A97" i="54" s="1"/>
  <c r="B98" i="19"/>
  <c r="B97" i="54" s="1"/>
  <c r="C98" i="19"/>
  <c r="D98" i="19"/>
  <c r="E98" i="19"/>
  <c r="F98" i="19"/>
  <c r="H98" i="19"/>
  <c r="I98" i="19"/>
  <c r="J98" i="19"/>
  <c r="K98" i="19"/>
  <c r="L98" i="19"/>
  <c r="M98" i="19"/>
  <c r="N98" i="19"/>
  <c r="P98" i="19"/>
  <c r="Q98" i="19"/>
  <c r="S98" i="19"/>
  <c r="V98" i="19"/>
  <c r="W98" i="19"/>
  <c r="X98" i="19"/>
  <c r="Z98" i="19"/>
  <c r="D97" i="32" s="1"/>
  <c r="AA98" i="19"/>
  <c r="D97" i="33" s="1"/>
  <c r="A99" i="19"/>
  <c r="A98" i="54" s="1"/>
  <c r="B99" i="19"/>
  <c r="B98" i="54" s="1"/>
  <c r="C99" i="19"/>
  <c r="D99" i="19"/>
  <c r="E99" i="19"/>
  <c r="F99" i="19"/>
  <c r="H99" i="19"/>
  <c r="I99" i="19"/>
  <c r="J99" i="19"/>
  <c r="K99" i="19"/>
  <c r="L99" i="19"/>
  <c r="M99" i="19"/>
  <c r="N99" i="19"/>
  <c r="P99" i="19"/>
  <c r="Q99" i="19"/>
  <c r="S99" i="19"/>
  <c r="V99" i="19"/>
  <c r="W99" i="19"/>
  <c r="X99" i="19"/>
  <c r="Z99" i="19"/>
  <c r="D98" i="32" s="1"/>
  <c r="AA99" i="19"/>
  <c r="D98" i="33" s="1"/>
  <c r="A100" i="19"/>
  <c r="A99" i="54" s="1"/>
  <c r="B100" i="19"/>
  <c r="B99" i="54" s="1"/>
  <c r="C100" i="19"/>
  <c r="D100" i="19"/>
  <c r="E100" i="19"/>
  <c r="F100" i="19"/>
  <c r="H100" i="19"/>
  <c r="I100" i="19"/>
  <c r="J100" i="19"/>
  <c r="K100" i="19"/>
  <c r="L100" i="19"/>
  <c r="M100" i="19"/>
  <c r="N100" i="19"/>
  <c r="P100" i="19"/>
  <c r="Q100" i="19"/>
  <c r="S100" i="19"/>
  <c r="V100" i="19"/>
  <c r="W100" i="19"/>
  <c r="X100" i="19"/>
  <c r="Z100" i="19"/>
  <c r="D99" i="32" s="1"/>
  <c r="AA100" i="19"/>
  <c r="D99" i="33" s="1"/>
  <c r="A101" i="19"/>
  <c r="A100" i="54" s="1"/>
  <c r="B101" i="19"/>
  <c r="B100" i="54" s="1"/>
  <c r="C101" i="19"/>
  <c r="D101" i="19"/>
  <c r="E101" i="19"/>
  <c r="F101" i="19"/>
  <c r="H101" i="19"/>
  <c r="I101" i="19"/>
  <c r="J101" i="19"/>
  <c r="K101" i="19"/>
  <c r="L101" i="19"/>
  <c r="M101" i="19"/>
  <c r="N101" i="19"/>
  <c r="P101" i="19"/>
  <c r="Q101" i="19"/>
  <c r="S101" i="19"/>
  <c r="V101" i="19"/>
  <c r="W101" i="19"/>
  <c r="X101" i="19"/>
  <c r="Z101" i="19"/>
  <c r="D100" i="32" s="1"/>
  <c r="AA101" i="19"/>
  <c r="D100" i="33" s="1"/>
  <c r="A102" i="19"/>
  <c r="A101" i="54" s="1"/>
  <c r="B102" i="19"/>
  <c r="B101" i="54" s="1"/>
  <c r="C102" i="19"/>
  <c r="D102" i="19"/>
  <c r="E102" i="19"/>
  <c r="F102" i="19"/>
  <c r="H102" i="19"/>
  <c r="I102" i="19"/>
  <c r="J102" i="19"/>
  <c r="K102" i="19"/>
  <c r="L102" i="19"/>
  <c r="M102" i="19"/>
  <c r="N102" i="19"/>
  <c r="P102" i="19"/>
  <c r="Q102" i="19"/>
  <c r="S102" i="19"/>
  <c r="V102" i="19"/>
  <c r="W102" i="19"/>
  <c r="X102" i="19"/>
  <c r="Z102" i="19"/>
  <c r="D101" i="32" s="1"/>
  <c r="AA102" i="19"/>
  <c r="D101" i="33" s="1"/>
  <c r="A103" i="19"/>
  <c r="A102" i="54" s="1"/>
  <c r="B103" i="19"/>
  <c r="B102" i="54" s="1"/>
  <c r="C103" i="19"/>
  <c r="D103" i="19"/>
  <c r="E103" i="19"/>
  <c r="F103" i="19"/>
  <c r="H103" i="19"/>
  <c r="I103" i="19"/>
  <c r="J103" i="19"/>
  <c r="K103" i="19"/>
  <c r="L103" i="19"/>
  <c r="M103" i="19"/>
  <c r="N103" i="19"/>
  <c r="P103" i="19"/>
  <c r="Q103" i="19"/>
  <c r="S103" i="19"/>
  <c r="V103" i="19"/>
  <c r="W103" i="19"/>
  <c r="X103" i="19"/>
  <c r="Z103" i="19"/>
  <c r="D102" i="32" s="1"/>
  <c r="AA103" i="19"/>
  <c r="D102" i="33" s="1"/>
  <c r="A104" i="19"/>
  <c r="A103" i="54" s="1"/>
  <c r="B104" i="19"/>
  <c r="B103" i="54" s="1"/>
  <c r="C104" i="19"/>
  <c r="D104" i="19"/>
  <c r="E104" i="19"/>
  <c r="F104" i="19"/>
  <c r="H104" i="19"/>
  <c r="I104" i="19"/>
  <c r="J104" i="19"/>
  <c r="K104" i="19"/>
  <c r="L104" i="19"/>
  <c r="M104" i="19"/>
  <c r="N104" i="19"/>
  <c r="P104" i="19"/>
  <c r="Q104" i="19"/>
  <c r="S104" i="19"/>
  <c r="V104" i="19"/>
  <c r="W104" i="19"/>
  <c r="X104" i="19"/>
  <c r="Z104" i="19"/>
  <c r="D103" i="32" s="1"/>
  <c r="AA104" i="19"/>
  <c r="D103" i="33" s="1"/>
  <c r="A105" i="19"/>
  <c r="A104" i="54" s="1"/>
  <c r="B105" i="19"/>
  <c r="B104" i="54" s="1"/>
  <c r="C105" i="19"/>
  <c r="D105" i="19"/>
  <c r="E105" i="19"/>
  <c r="F105" i="19"/>
  <c r="H105" i="19"/>
  <c r="I105" i="19"/>
  <c r="J105" i="19"/>
  <c r="K105" i="19"/>
  <c r="L105" i="19"/>
  <c r="M105" i="19"/>
  <c r="N105" i="19"/>
  <c r="P105" i="19"/>
  <c r="Q105" i="19"/>
  <c r="S105" i="19"/>
  <c r="V105" i="19"/>
  <c r="W105" i="19"/>
  <c r="X105" i="19"/>
  <c r="Z105" i="19"/>
  <c r="D104" i="32" s="1"/>
  <c r="AA105" i="19"/>
  <c r="D104" i="33" s="1"/>
  <c r="A106" i="19"/>
  <c r="A105" i="54" s="1"/>
  <c r="B106" i="19"/>
  <c r="B105" i="54" s="1"/>
  <c r="C106" i="19"/>
  <c r="D106" i="19"/>
  <c r="E106" i="19"/>
  <c r="F106" i="19"/>
  <c r="H106" i="19"/>
  <c r="I106" i="19"/>
  <c r="J106" i="19"/>
  <c r="K106" i="19"/>
  <c r="L106" i="19"/>
  <c r="M106" i="19"/>
  <c r="N106" i="19"/>
  <c r="P106" i="19"/>
  <c r="Q106" i="19"/>
  <c r="S106" i="19"/>
  <c r="V106" i="19"/>
  <c r="W106" i="19"/>
  <c r="X106" i="19"/>
  <c r="Z106" i="19"/>
  <c r="D105" i="32" s="1"/>
  <c r="AA106" i="19"/>
  <c r="D105" i="33" s="1"/>
  <c r="A107" i="19"/>
  <c r="A106" i="54" s="1"/>
  <c r="B107" i="19"/>
  <c r="B106" i="54" s="1"/>
  <c r="C107" i="19"/>
  <c r="D107" i="19"/>
  <c r="E107" i="19"/>
  <c r="F107" i="19"/>
  <c r="H107" i="19"/>
  <c r="I107" i="19"/>
  <c r="J107" i="19"/>
  <c r="K107" i="19"/>
  <c r="L107" i="19"/>
  <c r="M107" i="19"/>
  <c r="N107" i="19"/>
  <c r="P107" i="19"/>
  <c r="Q107" i="19"/>
  <c r="S107" i="19"/>
  <c r="V107" i="19"/>
  <c r="W107" i="19"/>
  <c r="X107" i="19"/>
  <c r="Z107" i="19"/>
  <c r="D106" i="32" s="1"/>
  <c r="AA107" i="19"/>
  <c r="D106" i="33" s="1"/>
  <c r="A108" i="19"/>
  <c r="A107" i="54" s="1"/>
  <c r="B108" i="19"/>
  <c r="B107" i="54" s="1"/>
  <c r="C108" i="19"/>
  <c r="D108" i="19"/>
  <c r="E108" i="19"/>
  <c r="F108" i="19"/>
  <c r="H108" i="19"/>
  <c r="I108" i="19"/>
  <c r="J108" i="19"/>
  <c r="K108" i="19"/>
  <c r="L108" i="19"/>
  <c r="M108" i="19"/>
  <c r="N108" i="19"/>
  <c r="P108" i="19"/>
  <c r="Q108" i="19"/>
  <c r="S108" i="19"/>
  <c r="V108" i="19"/>
  <c r="W108" i="19"/>
  <c r="X108" i="19"/>
  <c r="Z108" i="19"/>
  <c r="D107" i="32" s="1"/>
  <c r="AA108" i="19"/>
  <c r="D107" i="33" s="1"/>
  <c r="A109" i="19"/>
  <c r="A108" i="54" s="1"/>
  <c r="B109" i="19"/>
  <c r="B108" i="54" s="1"/>
  <c r="C109" i="19"/>
  <c r="D109" i="19"/>
  <c r="E109" i="19"/>
  <c r="F109" i="19"/>
  <c r="H109" i="19"/>
  <c r="I109" i="19"/>
  <c r="J109" i="19"/>
  <c r="K109" i="19"/>
  <c r="L109" i="19"/>
  <c r="M109" i="19"/>
  <c r="N109" i="19"/>
  <c r="P109" i="19"/>
  <c r="Q109" i="19"/>
  <c r="S109" i="19"/>
  <c r="V109" i="19"/>
  <c r="W109" i="19"/>
  <c r="X109" i="19"/>
  <c r="Z109" i="19"/>
  <c r="D108" i="32" s="1"/>
  <c r="AA109" i="19"/>
  <c r="D108" i="33" s="1"/>
  <c r="A110" i="19"/>
  <c r="A109" i="54" s="1"/>
  <c r="B110" i="19"/>
  <c r="B109" i="54" s="1"/>
  <c r="C110" i="19"/>
  <c r="D110" i="19"/>
  <c r="E110" i="19"/>
  <c r="F110" i="19"/>
  <c r="H110" i="19"/>
  <c r="I110" i="19"/>
  <c r="J110" i="19"/>
  <c r="K110" i="19"/>
  <c r="L110" i="19"/>
  <c r="M110" i="19"/>
  <c r="N110" i="19"/>
  <c r="P110" i="19"/>
  <c r="Q110" i="19"/>
  <c r="S110" i="19"/>
  <c r="V110" i="19"/>
  <c r="W110" i="19"/>
  <c r="X110" i="19"/>
  <c r="Z110" i="19"/>
  <c r="D109" i="32" s="1"/>
  <c r="AA110" i="19"/>
  <c r="D109" i="33" s="1"/>
  <c r="A111" i="19"/>
  <c r="A110" i="54" s="1"/>
  <c r="B111" i="19"/>
  <c r="B110" i="54" s="1"/>
  <c r="C111" i="19"/>
  <c r="D111" i="19"/>
  <c r="E111" i="19"/>
  <c r="F111" i="19"/>
  <c r="H111" i="19"/>
  <c r="I111" i="19"/>
  <c r="J111" i="19"/>
  <c r="K111" i="19"/>
  <c r="L111" i="19"/>
  <c r="M111" i="19"/>
  <c r="N111" i="19"/>
  <c r="P111" i="19"/>
  <c r="Q111" i="19"/>
  <c r="S111" i="19"/>
  <c r="V111" i="19"/>
  <c r="W111" i="19"/>
  <c r="X111" i="19"/>
  <c r="Z111" i="19"/>
  <c r="D110" i="32" s="1"/>
  <c r="AA111" i="19"/>
  <c r="D110" i="33" s="1"/>
  <c r="A112" i="19"/>
  <c r="A111" i="54" s="1"/>
  <c r="B112" i="19"/>
  <c r="B111" i="54" s="1"/>
  <c r="C112" i="19"/>
  <c r="D112" i="19"/>
  <c r="E112" i="19"/>
  <c r="F112" i="19"/>
  <c r="H112" i="19"/>
  <c r="I112" i="19"/>
  <c r="J112" i="19"/>
  <c r="K112" i="19"/>
  <c r="L112" i="19"/>
  <c r="M112" i="19"/>
  <c r="N112" i="19"/>
  <c r="P112" i="19"/>
  <c r="Q112" i="19"/>
  <c r="S112" i="19"/>
  <c r="V112" i="19"/>
  <c r="W112" i="19"/>
  <c r="X112" i="19"/>
  <c r="Z112" i="19"/>
  <c r="D111" i="32" s="1"/>
  <c r="AA112" i="19"/>
  <c r="D111" i="33" s="1"/>
  <c r="A113" i="19"/>
  <c r="A112" i="54" s="1"/>
  <c r="B113" i="19"/>
  <c r="B112" i="54" s="1"/>
  <c r="C113" i="19"/>
  <c r="D113" i="19"/>
  <c r="E113" i="19"/>
  <c r="F113" i="19"/>
  <c r="H113" i="19"/>
  <c r="I113" i="19"/>
  <c r="J113" i="19"/>
  <c r="K113" i="19"/>
  <c r="L113" i="19"/>
  <c r="M113" i="19"/>
  <c r="N113" i="19"/>
  <c r="P113" i="19"/>
  <c r="Q113" i="19"/>
  <c r="S113" i="19"/>
  <c r="V113" i="19"/>
  <c r="W113" i="19"/>
  <c r="X113" i="19"/>
  <c r="Z113" i="19"/>
  <c r="D112" i="32" s="1"/>
  <c r="AA113" i="19"/>
  <c r="D112" i="33" s="1"/>
  <c r="A114" i="19"/>
  <c r="A113" i="54" s="1"/>
  <c r="B114" i="19"/>
  <c r="B113" i="54" s="1"/>
  <c r="C114" i="19"/>
  <c r="D114" i="19"/>
  <c r="E114" i="19"/>
  <c r="F114" i="19"/>
  <c r="H114" i="19"/>
  <c r="I114" i="19"/>
  <c r="J114" i="19"/>
  <c r="K114" i="19"/>
  <c r="L114" i="19"/>
  <c r="M114" i="19"/>
  <c r="N114" i="19"/>
  <c r="P114" i="19"/>
  <c r="Q114" i="19"/>
  <c r="S114" i="19"/>
  <c r="V114" i="19"/>
  <c r="W114" i="19"/>
  <c r="X114" i="19"/>
  <c r="Z114" i="19"/>
  <c r="D113" i="32" s="1"/>
  <c r="AA114" i="19"/>
  <c r="D113" i="33" s="1"/>
  <c r="A115" i="19"/>
  <c r="A114" i="54" s="1"/>
  <c r="B115" i="19"/>
  <c r="B114" i="54" s="1"/>
  <c r="C115" i="19"/>
  <c r="D115" i="19"/>
  <c r="E115" i="19"/>
  <c r="F115" i="19"/>
  <c r="H115" i="19"/>
  <c r="I115" i="19"/>
  <c r="J115" i="19"/>
  <c r="K115" i="19"/>
  <c r="L115" i="19"/>
  <c r="M115" i="19"/>
  <c r="N115" i="19"/>
  <c r="P115" i="19"/>
  <c r="Q115" i="19"/>
  <c r="S115" i="19"/>
  <c r="V115" i="19"/>
  <c r="W115" i="19"/>
  <c r="X115" i="19"/>
  <c r="Z115" i="19"/>
  <c r="D114" i="32" s="1"/>
  <c r="AA115" i="19"/>
  <c r="D114" i="33" s="1"/>
  <c r="A116" i="19"/>
  <c r="A115" i="54" s="1"/>
  <c r="B116" i="19"/>
  <c r="B115" i="54" s="1"/>
  <c r="C116" i="19"/>
  <c r="D116" i="19"/>
  <c r="E116" i="19"/>
  <c r="F116" i="19"/>
  <c r="H116" i="19"/>
  <c r="I116" i="19"/>
  <c r="J116" i="19"/>
  <c r="K116" i="19"/>
  <c r="L116" i="19"/>
  <c r="M116" i="19"/>
  <c r="N116" i="19"/>
  <c r="P116" i="19"/>
  <c r="Q116" i="19"/>
  <c r="S116" i="19"/>
  <c r="V116" i="19"/>
  <c r="W116" i="19"/>
  <c r="X116" i="19"/>
  <c r="Z116" i="19"/>
  <c r="D115" i="32" s="1"/>
  <c r="AA116" i="19"/>
  <c r="D115" i="33" s="1"/>
  <c r="A117" i="19"/>
  <c r="A116" i="54" s="1"/>
  <c r="B117" i="19"/>
  <c r="B116" i="54" s="1"/>
  <c r="C117" i="19"/>
  <c r="D117" i="19"/>
  <c r="E117" i="19"/>
  <c r="F117" i="19"/>
  <c r="H117" i="19"/>
  <c r="I117" i="19"/>
  <c r="J117" i="19"/>
  <c r="K117" i="19"/>
  <c r="L117" i="19"/>
  <c r="M117" i="19"/>
  <c r="N117" i="19"/>
  <c r="P117" i="19"/>
  <c r="O117" i="19" s="1"/>
  <c r="Q117" i="19"/>
  <c r="S117" i="19"/>
  <c r="V117" i="19"/>
  <c r="W117" i="19"/>
  <c r="X117" i="19"/>
  <c r="Z117" i="19"/>
  <c r="D116" i="32" s="1"/>
  <c r="AA117" i="19"/>
  <c r="D116" i="33" s="1"/>
  <c r="A118" i="19"/>
  <c r="A117" i="54" s="1"/>
  <c r="B118" i="19"/>
  <c r="B117" i="54" s="1"/>
  <c r="C118" i="19"/>
  <c r="D118" i="19"/>
  <c r="E118" i="19"/>
  <c r="F118" i="19"/>
  <c r="H118" i="19"/>
  <c r="I118" i="19"/>
  <c r="J118" i="19"/>
  <c r="K118" i="19"/>
  <c r="L118" i="19"/>
  <c r="M118" i="19"/>
  <c r="N118" i="19"/>
  <c r="P118" i="19"/>
  <c r="Q118" i="19"/>
  <c r="S118" i="19"/>
  <c r="V118" i="19"/>
  <c r="W118" i="19"/>
  <c r="X118" i="19"/>
  <c r="Z118" i="19"/>
  <c r="D117" i="32" s="1"/>
  <c r="AA118" i="19"/>
  <c r="D117" i="33" s="1"/>
  <c r="A119" i="19"/>
  <c r="A118" i="54" s="1"/>
  <c r="B119" i="19"/>
  <c r="B118" i="54" s="1"/>
  <c r="C119" i="19"/>
  <c r="D119" i="19"/>
  <c r="E119" i="19"/>
  <c r="F119" i="19"/>
  <c r="H119" i="19"/>
  <c r="I119" i="19"/>
  <c r="J119" i="19"/>
  <c r="K119" i="19"/>
  <c r="L119" i="19"/>
  <c r="M119" i="19"/>
  <c r="N119" i="19"/>
  <c r="P119" i="19"/>
  <c r="Q119" i="19"/>
  <c r="S119" i="19"/>
  <c r="V119" i="19"/>
  <c r="W119" i="19"/>
  <c r="X119" i="19"/>
  <c r="Z119" i="19"/>
  <c r="D118" i="32" s="1"/>
  <c r="AA119" i="19"/>
  <c r="D118" i="33" s="1"/>
  <c r="A120" i="19"/>
  <c r="A119" i="54" s="1"/>
  <c r="B120" i="19"/>
  <c r="B119" i="54" s="1"/>
  <c r="C120" i="19"/>
  <c r="D120" i="19"/>
  <c r="E120" i="19"/>
  <c r="F120" i="19"/>
  <c r="H120" i="19"/>
  <c r="I120" i="19"/>
  <c r="J120" i="19"/>
  <c r="K120" i="19"/>
  <c r="L120" i="19"/>
  <c r="M120" i="19"/>
  <c r="N120" i="19"/>
  <c r="P120" i="19"/>
  <c r="Q120" i="19"/>
  <c r="S120" i="19"/>
  <c r="V120" i="19"/>
  <c r="W120" i="19"/>
  <c r="X120" i="19"/>
  <c r="Z120" i="19"/>
  <c r="D119" i="32" s="1"/>
  <c r="AA120" i="19"/>
  <c r="D119" i="33" s="1"/>
  <c r="A121" i="19"/>
  <c r="A120" i="54" s="1"/>
  <c r="B121" i="19"/>
  <c r="B120" i="54" s="1"/>
  <c r="C121" i="19"/>
  <c r="D121" i="19"/>
  <c r="E121" i="19"/>
  <c r="F121" i="19"/>
  <c r="H121" i="19"/>
  <c r="I121" i="19"/>
  <c r="J121" i="19"/>
  <c r="K121" i="19"/>
  <c r="L121" i="19"/>
  <c r="M121" i="19"/>
  <c r="N121" i="19"/>
  <c r="P121" i="19"/>
  <c r="Q121" i="19"/>
  <c r="S121" i="19"/>
  <c r="V121" i="19"/>
  <c r="W121" i="19"/>
  <c r="X121" i="19"/>
  <c r="Z121" i="19"/>
  <c r="D120" i="32" s="1"/>
  <c r="AA121" i="19"/>
  <c r="D120" i="33" s="1"/>
  <c r="A122" i="19"/>
  <c r="A121" i="54" s="1"/>
  <c r="B122" i="19"/>
  <c r="B121" i="54" s="1"/>
  <c r="C122" i="19"/>
  <c r="D122" i="19"/>
  <c r="E122" i="19"/>
  <c r="F122" i="19"/>
  <c r="H122" i="19"/>
  <c r="I122" i="19"/>
  <c r="J122" i="19"/>
  <c r="K122" i="19"/>
  <c r="L122" i="19"/>
  <c r="M122" i="19"/>
  <c r="N122" i="19"/>
  <c r="P122" i="19"/>
  <c r="Q122" i="19"/>
  <c r="S122" i="19"/>
  <c r="V122" i="19"/>
  <c r="W122" i="19"/>
  <c r="X122" i="19"/>
  <c r="Z122" i="19"/>
  <c r="D121" i="32" s="1"/>
  <c r="AA122" i="19"/>
  <c r="D121" i="33" s="1"/>
  <c r="A123" i="19"/>
  <c r="A122" i="54" s="1"/>
  <c r="B123" i="19"/>
  <c r="B122" i="54" s="1"/>
  <c r="C123" i="19"/>
  <c r="D123" i="19"/>
  <c r="E123" i="19"/>
  <c r="F123" i="19"/>
  <c r="H123" i="19"/>
  <c r="I123" i="19"/>
  <c r="J123" i="19"/>
  <c r="K123" i="19"/>
  <c r="L123" i="19"/>
  <c r="M123" i="19"/>
  <c r="N123" i="19"/>
  <c r="P123" i="19"/>
  <c r="Q123" i="19"/>
  <c r="S123" i="19"/>
  <c r="V123" i="19"/>
  <c r="W123" i="19"/>
  <c r="Y123" i="19" s="1"/>
  <c r="C122" i="32" s="1"/>
  <c r="X123" i="19"/>
  <c r="Z123" i="19"/>
  <c r="D122" i="32" s="1"/>
  <c r="AA123" i="19"/>
  <c r="D122" i="33" s="1"/>
  <c r="A124" i="19"/>
  <c r="A123" i="54" s="1"/>
  <c r="B124" i="19"/>
  <c r="B123" i="54" s="1"/>
  <c r="C124" i="19"/>
  <c r="D124" i="19"/>
  <c r="E124" i="19"/>
  <c r="F124" i="19"/>
  <c r="H124" i="19"/>
  <c r="I124" i="19"/>
  <c r="J124" i="19"/>
  <c r="K124" i="19"/>
  <c r="L124" i="19"/>
  <c r="M124" i="19"/>
  <c r="N124" i="19"/>
  <c r="P124" i="19"/>
  <c r="Q124" i="19"/>
  <c r="S124" i="19"/>
  <c r="V124" i="19"/>
  <c r="W124" i="19"/>
  <c r="X124" i="19"/>
  <c r="Z124" i="19"/>
  <c r="D123" i="32" s="1"/>
  <c r="AA124" i="19"/>
  <c r="D123" i="33" s="1"/>
  <c r="A125" i="19"/>
  <c r="A124" i="54" s="1"/>
  <c r="B125" i="19"/>
  <c r="B124" i="54" s="1"/>
  <c r="C125" i="19"/>
  <c r="D125" i="19"/>
  <c r="E125" i="19"/>
  <c r="F125" i="19"/>
  <c r="H125" i="19"/>
  <c r="I125" i="19"/>
  <c r="J125" i="19"/>
  <c r="K125" i="19"/>
  <c r="L125" i="19"/>
  <c r="M125" i="19"/>
  <c r="N125" i="19"/>
  <c r="P125" i="19"/>
  <c r="Q125" i="19"/>
  <c r="S125" i="19"/>
  <c r="V125" i="19"/>
  <c r="W125" i="19"/>
  <c r="X125" i="19"/>
  <c r="Z125" i="19"/>
  <c r="D124" i="32" s="1"/>
  <c r="AA125" i="19"/>
  <c r="D124" i="33" s="1"/>
  <c r="A126" i="19"/>
  <c r="A125" i="54" s="1"/>
  <c r="B126" i="19"/>
  <c r="B125" i="54" s="1"/>
  <c r="C126" i="19"/>
  <c r="D126" i="19"/>
  <c r="E126" i="19"/>
  <c r="F126" i="19"/>
  <c r="H126" i="19"/>
  <c r="I126" i="19"/>
  <c r="J126" i="19"/>
  <c r="K126" i="19"/>
  <c r="L126" i="19"/>
  <c r="M126" i="19"/>
  <c r="N126" i="19"/>
  <c r="P126" i="19"/>
  <c r="Q126" i="19"/>
  <c r="S126" i="19"/>
  <c r="V126" i="19"/>
  <c r="W126" i="19"/>
  <c r="X126" i="19"/>
  <c r="Z126" i="19"/>
  <c r="D125" i="32" s="1"/>
  <c r="AA126" i="19"/>
  <c r="D125" i="33" s="1"/>
  <c r="A127" i="19"/>
  <c r="A126" i="54" s="1"/>
  <c r="B127" i="19"/>
  <c r="B126" i="54" s="1"/>
  <c r="C127" i="19"/>
  <c r="D127" i="19"/>
  <c r="E127" i="19"/>
  <c r="F127" i="19"/>
  <c r="H127" i="19"/>
  <c r="I127" i="19"/>
  <c r="J127" i="19"/>
  <c r="K127" i="19"/>
  <c r="L127" i="19"/>
  <c r="M127" i="19"/>
  <c r="N127" i="19"/>
  <c r="P127" i="19"/>
  <c r="Q127" i="19"/>
  <c r="S127" i="19"/>
  <c r="V127" i="19"/>
  <c r="W127" i="19"/>
  <c r="X127" i="19"/>
  <c r="Z127" i="19"/>
  <c r="D126" i="32" s="1"/>
  <c r="AA127" i="19"/>
  <c r="D126" i="33" s="1"/>
  <c r="A128" i="19"/>
  <c r="A127" i="54" s="1"/>
  <c r="B128" i="19"/>
  <c r="B127" i="54" s="1"/>
  <c r="C128" i="19"/>
  <c r="D128" i="19"/>
  <c r="E128" i="19"/>
  <c r="F128" i="19"/>
  <c r="H128" i="19"/>
  <c r="I128" i="19"/>
  <c r="J128" i="19"/>
  <c r="K128" i="19"/>
  <c r="L128" i="19"/>
  <c r="M128" i="19"/>
  <c r="N128" i="19"/>
  <c r="P128" i="19"/>
  <c r="Q128" i="19"/>
  <c r="S128" i="19"/>
  <c r="V128" i="19"/>
  <c r="W128" i="19"/>
  <c r="X128" i="19"/>
  <c r="Z128" i="19"/>
  <c r="D127" i="32" s="1"/>
  <c r="AA128" i="19"/>
  <c r="D127" i="33" s="1"/>
  <c r="A129" i="19"/>
  <c r="A128" i="54" s="1"/>
  <c r="B129" i="19"/>
  <c r="B128" i="54" s="1"/>
  <c r="C129" i="19"/>
  <c r="D129" i="19"/>
  <c r="E129" i="19"/>
  <c r="F129" i="19"/>
  <c r="H129" i="19"/>
  <c r="I129" i="19"/>
  <c r="J129" i="19"/>
  <c r="K129" i="19"/>
  <c r="L129" i="19"/>
  <c r="M129" i="19"/>
  <c r="N129" i="19"/>
  <c r="P129" i="19"/>
  <c r="O129" i="19" s="1"/>
  <c r="Q129" i="19"/>
  <c r="S129" i="19"/>
  <c r="V129" i="19"/>
  <c r="W129" i="19"/>
  <c r="X129" i="19"/>
  <c r="Z129" i="19"/>
  <c r="D128" i="32" s="1"/>
  <c r="AA129" i="19"/>
  <c r="D128" i="33" s="1"/>
  <c r="A130" i="19"/>
  <c r="A129" i="54" s="1"/>
  <c r="B130" i="19"/>
  <c r="B129" i="54" s="1"/>
  <c r="C130" i="19"/>
  <c r="D130" i="19"/>
  <c r="E130" i="19"/>
  <c r="F130" i="19"/>
  <c r="H130" i="19"/>
  <c r="I130" i="19"/>
  <c r="J130" i="19"/>
  <c r="K130" i="19"/>
  <c r="L130" i="19"/>
  <c r="M130" i="19"/>
  <c r="N130" i="19"/>
  <c r="P130" i="19"/>
  <c r="Q130" i="19"/>
  <c r="S130" i="19"/>
  <c r="V130" i="19"/>
  <c r="W130" i="19"/>
  <c r="X130" i="19"/>
  <c r="Z130" i="19"/>
  <c r="D129" i="32" s="1"/>
  <c r="AA130" i="19"/>
  <c r="D129" i="33" s="1"/>
  <c r="A131" i="19"/>
  <c r="A130" i="54" s="1"/>
  <c r="B131" i="19"/>
  <c r="B130" i="54" s="1"/>
  <c r="C131" i="19"/>
  <c r="D131" i="19"/>
  <c r="E131" i="19"/>
  <c r="F131" i="19"/>
  <c r="H131" i="19"/>
  <c r="I131" i="19"/>
  <c r="J131" i="19"/>
  <c r="K131" i="19"/>
  <c r="L131" i="19"/>
  <c r="M131" i="19"/>
  <c r="N131" i="19"/>
  <c r="P131" i="19"/>
  <c r="Q131" i="19"/>
  <c r="S131" i="19"/>
  <c r="V131" i="19"/>
  <c r="W131" i="19"/>
  <c r="X131" i="19"/>
  <c r="Z131" i="19"/>
  <c r="D130" i="32" s="1"/>
  <c r="AA131" i="19"/>
  <c r="D130" i="33" s="1"/>
  <c r="A132" i="19"/>
  <c r="A131" i="54" s="1"/>
  <c r="B132" i="19"/>
  <c r="B131" i="54" s="1"/>
  <c r="C132" i="19"/>
  <c r="D132" i="19"/>
  <c r="E132" i="19"/>
  <c r="F132" i="19"/>
  <c r="H132" i="19"/>
  <c r="I132" i="19"/>
  <c r="J132" i="19"/>
  <c r="K132" i="19"/>
  <c r="L132" i="19"/>
  <c r="M132" i="19"/>
  <c r="N132" i="19"/>
  <c r="P132" i="19"/>
  <c r="Q132" i="19"/>
  <c r="S132" i="19"/>
  <c r="V132" i="19"/>
  <c r="W132" i="19"/>
  <c r="X132" i="19"/>
  <c r="Z132" i="19"/>
  <c r="D131" i="32" s="1"/>
  <c r="AA132" i="19"/>
  <c r="D131" i="33" s="1"/>
  <c r="A133" i="19"/>
  <c r="A132" i="54" s="1"/>
  <c r="B133" i="19"/>
  <c r="B132" i="54" s="1"/>
  <c r="C133" i="19"/>
  <c r="D133" i="19"/>
  <c r="E133" i="19"/>
  <c r="F133" i="19"/>
  <c r="H133" i="19"/>
  <c r="I133" i="19"/>
  <c r="J133" i="19"/>
  <c r="K133" i="19"/>
  <c r="L133" i="19"/>
  <c r="M133" i="19"/>
  <c r="N133" i="19"/>
  <c r="P133" i="19"/>
  <c r="Q133" i="19"/>
  <c r="S133" i="19"/>
  <c r="V133" i="19"/>
  <c r="W133" i="19"/>
  <c r="X133" i="19"/>
  <c r="Z133" i="19"/>
  <c r="D132" i="32" s="1"/>
  <c r="AA133" i="19"/>
  <c r="D132" i="33" s="1"/>
  <c r="A134" i="19"/>
  <c r="A133" i="54" s="1"/>
  <c r="B134" i="19"/>
  <c r="B133" i="54" s="1"/>
  <c r="C134" i="19"/>
  <c r="D134" i="19"/>
  <c r="E134" i="19"/>
  <c r="F134" i="19"/>
  <c r="H134" i="19"/>
  <c r="I134" i="19"/>
  <c r="J134" i="19"/>
  <c r="K134" i="19"/>
  <c r="L134" i="19"/>
  <c r="M134" i="19"/>
  <c r="N134" i="19"/>
  <c r="P134" i="19"/>
  <c r="Q134" i="19"/>
  <c r="S134" i="19"/>
  <c r="V134" i="19"/>
  <c r="W134" i="19"/>
  <c r="X134" i="19"/>
  <c r="Z134" i="19"/>
  <c r="D133" i="32" s="1"/>
  <c r="AA134" i="19"/>
  <c r="D133" i="33" s="1"/>
  <c r="A135" i="19"/>
  <c r="A134" i="54" s="1"/>
  <c r="B135" i="19"/>
  <c r="B134" i="54" s="1"/>
  <c r="C135" i="19"/>
  <c r="D135" i="19"/>
  <c r="E135" i="19"/>
  <c r="F135" i="19"/>
  <c r="H135" i="19"/>
  <c r="I135" i="19"/>
  <c r="J135" i="19"/>
  <c r="K135" i="19"/>
  <c r="L135" i="19"/>
  <c r="M135" i="19"/>
  <c r="N135" i="19"/>
  <c r="P135" i="19"/>
  <c r="Q135" i="19"/>
  <c r="S135" i="19"/>
  <c r="V135" i="19"/>
  <c r="W135" i="19"/>
  <c r="X135" i="19"/>
  <c r="Z135" i="19"/>
  <c r="D134" i="32" s="1"/>
  <c r="AA135" i="19"/>
  <c r="D134" i="33" s="1"/>
  <c r="A136" i="19"/>
  <c r="A135" i="54" s="1"/>
  <c r="B136" i="19"/>
  <c r="B135" i="54" s="1"/>
  <c r="C136" i="19"/>
  <c r="D136" i="19"/>
  <c r="E136" i="19"/>
  <c r="F136" i="19"/>
  <c r="H136" i="19"/>
  <c r="I136" i="19"/>
  <c r="J136" i="19"/>
  <c r="K136" i="19"/>
  <c r="L136" i="19"/>
  <c r="M136" i="19"/>
  <c r="N136" i="19"/>
  <c r="P136" i="19"/>
  <c r="Q136" i="19"/>
  <c r="S136" i="19"/>
  <c r="V136" i="19"/>
  <c r="W136" i="19"/>
  <c r="X136" i="19"/>
  <c r="Z136" i="19"/>
  <c r="D135" i="32" s="1"/>
  <c r="AA136" i="19"/>
  <c r="D135" i="33" s="1"/>
  <c r="A137" i="19"/>
  <c r="A136" i="54" s="1"/>
  <c r="B137" i="19"/>
  <c r="B136" i="54" s="1"/>
  <c r="C137" i="19"/>
  <c r="D137" i="19"/>
  <c r="E137" i="19"/>
  <c r="F137" i="19"/>
  <c r="H137" i="19"/>
  <c r="I137" i="19"/>
  <c r="J137" i="19"/>
  <c r="K137" i="19"/>
  <c r="L137" i="19"/>
  <c r="M137" i="19"/>
  <c r="N137" i="19"/>
  <c r="P137" i="19"/>
  <c r="Q137" i="19"/>
  <c r="S137" i="19"/>
  <c r="V137" i="19"/>
  <c r="W137" i="19"/>
  <c r="X137" i="19"/>
  <c r="Z137" i="19"/>
  <c r="D136" i="32" s="1"/>
  <c r="AA137" i="19"/>
  <c r="D136" i="33" s="1"/>
  <c r="A138" i="19"/>
  <c r="A137" i="54" s="1"/>
  <c r="B138" i="19"/>
  <c r="B137" i="54" s="1"/>
  <c r="C138" i="19"/>
  <c r="D138" i="19"/>
  <c r="E138" i="19"/>
  <c r="F138" i="19"/>
  <c r="H138" i="19"/>
  <c r="I138" i="19"/>
  <c r="J138" i="19"/>
  <c r="K138" i="19"/>
  <c r="L138" i="19"/>
  <c r="M138" i="19"/>
  <c r="N138" i="19"/>
  <c r="P138" i="19"/>
  <c r="Q138" i="19"/>
  <c r="S138" i="19"/>
  <c r="V138" i="19"/>
  <c r="W138" i="19"/>
  <c r="X138" i="19"/>
  <c r="Z138" i="19"/>
  <c r="D137" i="32" s="1"/>
  <c r="AA138" i="19"/>
  <c r="D137" i="33" s="1"/>
  <c r="A139" i="19"/>
  <c r="A138" i="54" s="1"/>
  <c r="B139" i="19"/>
  <c r="B138" i="54" s="1"/>
  <c r="C139" i="19"/>
  <c r="D139" i="19"/>
  <c r="E139" i="19"/>
  <c r="F139" i="19"/>
  <c r="H139" i="19"/>
  <c r="I139" i="19"/>
  <c r="J139" i="19"/>
  <c r="K139" i="19"/>
  <c r="L139" i="19"/>
  <c r="M139" i="19"/>
  <c r="N139" i="19"/>
  <c r="P139" i="19"/>
  <c r="Q139" i="19"/>
  <c r="S139" i="19"/>
  <c r="V139" i="19"/>
  <c r="W139" i="19"/>
  <c r="X139" i="19"/>
  <c r="Z139" i="19"/>
  <c r="D138" i="32" s="1"/>
  <c r="AA139" i="19"/>
  <c r="D138" i="33" s="1"/>
  <c r="A140" i="19"/>
  <c r="A139" i="54" s="1"/>
  <c r="B140" i="19"/>
  <c r="B139" i="54" s="1"/>
  <c r="C140" i="19"/>
  <c r="D140" i="19"/>
  <c r="E140" i="19"/>
  <c r="F140" i="19"/>
  <c r="H140" i="19"/>
  <c r="I140" i="19"/>
  <c r="J140" i="19"/>
  <c r="K140" i="19"/>
  <c r="L140" i="19"/>
  <c r="M140" i="19"/>
  <c r="N140" i="19"/>
  <c r="P140" i="19"/>
  <c r="Q140" i="19"/>
  <c r="S140" i="19"/>
  <c r="V140" i="19"/>
  <c r="W140" i="19"/>
  <c r="X140" i="19"/>
  <c r="Z140" i="19"/>
  <c r="D139" i="32" s="1"/>
  <c r="AA140" i="19"/>
  <c r="D139" i="33" s="1"/>
  <c r="A141" i="19"/>
  <c r="A140" i="54" s="1"/>
  <c r="B141" i="19"/>
  <c r="B140" i="54" s="1"/>
  <c r="C141" i="19"/>
  <c r="D141" i="19"/>
  <c r="E141" i="19"/>
  <c r="F141" i="19"/>
  <c r="H141" i="19"/>
  <c r="I141" i="19"/>
  <c r="J141" i="19"/>
  <c r="K141" i="19"/>
  <c r="L141" i="19"/>
  <c r="M141" i="19"/>
  <c r="N141" i="19"/>
  <c r="P141" i="19"/>
  <c r="Q141" i="19"/>
  <c r="S141" i="19"/>
  <c r="V141" i="19"/>
  <c r="W141" i="19"/>
  <c r="X141" i="19"/>
  <c r="Z141" i="19"/>
  <c r="D140" i="32" s="1"/>
  <c r="AA141" i="19"/>
  <c r="D140" i="33" s="1"/>
  <c r="A142" i="19"/>
  <c r="A141" i="54" s="1"/>
  <c r="B142" i="19"/>
  <c r="B141" i="54" s="1"/>
  <c r="C142" i="19"/>
  <c r="D142" i="19"/>
  <c r="E142" i="19"/>
  <c r="F142" i="19"/>
  <c r="H142" i="19"/>
  <c r="I142" i="19"/>
  <c r="J142" i="19"/>
  <c r="K142" i="19"/>
  <c r="L142" i="19"/>
  <c r="M142" i="19"/>
  <c r="N142" i="19"/>
  <c r="P142" i="19"/>
  <c r="Q142" i="19"/>
  <c r="S142" i="19"/>
  <c r="V142" i="19"/>
  <c r="W142" i="19"/>
  <c r="X142" i="19"/>
  <c r="Z142" i="19"/>
  <c r="D141" i="32" s="1"/>
  <c r="AA142" i="19"/>
  <c r="D141" i="33" s="1"/>
  <c r="A143" i="19"/>
  <c r="A142" i="54" s="1"/>
  <c r="B143" i="19"/>
  <c r="B142" i="54" s="1"/>
  <c r="C143" i="19"/>
  <c r="D143" i="19"/>
  <c r="E143" i="19"/>
  <c r="F143" i="19"/>
  <c r="H143" i="19"/>
  <c r="I143" i="19"/>
  <c r="J143" i="19"/>
  <c r="K143" i="19"/>
  <c r="L143" i="19"/>
  <c r="M143" i="19"/>
  <c r="N143" i="19"/>
  <c r="P143" i="19"/>
  <c r="Q143" i="19"/>
  <c r="S143" i="19"/>
  <c r="V143" i="19"/>
  <c r="W143" i="19"/>
  <c r="X143" i="19"/>
  <c r="Z143" i="19"/>
  <c r="D142" i="32" s="1"/>
  <c r="AA143" i="19"/>
  <c r="D142" i="33" s="1"/>
  <c r="A144" i="19"/>
  <c r="A143" i="54" s="1"/>
  <c r="B144" i="19"/>
  <c r="B143" i="54" s="1"/>
  <c r="C144" i="19"/>
  <c r="D144" i="19"/>
  <c r="E144" i="19"/>
  <c r="F144" i="19"/>
  <c r="H144" i="19"/>
  <c r="I144" i="19"/>
  <c r="J144" i="19"/>
  <c r="K144" i="19"/>
  <c r="L144" i="19"/>
  <c r="M144" i="19"/>
  <c r="N144" i="19"/>
  <c r="P144" i="19"/>
  <c r="Q144" i="19"/>
  <c r="S144" i="19"/>
  <c r="V144" i="19"/>
  <c r="W144" i="19"/>
  <c r="X144" i="19"/>
  <c r="Z144" i="19"/>
  <c r="D143" i="32" s="1"/>
  <c r="AA144" i="19"/>
  <c r="D143" i="33" s="1"/>
  <c r="A145" i="19"/>
  <c r="A144" i="54" s="1"/>
  <c r="B145" i="19"/>
  <c r="B144" i="54" s="1"/>
  <c r="C145" i="19"/>
  <c r="D145" i="19"/>
  <c r="E145" i="19"/>
  <c r="F145" i="19"/>
  <c r="H145" i="19"/>
  <c r="I145" i="19"/>
  <c r="J145" i="19"/>
  <c r="K145" i="19"/>
  <c r="L145" i="19"/>
  <c r="M145" i="19"/>
  <c r="N145" i="19"/>
  <c r="P145" i="19"/>
  <c r="Q145" i="19"/>
  <c r="S145" i="19"/>
  <c r="V145" i="19"/>
  <c r="W145" i="19"/>
  <c r="X145" i="19"/>
  <c r="Z145" i="19"/>
  <c r="D144" i="32" s="1"/>
  <c r="AA145" i="19"/>
  <c r="D144" i="33" s="1"/>
  <c r="A146" i="19"/>
  <c r="A145" i="54" s="1"/>
  <c r="B146" i="19"/>
  <c r="B145" i="54" s="1"/>
  <c r="C146" i="19"/>
  <c r="D146" i="19"/>
  <c r="E146" i="19"/>
  <c r="F146" i="19"/>
  <c r="H146" i="19"/>
  <c r="I146" i="19"/>
  <c r="J146" i="19"/>
  <c r="K146" i="19"/>
  <c r="L146" i="19"/>
  <c r="M146" i="19"/>
  <c r="N146" i="19"/>
  <c r="P146" i="19"/>
  <c r="Q146" i="19"/>
  <c r="S146" i="19"/>
  <c r="V146" i="19"/>
  <c r="W146" i="19"/>
  <c r="X146" i="19"/>
  <c r="Z146" i="19"/>
  <c r="D145" i="32" s="1"/>
  <c r="AA146" i="19"/>
  <c r="D145" i="33" s="1"/>
  <c r="A147" i="19"/>
  <c r="A146" i="54" s="1"/>
  <c r="B147" i="19"/>
  <c r="B146" i="54" s="1"/>
  <c r="C147" i="19"/>
  <c r="D147" i="19"/>
  <c r="E147" i="19"/>
  <c r="F147" i="19"/>
  <c r="H147" i="19"/>
  <c r="I147" i="19"/>
  <c r="J147" i="19"/>
  <c r="K147" i="19"/>
  <c r="L147" i="19"/>
  <c r="M147" i="19"/>
  <c r="N147" i="19"/>
  <c r="P147" i="19"/>
  <c r="Q147" i="19"/>
  <c r="S147" i="19"/>
  <c r="V147" i="19"/>
  <c r="W147" i="19"/>
  <c r="X147" i="19"/>
  <c r="Z147" i="19"/>
  <c r="D146" i="32" s="1"/>
  <c r="AA147" i="19"/>
  <c r="D146" i="33" s="1"/>
  <c r="A148" i="19"/>
  <c r="A147" i="54" s="1"/>
  <c r="B148" i="19"/>
  <c r="B147" i="54" s="1"/>
  <c r="C148" i="19"/>
  <c r="D148" i="19"/>
  <c r="E148" i="19"/>
  <c r="F148" i="19"/>
  <c r="H148" i="19"/>
  <c r="I148" i="19"/>
  <c r="J148" i="19"/>
  <c r="K148" i="19"/>
  <c r="L148" i="19"/>
  <c r="M148" i="19"/>
  <c r="N148" i="19"/>
  <c r="P148" i="19"/>
  <c r="Q148" i="19"/>
  <c r="S148" i="19"/>
  <c r="V148" i="19"/>
  <c r="W148" i="19"/>
  <c r="X148" i="19"/>
  <c r="Z148" i="19"/>
  <c r="D147" i="32" s="1"/>
  <c r="AA148" i="19"/>
  <c r="D147" i="33" s="1"/>
  <c r="A149" i="19"/>
  <c r="A148" i="54" s="1"/>
  <c r="B149" i="19"/>
  <c r="B148" i="54" s="1"/>
  <c r="C149" i="19"/>
  <c r="D149" i="19"/>
  <c r="E149" i="19"/>
  <c r="F149" i="19"/>
  <c r="H149" i="19"/>
  <c r="I149" i="19"/>
  <c r="J149" i="19"/>
  <c r="K149" i="19"/>
  <c r="L149" i="19"/>
  <c r="M149" i="19"/>
  <c r="N149" i="19"/>
  <c r="P149" i="19"/>
  <c r="O149" i="19" s="1"/>
  <c r="Q149" i="19"/>
  <c r="S149" i="19"/>
  <c r="V149" i="19"/>
  <c r="W149" i="19"/>
  <c r="X149" i="19"/>
  <c r="Z149" i="19"/>
  <c r="D148" i="32" s="1"/>
  <c r="AA149" i="19"/>
  <c r="D148" i="33" s="1"/>
  <c r="A150" i="19"/>
  <c r="A149" i="54" s="1"/>
  <c r="B150" i="19"/>
  <c r="B149" i="54" s="1"/>
  <c r="C150" i="19"/>
  <c r="D150" i="19"/>
  <c r="E150" i="19"/>
  <c r="F150" i="19"/>
  <c r="H150" i="19"/>
  <c r="I150" i="19"/>
  <c r="J150" i="19"/>
  <c r="K150" i="19"/>
  <c r="L150" i="19"/>
  <c r="M150" i="19"/>
  <c r="N150" i="19"/>
  <c r="P150" i="19"/>
  <c r="Q150" i="19"/>
  <c r="S150" i="19"/>
  <c r="V150" i="19"/>
  <c r="W150" i="19"/>
  <c r="X150" i="19"/>
  <c r="Z150" i="19"/>
  <c r="D149" i="32" s="1"/>
  <c r="AA150" i="19"/>
  <c r="D149" i="33" s="1"/>
  <c r="A151" i="19"/>
  <c r="A150" i="54" s="1"/>
  <c r="B151" i="19"/>
  <c r="B150" i="54" s="1"/>
  <c r="C151" i="19"/>
  <c r="D151" i="19"/>
  <c r="E151" i="19"/>
  <c r="F151" i="19"/>
  <c r="H151" i="19"/>
  <c r="I151" i="19"/>
  <c r="J151" i="19"/>
  <c r="K151" i="19"/>
  <c r="L151" i="19"/>
  <c r="M151" i="19"/>
  <c r="N151" i="19"/>
  <c r="P151" i="19"/>
  <c r="Q151" i="19"/>
  <c r="S151" i="19"/>
  <c r="V151" i="19"/>
  <c r="W151" i="19"/>
  <c r="X151" i="19"/>
  <c r="Z151" i="19"/>
  <c r="D150" i="32" s="1"/>
  <c r="AA151" i="19"/>
  <c r="D150" i="33" s="1"/>
  <c r="A152" i="19"/>
  <c r="A151" i="54" s="1"/>
  <c r="B152" i="19"/>
  <c r="B151" i="54" s="1"/>
  <c r="C152" i="19"/>
  <c r="D152" i="19"/>
  <c r="E152" i="19"/>
  <c r="F152" i="19"/>
  <c r="H152" i="19"/>
  <c r="I152" i="19"/>
  <c r="J152" i="19"/>
  <c r="K152" i="19"/>
  <c r="L152" i="19"/>
  <c r="M152" i="19"/>
  <c r="N152" i="19"/>
  <c r="P152" i="19"/>
  <c r="Q152" i="19"/>
  <c r="S152" i="19"/>
  <c r="V152" i="19"/>
  <c r="W152" i="19"/>
  <c r="X152" i="19"/>
  <c r="Z152" i="19"/>
  <c r="D151" i="32" s="1"/>
  <c r="AA152" i="19"/>
  <c r="D151" i="33" s="1"/>
  <c r="A153" i="19"/>
  <c r="A152" i="54" s="1"/>
  <c r="B153" i="19"/>
  <c r="B152" i="54" s="1"/>
  <c r="C153" i="19"/>
  <c r="D153" i="19"/>
  <c r="E153" i="19"/>
  <c r="F153" i="19"/>
  <c r="H153" i="19"/>
  <c r="I153" i="19"/>
  <c r="J153" i="19"/>
  <c r="K153" i="19"/>
  <c r="L153" i="19"/>
  <c r="M153" i="19"/>
  <c r="N153" i="19"/>
  <c r="P153" i="19"/>
  <c r="O153" i="19" s="1"/>
  <c r="Q153" i="19"/>
  <c r="S153" i="19"/>
  <c r="V153" i="19"/>
  <c r="W153" i="19"/>
  <c r="X153" i="19"/>
  <c r="Z153" i="19"/>
  <c r="D152" i="32" s="1"/>
  <c r="AA153" i="19"/>
  <c r="D152" i="33" s="1"/>
  <c r="A154" i="19"/>
  <c r="A153" i="54" s="1"/>
  <c r="B154" i="19"/>
  <c r="B153" i="54" s="1"/>
  <c r="C154" i="19"/>
  <c r="D154" i="19"/>
  <c r="E154" i="19"/>
  <c r="F154" i="19"/>
  <c r="H154" i="19"/>
  <c r="I154" i="19"/>
  <c r="J154" i="19"/>
  <c r="K154" i="19"/>
  <c r="L154" i="19"/>
  <c r="M154" i="19"/>
  <c r="N154" i="19"/>
  <c r="P154" i="19"/>
  <c r="Q154" i="19"/>
  <c r="S154" i="19"/>
  <c r="V154" i="19"/>
  <c r="W154" i="19"/>
  <c r="X154" i="19"/>
  <c r="Z154" i="19"/>
  <c r="D153" i="32" s="1"/>
  <c r="AA154" i="19"/>
  <c r="D153" i="33" s="1"/>
  <c r="A155" i="19"/>
  <c r="A154" i="54" s="1"/>
  <c r="B155" i="19"/>
  <c r="B154" i="54" s="1"/>
  <c r="C155" i="19"/>
  <c r="D155" i="19"/>
  <c r="E155" i="19"/>
  <c r="F155" i="19"/>
  <c r="H155" i="19"/>
  <c r="I155" i="19"/>
  <c r="J155" i="19"/>
  <c r="K155" i="19"/>
  <c r="L155" i="19"/>
  <c r="M155" i="19"/>
  <c r="N155" i="19"/>
  <c r="P155" i="19"/>
  <c r="Q155" i="19"/>
  <c r="S155" i="19"/>
  <c r="V155" i="19"/>
  <c r="W155" i="19"/>
  <c r="X155" i="19"/>
  <c r="Z155" i="19"/>
  <c r="D154" i="32" s="1"/>
  <c r="AA155" i="19"/>
  <c r="D154" i="33" s="1"/>
  <c r="A156" i="19"/>
  <c r="A155" i="54" s="1"/>
  <c r="B156" i="19"/>
  <c r="B155" i="54" s="1"/>
  <c r="C156" i="19"/>
  <c r="D156" i="19"/>
  <c r="E156" i="19"/>
  <c r="F156" i="19"/>
  <c r="H156" i="19"/>
  <c r="I156" i="19"/>
  <c r="J156" i="19"/>
  <c r="K156" i="19"/>
  <c r="L156" i="19"/>
  <c r="M156" i="19"/>
  <c r="N156" i="19"/>
  <c r="P156" i="19"/>
  <c r="Q156" i="19"/>
  <c r="S156" i="19"/>
  <c r="V156" i="19"/>
  <c r="W156" i="19"/>
  <c r="X156" i="19"/>
  <c r="Z156" i="19"/>
  <c r="D155" i="32" s="1"/>
  <c r="AA156" i="19"/>
  <c r="D155" i="33" s="1"/>
  <c r="A157" i="19"/>
  <c r="A156" i="54" s="1"/>
  <c r="B157" i="19"/>
  <c r="B156" i="54" s="1"/>
  <c r="C157" i="19"/>
  <c r="D157" i="19"/>
  <c r="E157" i="19"/>
  <c r="F157" i="19"/>
  <c r="H157" i="19"/>
  <c r="I157" i="19"/>
  <c r="J157" i="19"/>
  <c r="K157" i="19"/>
  <c r="L157" i="19"/>
  <c r="M157" i="19"/>
  <c r="N157" i="19"/>
  <c r="P157" i="19"/>
  <c r="Q157" i="19"/>
  <c r="S157" i="19"/>
  <c r="V157" i="19"/>
  <c r="W157" i="19"/>
  <c r="X157" i="19"/>
  <c r="Z157" i="19"/>
  <c r="D156" i="32" s="1"/>
  <c r="AA157" i="19"/>
  <c r="D156" i="33" s="1"/>
  <c r="A158" i="19"/>
  <c r="A157" i="54" s="1"/>
  <c r="B158" i="19"/>
  <c r="B157" i="54" s="1"/>
  <c r="C158" i="19"/>
  <c r="D158" i="19"/>
  <c r="E158" i="19"/>
  <c r="F158" i="19"/>
  <c r="H158" i="19"/>
  <c r="I158" i="19"/>
  <c r="J158" i="19"/>
  <c r="K158" i="19"/>
  <c r="L158" i="19"/>
  <c r="M158" i="19"/>
  <c r="N158" i="19"/>
  <c r="P158" i="19"/>
  <c r="Q158" i="19"/>
  <c r="S158" i="19"/>
  <c r="V158" i="19"/>
  <c r="W158" i="19"/>
  <c r="X158" i="19"/>
  <c r="Z158" i="19"/>
  <c r="D157" i="32" s="1"/>
  <c r="AA158" i="19"/>
  <c r="D157" i="33" s="1"/>
  <c r="A159" i="19"/>
  <c r="A158" i="54" s="1"/>
  <c r="B159" i="19"/>
  <c r="B158" i="54" s="1"/>
  <c r="C159" i="19"/>
  <c r="D159" i="19"/>
  <c r="E159" i="19"/>
  <c r="F159" i="19"/>
  <c r="H159" i="19"/>
  <c r="I159" i="19"/>
  <c r="J159" i="19"/>
  <c r="K159" i="19"/>
  <c r="L159" i="19"/>
  <c r="M159" i="19"/>
  <c r="N159" i="19"/>
  <c r="P159" i="19"/>
  <c r="Q159" i="19"/>
  <c r="S159" i="19"/>
  <c r="V159" i="19"/>
  <c r="W159" i="19"/>
  <c r="X159" i="19"/>
  <c r="Z159" i="19"/>
  <c r="D158" i="32" s="1"/>
  <c r="AA159" i="19"/>
  <c r="D158" i="33" s="1"/>
  <c r="A160" i="19"/>
  <c r="A159" i="54" s="1"/>
  <c r="B160" i="19"/>
  <c r="B159" i="54" s="1"/>
  <c r="C160" i="19"/>
  <c r="D160" i="19"/>
  <c r="E160" i="19"/>
  <c r="F160" i="19"/>
  <c r="H160" i="19"/>
  <c r="I160" i="19"/>
  <c r="J160" i="19"/>
  <c r="K160" i="19"/>
  <c r="L160" i="19"/>
  <c r="M160" i="19"/>
  <c r="N160" i="19"/>
  <c r="P160" i="19"/>
  <c r="Q160" i="19"/>
  <c r="S160" i="19"/>
  <c r="V160" i="19"/>
  <c r="W160" i="19"/>
  <c r="X160" i="19"/>
  <c r="Z160" i="19"/>
  <c r="D159" i="32" s="1"/>
  <c r="AA160" i="19"/>
  <c r="D159" i="33" s="1"/>
  <c r="A161" i="19"/>
  <c r="A160" i="54" s="1"/>
  <c r="B161" i="19"/>
  <c r="B160" i="54" s="1"/>
  <c r="C161" i="19"/>
  <c r="D161" i="19"/>
  <c r="E161" i="19"/>
  <c r="F161" i="19"/>
  <c r="H161" i="19"/>
  <c r="I161" i="19"/>
  <c r="J161" i="19"/>
  <c r="K161" i="19"/>
  <c r="L161" i="19"/>
  <c r="M161" i="19"/>
  <c r="N161" i="19"/>
  <c r="P161" i="19"/>
  <c r="Q161" i="19"/>
  <c r="S161" i="19"/>
  <c r="V161" i="19"/>
  <c r="W161" i="19"/>
  <c r="X161" i="19"/>
  <c r="Z161" i="19"/>
  <c r="D160" i="32" s="1"/>
  <c r="AA161" i="19"/>
  <c r="D160" i="33" s="1"/>
  <c r="A162" i="19"/>
  <c r="A161" i="54" s="1"/>
  <c r="B162" i="19"/>
  <c r="B161" i="54" s="1"/>
  <c r="C162" i="19"/>
  <c r="D162" i="19"/>
  <c r="E162" i="19"/>
  <c r="F162" i="19"/>
  <c r="H162" i="19"/>
  <c r="I162" i="19"/>
  <c r="J162" i="19"/>
  <c r="K162" i="19"/>
  <c r="L162" i="19"/>
  <c r="M162" i="19"/>
  <c r="N162" i="19"/>
  <c r="P162" i="19"/>
  <c r="Q162" i="19"/>
  <c r="S162" i="19"/>
  <c r="V162" i="19"/>
  <c r="W162" i="19"/>
  <c r="X162" i="19"/>
  <c r="Z162" i="19"/>
  <c r="D161" i="32" s="1"/>
  <c r="AA162" i="19"/>
  <c r="D161" i="33" s="1"/>
  <c r="A163" i="19"/>
  <c r="A162" i="54" s="1"/>
  <c r="B163" i="19"/>
  <c r="B162" i="54" s="1"/>
  <c r="C163" i="19"/>
  <c r="D163" i="19"/>
  <c r="E163" i="19"/>
  <c r="F163" i="19"/>
  <c r="H163" i="19"/>
  <c r="I163" i="19"/>
  <c r="J163" i="19"/>
  <c r="K163" i="19"/>
  <c r="L163" i="19"/>
  <c r="M163" i="19"/>
  <c r="N163" i="19"/>
  <c r="P163" i="19"/>
  <c r="Q163" i="19"/>
  <c r="S163" i="19"/>
  <c r="V163" i="19"/>
  <c r="W163" i="19"/>
  <c r="X163" i="19"/>
  <c r="Z163" i="19"/>
  <c r="D162" i="32" s="1"/>
  <c r="AA163" i="19"/>
  <c r="D162" i="33" s="1"/>
  <c r="A164" i="19"/>
  <c r="A163" i="54" s="1"/>
  <c r="B164" i="19"/>
  <c r="B163" i="54" s="1"/>
  <c r="C164" i="19"/>
  <c r="D164" i="19"/>
  <c r="E164" i="19"/>
  <c r="F164" i="19"/>
  <c r="H164" i="19"/>
  <c r="I164" i="19"/>
  <c r="J164" i="19"/>
  <c r="K164" i="19"/>
  <c r="L164" i="19"/>
  <c r="M164" i="19"/>
  <c r="N164" i="19"/>
  <c r="P164" i="19"/>
  <c r="Q164" i="19"/>
  <c r="S164" i="19"/>
  <c r="V164" i="19"/>
  <c r="W164" i="19"/>
  <c r="X164" i="19"/>
  <c r="Z164" i="19"/>
  <c r="D163" i="32" s="1"/>
  <c r="AA164" i="19"/>
  <c r="D163" i="33" s="1"/>
  <c r="A165" i="19"/>
  <c r="A164" i="54" s="1"/>
  <c r="B165" i="19"/>
  <c r="B164" i="54" s="1"/>
  <c r="C165" i="19"/>
  <c r="D165" i="19"/>
  <c r="E165" i="19"/>
  <c r="F165" i="19"/>
  <c r="H165" i="19"/>
  <c r="I165" i="19"/>
  <c r="J165" i="19"/>
  <c r="K165" i="19"/>
  <c r="L165" i="19"/>
  <c r="M165" i="19"/>
  <c r="N165" i="19"/>
  <c r="P165" i="19"/>
  <c r="Q165" i="19"/>
  <c r="S165" i="19"/>
  <c r="V165" i="19"/>
  <c r="W165" i="19"/>
  <c r="X165" i="19"/>
  <c r="Z165" i="19"/>
  <c r="D164" i="32" s="1"/>
  <c r="AA165" i="19"/>
  <c r="D164" i="33" s="1"/>
  <c r="A166" i="19"/>
  <c r="A165" i="54" s="1"/>
  <c r="B166" i="19"/>
  <c r="B165" i="54" s="1"/>
  <c r="C166" i="19"/>
  <c r="D166" i="19"/>
  <c r="E166" i="19"/>
  <c r="F166" i="19"/>
  <c r="H166" i="19"/>
  <c r="I166" i="19"/>
  <c r="J166" i="19"/>
  <c r="K166" i="19"/>
  <c r="L166" i="19"/>
  <c r="M166" i="19"/>
  <c r="N166" i="19"/>
  <c r="P166" i="19"/>
  <c r="Q166" i="19"/>
  <c r="S166" i="19"/>
  <c r="V166" i="19"/>
  <c r="W166" i="19"/>
  <c r="X166" i="19"/>
  <c r="Z166" i="19"/>
  <c r="D165" i="32" s="1"/>
  <c r="AA166" i="19"/>
  <c r="D165" i="33" s="1"/>
  <c r="A167" i="19"/>
  <c r="A166" i="54" s="1"/>
  <c r="B167" i="19"/>
  <c r="B166" i="54" s="1"/>
  <c r="C167" i="19"/>
  <c r="D167" i="19"/>
  <c r="E167" i="19"/>
  <c r="F167" i="19"/>
  <c r="H167" i="19"/>
  <c r="I167" i="19"/>
  <c r="J167" i="19"/>
  <c r="K167" i="19"/>
  <c r="L167" i="19"/>
  <c r="M167" i="19"/>
  <c r="N167" i="19"/>
  <c r="P167" i="19"/>
  <c r="Q167" i="19"/>
  <c r="S167" i="19"/>
  <c r="V167" i="19"/>
  <c r="W167" i="19"/>
  <c r="X167" i="19"/>
  <c r="Z167" i="19"/>
  <c r="D166" i="32" s="1"/>
  <c r="AA167" i="19"/>
  <c r="D166" i="33" s="1"/>
  <c r="A168" i="19"/>
  <c r="A167" i="54" s="1"/>
  <c r="B168" i="19"/>
  <c r="B167" i="54" s="1"/>
  <c r="C168" i="19"/>
  <c r="D168" i="19"/>
  <c r="E168" i="19"/>
  <c r="F168" i="19"/>
  <c r="H168" i="19"/>
  <c r="I168" i="19"/>
  <c r="J168" i="19"/>
  <c r="K168" i="19"/>
  <c r="L168" i="19"/>
  <c r="M168" i="19"/>
  <c r="N168" i="19"/>
  <c r="P168" i="19"/>
  <c r="Q168" i="19"/>
  <c r="S168" i="19"/>
  <c r="V168" i="19"/>
  <c r="W168" i="19"/>
  <c r="X168" i="19"/>
  <c r="Z168" i="19"/>
  <c r="D167" i="32" s="1"/>
  <c r="AA168" i="19"/>
  <c r="D167" i="33" s="1"/>
  <c r="A169" i="19"/>
  <c r="A168" i="54" s="1"/>
  <c r="B169" i="19"/>
  <c r="B168" i="54" s="1"/>
  <c r="C169" i="19"/>
  <c r="D169" i="19"/>
  <c r="E169" i="19"/>
  <c r="F169" i="19"/>
  <c r="H169" i="19"/>
  <c r="I169" i="19"/>
  <c r="J169" i="19"/>
  <c r="K169" i="19"/>
  <c r="L169" i="19"/>
  <c r="M169" i="19"/>
  <c r="N169" i="19"/>
  <c r="P169" i="19"/>
  <c r="Q169" i="19"/>
  <c r="S169" i="19"/>
  <c r="V169" i="19"/>
  <c r="W169" i="19"/>
  <c r="X169" i="19"/>
  <c r="Z169" i="19"/>
  <c r="D168" i="32" s="1"/>
  <c r="AA169" i="19"/>
  <c r="D168" i="33" s="1"/>
  <c r="A170" i="19"/>
  <c r="A169" i="54" s="1"/>
  <c r="B170" i="19"/>
  <c r="B169" i="54" s="1"/>
  <c r="C170" i="19"/>
  <c r="D170" i="19"/>
  <c r="E170" i="19"/>
  <c r="F170" i="19"/>
  <c r="H170" i="19"/>
  <c r="I170" i="19"/>
  <c r="J170" i="19"/>
  <c r="K170" i="19"/>
  <c r="L170" i="19"/>
  <c r="M170" i="19"/>
  <c r="N170" i="19"/>
  <c r="P170" i="19"/>
  <c r="Q170" i="19"/>
  <c r="S170" i="19"/>
  <c r="V170" i="19"/>
  <c r="W170" i="19"/>
  <c r="X170" i="19"/>
  <c r="Z170" i="19"/>
  <c r="D169" i="32" s="1"/>
  <c r="AA170" i="19"/>
  <c r="D169" i="33" s="1"/>
  <c r="A171" i="19"/>
  <c r="A170" i="54" s="1"/>
  <c r="B171" i="19"/>
  <c r="B170" i="54" s="1"/>
  <c r="C171" i="19"/>
  <c r="D171" i="19"/>
  <c r="E171" i="19"/>
  <c r="F171" i="19"/>
  <c r="H171" i="19"/>
  <c r="I171" i="19"/>
  <c r="J171" i="19"/>
  <c r="K171" i="19"/>
  <c r="L171" i="19"/>
  <c r="M171" i="19"/>
  <c r="N171" i="19"/>
  <c r="P171" i="19"/>
  <c r="Q171" i="19"/>
  <c r="S171" i="19"/>
  <c r="V171" i="19"/>
  <c r="W171" i="19"/>
  <c r="X171" i="19"/>
  <c r="Z171" i="19"/>
  <c r="D170" i="32" s="1"/>
  <c r="AA171" i="19"/>
  <c r="D170" i="33" s="1"/>
  <c r="A172" i="19"/>
  <c r="A171" i="54" s="1"/>
  <c r="B172" i="19"/>
  <c r="B171" i="54" s="1"/>
  <c r="C172" i="19"/>
  <c r="D172" i="19"/>
  <c r="E172" i="19"/>
  <c r="F172" i="19"/>
  <c r="H172" i="19"/>
  <c r="I172" i="19"/>
  <c r="J172" i="19"/>
  <c r="K172" i="19"/>
  <c r="L172" i="19"/>
  <c r="M172" i="19"/>
  <c r="N172" i="19"/>
  <c r="P172" i="19"/>
  <c r="Q172" i="19"/>
  <c r="S172" i="19"/>
  <c r="V172" i="19"/>
  <c r="W172" i="19"/>
  <c r="X172" i="19"/>
  <c r="Z172" i="19"/>
  <c r="D171" i="32" s="1"/>
  <c r="AA172" i="19"/>
  <c r="D171" i="33" s="1"/>
  <c r="A173" i="19"/>
  <c r="A172" i="54" s="1"/>
  <c r="B173" i="19"/>
  <c r="B172" i="54" s="1"/>
  <c r="C173" i="19"/>
  <c r="D173" i="19"/>
  <c r="E173" i="19"/>
  <c r="F173" i="19"/>
  <c r="H173" i="19"/>
  <c r="I173" i="19"/>
  <c r="J173" i="19"/>
  <c r="K173" i="19"/>
  <c r="L173" i="19"/>
  <c r="M173" i="19"/>
  <c r="N173" i="19"/>
  <c r="P173" i="19"/>
  <c r="Q173" i="19"/>
  <c r="S173" i="19"/>
  <c r="V173" i="19"/>
  <c r="W173" i="19"/>
  <c r="X173" i="19"/>
  <c r="Z173" i="19"/>
  <c r="D172" i="32" s="1"/>
  <c r="AA173" i="19"/>
  <c r="D172" i="33" s="1"/>
  <c r="A174" i="19"/>
  <c r="A173" i="54" s="1"/>
  <c r="B174" i="19"/>
  <c r="B173" i="54" s="1"/>
  <c r="C174" i="19"/>
  <c r="D174" i="19"/>
  <c r="E174" i="19"/>
  <c r="F174" i="19"/>
  <c r="H174" i="19"/>
  <c r="I174" i="19"/>
  <c r="J174" i="19"/>
  <c r="K174" i="19"/>
  <c r="L174" i="19"/>
  <c r="M174" i="19"/>
  <c r="N174" i="19"/>
  <c r="P174" i="19"/>
  <c r="Q174" i="19"/>
  <c r="S174" i="19"/>
  <c r="V174" i="19"/>
  <c r="W174" i="19"/>
  <c r="X174" i="19"/>
  <c r="Z174" i="19"/>
  <c r="D173" i="32" s="1"/>
  <c r="AA174" i="19"/>
  <c r="D173" i="33" s="1"/>
  <c r="A175" i="19"/>
  <c r="A174" i="54" s="1"/>
  <c r="B175" i="19"/>
  <c r="B174" i="54" s="1"/>
  <c r="C175" i="19"/>
  <c r="D175" i="19"/>
  <c r="E175" i="19"/>
  <c r="F175" i="19"/>
  <c r="H175" i="19"/>
  <c r="I175" i="19"/>
  <c r="J175" i="19"/>
  <c r="K175" i="19"/>
  <c r="L175" i="19"/>
  <c r="M175" i="19"/>
  <c r="N175" i="19"/>
  <c r="P175" i="19"/>
  <c r="Q175" i="19"/>
  <c r="S175" i="19"/>
  <c r="V175" i="19"/>
  <c r="W175" i="19"/>
  <c r="X175" i="19"/>
  <c r="Z175" i="19"/>
  <c r="D174" i="32" s="1"/>
  <c r="AA175" i="19"/>
  <c r="D174" i="33" s="1"/>
  <c r="A176" i="19"/>
  <c r="A175" i="54" s="1"/>
  <c r="B176" i="19"/>
  <c r="B175" i="54" s="1"/>
  <c r="C176" i="19"/>
  <c r="D176" i="19"/>
  <c r="E176" i="19"/>
  <c r="F176" i="19"/>
  <c r="H176" i="19"/>
  <c r="I176" i="19"/>
  <c r="J176" i="19"/>
  <c r="K176" i="19"/>
  <c r="L176" i="19"/>
  <c r="M176" i="19"/>
  <c r="N176" i="19"/>
  <c r="P176" i="19"/>
  <c r="Q176" i="19"/>
  <c r="S176" i="19"/>
  <c r="V176" i="19"/>
  <c r="W176" i="19"/>
  <c r="X176" i="19"/>
  <c r="Z176" i="19"/>
  <c r="D175" i="32" s="1"/>
  <c r="AA176" i="19"/>
  <c r="D175" i="33" s="1"/>
  <c r="A177" i="19"/>
  <c r="A176" i="54" s="1"/>
  <c r="B177" i="19"/>
  <c r="B176" i="54" s="1"/>
  <c r="C177" i="19"/>
  <c r="D177" i="19"/>
  <c r="E177" i="19"/>
  <c r="F177" i="19"/>
  <c r="H177" i="19"/>
  <c r="I177" i="19"/>
  <c r="J177" i="19"/>
  <c r="K177" i="19"/>
  <c r="L177" i="19"/>
  <c r="M177" i="19"/>
  <c r="N177" i="19"/>
  <c r="P177" i="19"/>
  <c r="Q177" i="19"/>
  <c r="S177" i="19"/>
  <c r="V177" i="19"/>
  <c r="W177" i="19"/>
  <c r="X177" i="19"/>
  <c r="Z177" i="19"/>
  <c r="D176" i="32" s="1"/>
  <c r="AA177" i="19"/>
  <c r="D176" i="33" s="1"/>
  <c r="A178" i="19"/>
  <c r="A177" i="54" s="1"/>
  <c r="B178" i="19"/>
  <c r="B177" i="54" s="1"/>
  <c r="C178" i="19"/>
  <c r="D178" i="19"/>
  <c r="E178" i="19"/>
  <c r="F178" i="19"/>
  <c r="H178" i="19"/>
  <c r="I178" i="19"/>
  <c r="J178" i="19"/>
  <c r="K178" i="19"/>
  <c r="L178" i="19"/>
  <c r="M178" i="19"/>
  <c r="N178" i="19"/>
  <c r="P178" i="19"/>
  <c r="Q178" i="19"/>
  <c r="S178" i="19"/>
  <c r="V178" i="19"/>
  <c r="W178" i="19"/>
  <c r="X178" i="19"/>
  <c r="Z178" i="19"/>
  <c r="D177" i="32" s="1"/>
  <c r="AA178" i="19"/>
  <c r="D177" i="33" s="1"/>
  <c r="A179" i="19"/>
  <c r="A178" i="54" s="1"/>
  <c r="B179" i="19"/>
  <c r="B178" i="54" s="1"/>
  <c r="C179" i="19"/>
  <c r="D179" i="19"/>
  <c r="E179" i="19"/>
  <c r="F179" i="19"/>
  <c r="H179" i="19"/>
  <c r="I179" i="19"/>
  <c r="J179" i="19"/>
  <c r="K179" i="19"/>
  <c r="L179" i="19"/>
  <c r="M179" i="19"/>
  <c r="N179" i="19"/>
  <c r="P179" i="19"/>
  <c r="Q179" i="19"/>
  <c r="S179" i="19"/>
  <c r="V179" i="19"/>
  <c r="W179" i="19"/>
  <c r="X179" i="19"/>
  <c r="Z179" i="19"/>
  <c r="D178" i="32" s="1"/>
  <c r="AA179" i="19"/>
  <c r="D178" i="33" s="1"/>
  <c r="A180" i="19"/>
  <c r="A179" i="54" s="1"/>
  <c r="B180" i="19"/>
  <c r="B179" i="54" s="1"/>
  <c r="C180" i="19"/>
  <c r="D180" i="19"/>
  <c r="E180" i="19"/>
  <c r="F180" i="19"/>
  <c r="H180" i="19"/>
  <c r="I180" i="19"/>
  <c r="J180" i="19"/>
  <c r="K180" i="19"/>
  <c r="L180" i="19"/>
  <c r="M180" i="19"/>
  <c r="N180" i="19"/>
  <c r="P180" i="19"/>
  <c r="Q180" i="19"/>
  <c r="O180" i="19" s="1"/>
  <c r="S180" i="19"/>
  <c r="V180" i="19"/>
  <c r="W180" i="19"/>
  <c r="X180" i="19"/>
  <c r="Z180" i="19"/>
  <c r="D179" i="32" s="1"/>
  <c r="AA180" i="19"/>
  <c r="D179" i="33" s="1"/>
  <c r="A181" i="19"/>
  <c r="A180" i="54" s="1"/>
  <c r="B181" i="19"/>
  <c r="B180" i="54" s="1"/>
  <c r="C181" i="19"/>
  <c r="D181" i="19"/>
  <c r="E181" i="19"/>
  <c r="F181" i="19"/>
  <c r="H181" i="19"/>
  <c r="I181" i="19"/>
  <c r="J181" i="19"/>
  <c r="K181" i="19"/>
  <c r="L181" i="19"/>
  <c r="M181" i="19"/>
  <c r="N181" i="19"/>
  <c r="P181" i="19"/>
  <c r="Q181" i="19"/>
  <c r="S181" i="19"/>
  <c r="V181" i="19"/>
  <c r="W181" i="19"/>
  <c r="X181" i="19"/>
  <c r="Z181" i="19"/>
  <c r="D180" i="32" s="1"/>
  <c r="AA181" i="19"/>
  <c r="D180" i="33" s="1"/>
  <c r="A182" i="19"/>
  <c r="A181" i="54" s="1"/>
  <c r="B182" i="19"/>
  <c r="B181" i="54" s="1"/>
  <c r="C182" i="19"/>
  <c r="D182" i="19"/>
  <c r="E182" i="19"/>
  <c r="F182" i="19"/>
  <c r="H182" i="19"/>
  <c r="I182" i="19"/>
  <c r="J182" i="19"/>
  <c r="K182" i="19"/>
  <c r="L182" i="19"/>
  <c r="M182" i="19"/>
  <c r="N182" i="19"/>
  <c r="P182" i="19"/>
  <c r="Q182" i="19"/>
  <c r="S182" i="19"/>
  <c r="V182" i="19"/>
  <c r="W182" i="19"/>
  <c r="X182" i="19"/>
  <c r="Z182" i="19"/>
  <c r="D181" i="32" s="1"/>
  <c r="AA182" i="19"/>
  <c r="D181" i="33" s="1"/>
  <c r="A183" i="19"/>
  <c r="A182" i="54" s="1"/>
  <c r="B183" i="19"/>
  <c r="B182" i="54" s="1"/>
  <c r="C183" i="19"/>
  <c r="D183" i="19"/>
  <c r="E183" i="19"/>
  <c r="F183" i="19"/>
  <c r="H183" i="19"/>
  <c r="I183" i="19"/>
  <c r="J183" i="19"/>
  <c r="K183" i="19"/>
  <c r="L183" i="19"/>
  <c r="M183" i="19"/>
  <c r="N183" i="19"/>
  <c r="P183" i="19"/>
  <c r="Q183" i="19"/>
  <c r="S183" i="19"/>
  <c r="V183" i="19"/>
  <c r="W183" i="19"/>
  <c r="X183" i="19"/>
  <c r="Z183" i="19"/>
  <c r="D182" i="32" s="1"/>
  <c r="AA183" i="19"/>
  <c r="D182" i="33" s="1"/>
  <c r="A184" i="19"/>
  <c r="A183" i="54" s="1"/>
  <c r="B184" i="19"/>
  <c r="B183" i="54" s="1"/>
  <c r="C184" i="19"/>
  <c r="D184" i="19"/>
  <c r="E184" i="19"/>
  <c r="F184" i="19"/>
  <c r="H184" i="19"/>
  <c r="I184" i="19"/>
  <c r="J184" i="19"/>
  <c r="K184" i="19"/>
  <c r="L184" i="19"/>
  <c r="M184" i="19"/>
  <c r="N184" i="19"/>
  <c r="P184" i="19"/>
  <c r="Q184" i="19"/>
  <c r="S184" i="19"/>
  <c r="V184" i="19"/>
  <c r="W184" i="19"/>
  <c r="X184" i="19"/>
  <c r="Z184" i="19"/>
  <c r="D183" i="32" s="1"/>
  <c r="AA184" i="19"/>
  <c r="D183" i="33" s="1"/>
  <c r="A185" i="19"/>
  <c r="A184" i="54" s="1"/>
  <c r="B185" i="19"/>
  <c r="B184" i="54" s="1"/>
  <c r="C185" i="19"/>
  <c r="D185" i="19"/>
  <c r="E185" i="19"/>
  <c r="F185" i="19"/>
  <c r="H185" i="19"/>
  <c r="I185" i="19"/>
  <c r="J185" i="19"/>
  <c r="K185" i="19"/>
  <c r="L185" i="19"/>
  <c r="M185" i="19"/>
  <c r="N185" i="19"/>
  <c r="P185" i="19"/>
  <c r="O185" i="19" s="1"/>
  <c r="Q185" i="19"/>
  <c r="S185" i="19"/>
  <c r="V185" i="19"/>
  <c r="W185" i="19"/>
  <c r="X185" i="19"/>
  <c r="Z185" i="19"/>
  <c r="D184" i="32" s="1"/>
  <c r="AA185" i="19"/>
  <c r="D184" i="33" s="1"/>
  <c r="A186" i="19"/>
  <c r="A185" i="54" s="1"/>
  <c r="B186" i="19"/>
  <c r="B185" i="54" s="1"/>
  <c r="C186" i="19"/>
  <c r="D186" i="19"/>
  <c r="E186" i="19"/>
  <c r="F186" i="19"/>
  <c r="H186" i="19"/>
  <c r="I186" i="19"/>
  <c r="J186" i="19"/>
  <c r="K186" i="19"/>
  <c r="L186" i="19"/>
  <c r="M186" i="19"/>
  <c r="N186" i="19"/>
  <c r="P186" i="19"/>
  <c r="Q186" i="19"/>
  <c r="S186" i="19"/>
  <c r="V186" i="19"/>
  <c r="W186" i="19"/>
  <c r="X186" i="19"/>
  <c r="Z186" i="19"/>
  <c r="D185" i="32" s="1"/>
  <c r="AA186" i="19"/>
  <c r="D185" i="33" s="1"/>
  <c r="A187" i="19"/>
  <c r="A186" i="54" s="1"/>
  <c r="B187" i="19"/>
  <c r="B186" i="54" s="1"/>
  <c r="C187" i="19"/>
  <c r="D187" i="19"/>
  <c r="E187" i="19"/>
  <c r="F187" i="19"/>
  <c r="H187" i="19"/>
  <c r="I187" i="19"/>
  <c r="J187" i="19"/>
  <c r="K187" i="19"/>
  <c r="L187" i="19"/>
  <c r="M187" i="19"/>
  <c r="N187" i="19"/>
  <c r="P187" i="19"/>
  <c r="Q187" i="19"/>
  <c r="S187" i="19"/>
  <c r="V187" i="19"/>
  <c r="W187" i="19"/>
  <c r="X187" i="19"/>
  <c r="Z187" i="19"/>
  <c r="D186" i="32" s="1"/>
  <c r="AA187" i="19"/>
  <c r="D186" i="33" s="1"/>
  <c r="A188" i="19"/>
  <c r="A187" i="54" s="1"/>
  <c r="B188" i="19"/>
  <c r="B187" i="54" s="1"/>
  <c r="C188" i="19"/>
  <c r="D188" i="19"/>
  <c r="E188" i="19"/>
  <c r="F188" i="19"/>
  <c r="H188" i="19"/>
  <c r="I188" i="19"/>
  <c r="J188" i="19"/>
  <c r="K188" i="19"/>
  <c r="L188" i="19"/>
  <c r="M188" i="19"/>
  <c r="N188" i="19"/>
  <c r="P188" i="19"/>
  <c r="Q188" i="19"/>
  <c r="S188" i="19"/>
  <c r="V188" i="19"/>
  <c r="W188" i="19"/>
  <c r="X188" i="19"/>
  <c r="Z188" i="19"/>
  <c r="D187" i="32" s="1"/>
  <c r="AA188" i="19"/>
  <c r="D187" i="33" s="1"/>
  <c r="A189" i="19"/>
  <c r="A188" i="54" s="1"/>
  <c r="B189" i="19"/>
  <c r="B188" i="54" s="1"/>
  <c r="C189" i="19"/>
  <c r="D189" i="19"/>
  <c r="E189" i="19"/>
  <c r="F189" i="19"/>
  <c r="H189" i="19"/>
  <c r="I189" i="19"/>
  <c r="J189" i="19"/>
  <c r="K189" i="19"/>
  <c r="L189" i="19"/>
  <c r="M189" i="19"/>
  <c r="N189" i="19"/>
  <c r="P189" i="19"/>
  <c r="Q189" i="19"/>
  <c r="S189" i="19"/>
  <c r="V189" i="19"/>
  <c r="W189" i="19"/>
  <c r="X189" i="19"/>
  <c r="Z189" i="19"/>
  <c r="D188" i="32" s="1"/>
  <c r="AA189" i="19"/>
  <c r="D188" i="33" s="1"/>
  <c r="A190" i="19"/>
  <c r="A189" i="54" s="1"/>
  <c r="B190" i="19"/>
  <c r="B189" i="54" s="1"/>
  <c r="C190" i="19"/>
  <c r="D190" i="19"/>
  <c r="E190" i="19"/>
  <c r="F190" i="19"/>
  <c r="H190" i="19"/>
  <c r="I190" i="19"/>
  <c r="J190" i="19"/>
  <c r="K190" i="19"/>
  <c r="L190" i="19"/>
  <c r="M190" i="19"/>
  <c r="N190" i="19"/>
  <c r="P190" i="19"/>
  <c r="Q190" i="19"/>
  <c r="S190" i="19"/>
  <c r="V190" i="19"/>
  <c r="W190" i="19"/>
  <c r="X190" i="19"/>
  <c r="Z190" i="19"/>
  <c r="D189" i="32" s="1"/>
  <c r="AA190" i="19"/>
  <c r="D189" i="33" s="1"/>
  <c r="A191" i="19"/>
  <c r="A190" i="54" s="1"/>
  <c r="B191" i="19"/>
  <c r="B190" i="54" s="1"/>
  <c r="C191" i="19"/>
  <c r="D191" i="19"/>
  <c r="E191" i="19"/>
  <c r="F191" i="19"/>
  <c r="H191" i="19"/>
  <c r="I191" i="19"/>
  <c r="J191" i="19"/>
  <c r="K191" i="19"/>
  <c r="L191" i="19"/>
  <c r="M191" i="19"/>
  <c r="N191" i="19"/>
  <c r="P191" i="19"/>
  <c r="Q191" i="19"/>
  <c r="S191" i="19"/>
  <c r="V191" i="19"/>
  <c r="W191" i="19"/>
  <c r="X191" i="19"/>
  <c r="Z191" i="19"/>
  <c r="D190" i="32" s="1"/>
  <c r="AA191" i="19"/>
  <c r="D190" i="33" s="1"/>
  <c r="A192" i="19"/>
  <c r="A191" i="54" s="1"/>
  <c r="B192" i="19"/>
  <c r="B191" i="54" s="1"/>
  <c r="C192" i="19"/>
  <c r="D192" i="19"/>
  <c r="E192" i="19"/>
  <c r="F192" i="19"/>
  <c r="H192" i="19"/>
  <c r="I192" i="19"/>
  <c r="J192" i="19"/>
  <c r="K192" i="19"/>
  <c r="L192" i="19"/>
  <c r="M192" i="19"/>
  <c r="N192" i="19"/>
  <c r="P192" i="19"/>
  <c r="Q192" i="19"/>
  <c r="O192" i="19" s="1"/>
  <c r="S192" i="19"/>
  <c r="V192" i="19"/>
  <c r="W192" i="19"/>
  <c r="X192" i="19"/>
  <c r="Z192" i="19"/>
  <c r="D191" i="32" s="1"/>
  <c r="AA192" i="19"/>
  <c r="D191" i="33" s="1"/>
  <c r="A193" i="19"/>
  <c r="A192" i="54" s="1"/>
  <c r="B193" i="19"/>
  <c r="B192" i="54" s="1"/>
  <c r="C193" i="19"/>
  <c r="D193" i="19"/>
  <c r="E193" i="19"/>
  <c r="F193" i="19"/>
  <c r="H193" i="19"/>
  <c r="I193" i="19"/>
  <c r="J193" i="19"/>
  <c r="K193" i="19"/>
  <c r="L193" i="19"/>
  <c r="M193" i="19"/>
  <c r="N193" i="19"/>
  <c r="P193" i="19"/>
  <c r="O193" i="19" s="1"/>
  <c r="Q193" i="19"/>
  <c r="S193" i="19"/>
  <c r="V193" i="19"/>
  <c r="W193" i="19"/>
  <c r="X193" i="19"/>
  <c r="Z193" i="19"/>
  <c r="D192" i="32" s="1"/>
  <c r="AA193" i="19"/>
  <c r="D192" i="33" s="1"/>
  <c r="A194" i="19"/>
  <c r="A193" i="54" s="1"/>
  <c r="B194" i="19"/>
  <c r="B193" i="54" s="1"/>
  <c r="C194" i="19"/>
  <c r="D194" i="19"/>
  <c r="E194" i="19"/>
  <c r="F194" i="19"/>
  <c r="H194" i="19"/>
  <c r="I194" i="19"/>
  <c r="J194" i="19"/>
  <c r="K194" i="19"/>
  <c r="L194" i="19"/>
  <c r="M194" i="19"/>
  <c r="N194" i="19"/>
  <c r="P194" i="19"/>
  <c r="Q194" i="19"/>
  <c r="S194" i="19"/>
  <c r="V194" i="19"/>
  <c r="W194" i="19"/>
  <c r="X194" i="19"/>
  <c r="Z194" i="19"/>
  <c r="D193" i="32" s="1"/>
  <c r="AA194" i="19"/>
  <c r="D193" i="33" s="1"/>
  <c r="A195" i="19"/>
  <c r="A194" i="54" s="1"/>
  <c r="B195" i="19"/>
  <c r="B194" i="54" s="1"/>
  <c r="C195" i="19"/>
  <c r="D195" i="19"/>
  <c r="E195" i="19"/>
  <c r="F195" i="19"/>
  <c r="H195" i="19"/>
  <c r="I195" i="19"/>
  <c r="J195" i="19"/>
  <c r="K195" i="19"/>
  <c r="L195" i="19"/>
  <c r="M195" i="19"/>
  <c r="N195" i="19"/>
  <c r="P195" i="19"/>
  <c r="Q195" i="19"/>
  <c r="S195" i="19"/>
  <c r="V195" i="19"/>
  <c r="W195" i="19"/>
  <c r="X195" i="19"/>
  <c r="Z195" i="19"/>
  <c r="D194" i="32" s="1"/>
  <c r="AA195" i="19"/>
  <c r="D194" i="33" s="1"/>
  <c r="A196" i="19"/>
  <c r="A195" i="54" s="1"/>
  <c r="B196" i="19"/>
  <c r="B195" i="54" s="1"/>
  <c r="C196" i="19"/>
  <c r="D196" i="19"/>
  <c r="E196" i="19"/>
  <c r="F196" i="19"/>
  <c r="H196" i="19"/>
  <c r="I196" i="19"/>
  <c r="J196" i="19"/>
  <c r="K196" i="19"/>
  <c r="L196" i="19"/>
  <c r="M196" i="19"/>
  <c r="N196" i="19"/>
  <c r="P196" i="19"/>
  <c r="Q196" i="19"/>
  <c r="S196" i="19"/>
  <c r="V196" i="19"/>
  <c r="W196" i="19"/>
  <c r="X196" i="19"/>
  <c r="Z196" i="19"/>
  <c r="D195" i="32" s="1"/>
  <c r="AA196" i="19"/>
  <c r="D195" i="33" s="1"/>
  <c r="A197" i="19"/>
  <c r="A196" i="54" s="1"/>
  <c r="B197" i="19"/>
  <c r="B196" i="54" s="1"/>
  <c r="C197" i="19"/>
  <c r="D197" i="19"/>
  <c r="E197" i="19"/>
  <c r="F197" i="19"/>
  <c r="H197" i="19"/>
  <c r="I197" i="19"/>
  <c r="J197" i="19"/>
  <c r="K197" i="19"/>
  <c r="L197" i="19"/>
  <c r="M197" i="19"/>
  <c r="N197" i="19"/>
  <c r="P197" i="19"/>
  <c r="Q197" i="19"/>
  <c r="S197" i="19"/>
  <c r="V197" i="19"/>
  <c r="W197" i="19"/>
  <c r="X197" i="19"/>
  <c r="Z197" i="19"/>
  <c r="D196" i="32" s="1"/>
  <c r="AA197" i="19"/>
  <c r="D196" i="33" s="1"/>
  <c r="A198" i="19"/>
  <c r="A197" i="54" s="1"/>
  <c r="B198" i="19"/>
  <c r="B197" i="54" s="1"/>
  <c r="C198" i="19"/>
  <c r="D198" i="19"/>
  <c r="E198" i="19"/>
  <c r="F198" i="19"/>
  <c r="H198" i="19"/>
  <c r="I198" i="19"/>
  <c r="J198" i="19"/>
  <c r="K198" i="19"/>
  <c r="L198" i="19"/>
  <c r="M198" i="19"/>
  <c r="N198" i="19"/>
  <c r="P198" i="19"/>
  <c r="Q198" i="19"/>
  <c r="S198" i="19"/>
  <c r="V198" i="19"/>
  <c r="W198" i="19"/>
  <c r="X198" i="19"/>
  <c r="Z198" i="19"/>
  <c r="D197" i="32" s="1"/>
  <c r="AA198" i="19"/>
  <c r="D197" i="33" s="1"/>
  <c r="A199" i="19"/>
  <c r="A198" i="54" s="1"/>
  <c r="B199" i="19"/>
  <c r="B198" i="54" s="1"/>
  <c r="C199" i="19"/>
  <c r="D199" i="19"/>
  <c r="E199" i="19"/>
  <c r="F199" i="19"/>
  <c r="H199" i="19"/>
  <c r="I199" i="19"/>
  <c r="J199" i="19"/>
  <c r="K199" i="19"/>
  <c r="L199" i="19"/>
  <c r="M199" i="19"/>
  <c r="N199" i="19"/>
  <c r="P199" i="19"/>
  <c r="Q199" i="19"/>
  <c r="S199" i="19"/>
  <c r="V199" i="19"/>
  <c r="W199" i="19"/>
  <c r="X199" i="19"/>
  <c r="Z199" i="19"/>
  <c r="D198" i="32" s="1"/>
  <c r="AA199" i="19"/>
  <c r="D198" i="33" s="1"/>
  <c r="A200" i="19"/>
  <c r="A199" i="54" s="1"/>
  <c r="B200" i="19"/>
  <c r="B199" i="54" s="1"/>
  <c r="C200" i="19"/>
  <c r="D200" i="19"/>
  <c r="E200" i="19"/>
  <c r="F200" i="19"/>
  <c r="H200" i="19"/>
  <c r="I200" i="19"/>
  <c r="J200" i="19"/>
  <c r="K200" i="19"/>
  <c r="L200" i="19"/>
  <c r="M200" i="19"/>
  <c r="N200" i="19"/>
  <c r="P200" i="19"/>
  <c r="Q200" i="19"/>
  <c r="S200" i="19"/>
  <c r="V200" i="19"/>
  <c r="W200" i="19"/>
  <c r="X200" i="19"/>
  <c r="Z200" i="19"/>
  <c r="D199" i="32" s="1"/>
  <c r="AA200" i="19"/>
  <c r="D199" i="33" s="1"/>
  <c r="A201" i="19"/>
  <c r="A200" i="54" s="1"/>
  <c r="B201" i="19"/>
  <c r="B200" i="54" s="1"/>
  <c r="C201" i="19"/>
  <c r="D201" i="19"/>
  <c r="E201" i="19"/>
  <c r="F201" i="19"/>
  <c r="H201" i="19"/>
  <c r="I201" i="19"/>
  <c r="J201" i="19"/>
  <c r="K201" i="19"/>
  <c r="L201" i="19"/>
  <c r="M201" i="19"/>
  <c r="N201" i="19"/>
  <c r="P201" i="19"/>
  <c r="Q201" i="19"/>
  <c r="S201" i="19"/>
  <c r="V201" i="19"/>
  <c r="W201" i="19"/>
  <c r="X201" i="19"/>
  <c r="Z201" i="19"/>
  <c r="D200" i="32" s="1"/>
  <c r="AA201" i="19"/>
  <c r="D200" i="33" s="1"/>
  <c r="A202" i="19"/>
  <c r="A201" i="54" s="1"/>
  <c r="B202" i="19"/>
  <c r="B201" i="54" s="1"/>
  <c r="C202" i="19"/>
  <c r="D202" i="19"/>
  <c r="E202" i="19"/>
  <c r="F202" i="19"/>
  <c r="H202" i="19"/>
  <c r="I202" i="19"/>
  <c r="J202" i="19"/>
  <c r="K202" i="19"/>
  <c r="L202" i="19"/>
  <c r="M202" i="19"/>
  <c r="N202" i="19"/>
  <c r="P202" i="19"/>
  <c r="Q202" i="19"/>
  <c r="S202" i="19"/>
  <c r="V202" i="19"/>
  <c r="W202" i="19"/>
  <c r="X202" i="19"/>
  <c r="Z202" i="19"/>
  <c r="D201" i="32" s="1"/>
  <c r="AA202" i="19"/>
  <c r="D201" i="33" s="1"/>
  <c r="A203" i="19"/>
  <c r="A202" i="54" s="1"/>
  <c r="B203" i="19"/>
  <c r="B202" i="54" s="1"/>
  <c r="C203" i="19"/>
  <c r="D203" i="19"/>
  <c r="E203" i="19"/>
  <c r="F203" i="19"/>
  <c r="H203" i="19"/>
  <c r="I203" i="19"/>
  <c r="J203" i="19"/>
  <c r="K203" i="19"/>
  <c r="L203" i="19"/>
  <c r="M203" i="19"/>
  <c r="N203" i="19"/>
  <c r="P203" i="19"/>
  <c r="Q203" i="19"/>
  <c r="S203" i="19"/>
  <c r="V203" i="19"/>
  <c r="W203" i="19"/>
  <c r="X203" i="19"/>
  <c r="Z203" i="19"/>
  <c r="D202" i="32" s="1"/>
  <c r="AA203" i="19"/>
  <c r="D202" i="33" s="1"/>
  <c r="A204" i="19"/>
  <c r="A203" i="54" s="1"/>
  <c r="B204" i="19"/>
  <c r="B203" i="54" s="1"/>
  <c r="C204" i="19"/>
  <c r="D204" i="19"/>
  <c r="E204" i="19"/>
  <c r="F204" i="19"/>
  <c r="H204" i="19"/>
  <c r="I204" i="19"/>
  <c r="J204" i="19"/>
  <c r="K204" i="19"/>
  <c r="L204" i="19"/>
  <c r="M204" i="19"/>
  <c r="N204" i="19"/>
  <c r="P204" i="19"/>
  <c r="Q204" i="19"/>
  <c r="S204" i="19"/>
  <c r="V204" i="19"/>
  <c r="W204" i="19"/>
  <c r="X204" i="19"/>
  <c r="Z204" i="19"/>
  <c r="D203" i="32" s="1"/>
  <c r="AA204" i="19"/>
  <c r="D203" i="33" s="1"/>
  <c r="A205" i="19"/>
  <c r="A204" i="54" s="1"/>
  <c r="B205" i="19"/>
  <c r="B204" i="54" s="1"/>
  <c r="C205" i="19"/>
  <c r="D205" i="19"/>
  <c r="E205" i="19"/>
  <c r="F205" i="19"/>
  <c r="H205" i="19"/>
  <c r="I205" i="19"/>
  <c r="J205" i="19"/>
  <c r="K205" i="19"/>
  <c r="L205" i="19"/>
  <c r="M205" i="19"/>
  <c r="N205" i="19"/>
  <c r="P205" i="19"/>
  <c r="Q205" i="19"/>
  <c r="S205" i="19"/>
  <c r="V205" i="19"/>
  <c r="W205" i="19"/>
  <c r="X205" i="19"/>
  <c r="Z205" i="19"/>
  <c r="D204" i="32" s="1"/>
  <c r="AA205" i="19"/>
  <c r="D204" i="33" s="1"/>
  <c r="A206" i="19"/>
  <c r="A205" i="54" s="1"/>
  <c r="B206" i="19"/>
  <c r="B205" i="54" s="1"/>
  <c r="C206" i="19"/>
  <c r="D206" i="19"/>
  <c r="E206" i="19"/>
  <c r="F206" i="19"/>
  <c r="H206" i="19"/>
  <c r="I206" i="19"/>
  <c r="J206" i="19"/>
  <c r="K206" i="19"/>
  <c r="L206" i="19"/>
  <c r="M206" i="19"/>
  <c r="N206" i="19"/>
  <c r="P206" i="19"/>
  <c r="Q206" i="19"/>
  <c r="S206" i="19"/>
  <c r="V206" i="19"/>
  <c r="W206" i="19"/>
  <c r="X206" i="19"/>
  <c r="Z206" i="19"/>
  <c r="D205" i="32" s="1"/>
  <c r="AA206" i="19"/>
  <c r="D205" i="33" s="1"/>
  <c r="A207" i="19"/>
  <c r="A206" i="54" s="1"/>
  <c r="B207" i="19"/>
  <c r="B206" i="54" s="1"/>
  <c r="C207" i="19"/>
  <c r="D207" i="19"/>
  <c r="E207" i="19"/>
  <c r="F207" i="19"/>
  <c r="H207" i="19"/>
  <c r="I207" i="19"/>
  <c r="J207" i="19"/>
  <c r="K207" i="19"/>
  <c r="L207" i="19"/>
  <c r="M207" i="19"/>
  <c r="N207" i="19"/>
  <c r="P207" i="19"/>
  <c r="Q207" i="19"/>
  <c r="S207" i="19"/>
  <c r="V207" i="19"/>
  <c r="W207" i="19"/>
  <c r="X207" i="19"/>
  <c r="Z207" i="19"/>
  <c r="D206" i="32" s="1"/>
  <c r="AA207" i="19"/>
  <c r="D206" i="33" s="1"/>
  <c r="A208" i="19"/>
  <c r="A207" i="54" s="1"/>
  <c r="B208" i="19"/>
  <c r="B207" i="54" s="1"/>
  <c r="C208" i="19"/>
  <c r="D208" i="19"/>
  <c r="E208" i="19"/>
  <c r="F208" i="19"/>
  <c r="H208" i="19"/>
  <c r="I208" i="19"/>
  <c r="J208" i="19"/>
  <c r="K208" i="19"/>
  <c r="L208" i="19"/>
  <c r="M208" i="19"/>
  <c r="N208" i="19"/>
  <c r="P208" i="19"/>
  <c r="Q208" i="19"/>
  <c r="S208" i="19"/>
  <c r="V208" i="19"/>
  <c r="W208" i="19"/>
  <c r="X208" i="19"/>
  <c r="Z208" i="19"/>
  <c r="D207" i="32" s="1"/>
  <c r="AA208" i="19"/>
  <c r="D207" i="33" s="1"/>
  <c r="A209" i="19"/>
  <c r="A208" i="54" s="1"/>
  <c r="B209" i="19"/>
  <c r="B208" i="54" s="1"/>
  <c r="C209" i="19"/>
  <c r="D209" i="19"/>
  <c r="E209" i="19"/>
  <c r="F209" i="19"/>
  <c r="H209" i="19"/>
  <c r="I209" i="19"/>
  <c r="J209" i="19"/>
  <c r="K209" i="19"/>
  <c r="L209" i="19"/>
  <c r="M209" i="19"/>
  <c r="N209" i="19"/>
  <c r="P209" i="19"/>
  <c r="Q209" i="19"/>
  <c r="S209" i="19"/>
  <c r="V209" i="19"/>
  <c r="W209" i="19"/>
  <c r="X209" i="19"/>
  <c r="Z209" i="19"/>
  <c r="D208" i="32" s="1"/>
  <c r="AA209" i="19"/>
  <c r="D208" i="33" s="1"/>
  <c r="A210" i="19"/>
  <c r="A209" i="54" s="1"/>
  <c r="B210" i="19"/>
  <c r="B209" i="54" s="1"/>
  <c r="C210" i="19"/>
  <c r="D210" i="19"/>
  <c r="E210" i="19"/>
  <c r="F210" i="19"/>
  <c r="H210" i="19"/>
  <c r="I210" i="19"/>
  <c r="J210" i="19"/>
  <c r="K210" i="19"/>
  <c r="L210" i="19"/>
  <c r="M210" i="19"/>
  <c r="N210" i="19"/>
  <c r="P210" i="19"/>
  <c r="Q210" i="19"/>
  <c r="S210" i="19"/>
  <c r="V210" i="19"/>
  <c r="W210" i="19"/>
  <c r="X210" i="19"/>
  <c r="Z210" i="19"/>
  <c r="D209" i="32" s="1"/>
  <c r="AA210" i="19"/>
  <c r="D209" i="33" s="1"/>
  <c r="A211" i="19"/>
  <c r="A210" i="54" s="1"/>
  <c r="B211" i="19"/>
  <c r="B210" i="54" s="1"/>
  <c r="C211" i="19"/>
  <c r="D211" i="19"/>
  <c r="E211" i="19"/>
  <c r="F211" i="19"/>
  <c r="H211" i="19"/>
  <c r="I211" i="19"/>
  <c r="J211" i="19"/>
  <c r="K211" i="19"/>
  <c r="L211" i="19"/>
  <c r="M211" i="19"/>
  <c r="N211" i="19"/>
  <c r="P211" i="19"/>
  <c r="Q211" i="19"/>
  <c r="S211" i="19"/>
  <c r="V211" i="19"/>
  <c r="W211" i="19"/>
  <c r="X211" i="19"/>
  <c r="Z211" i="19"/>
  <c r="D210" i="32" s="1"/>
  <c r="AA211" i="19"/>
  <c r="D210" i="33" s="1"/>
  <c r="A212" i="19"/>
  <c r="A211" i="54" s="1"/>
  <c r="B212" i="19"/>
  <c r="B211" i="54" s="1"/>
  <c r="C212" i="19"/>
  <c r="D212" i="19"/>
  <c r="E212" i="19"/>
  <c r="F212" i="19"/>
  <c r="H212" i="19"/>
  <c r="I212" i="19"/>
  <c r="J212" i="19"/>
  <c r="K212" i="19"/>
  <c r="L212" i="19"/>
  <c r="M212" i="19"/>
  <c r="N212" i="19"/>
  <c r="P212" i="19"/>
  <c r="Q212" i="19"/>
  <c r="S212" i="19"/>
  <c r="V212" i="19"/>
  <c r="W212" i="19"/>
  <c r="X212" i="19"/>
  <c r="Z212" i="19"/>
  <c r="D211" i="32" s="1"/>
  <c r="AA212" i="19"/>
  <c r="D211" i="33" s="1"/>
  <c r="A213" i="19"/>
  <c r="A212" i="54" s="1"/>
  <c r="B213" i="19"/>
  <c r="B212" i="54" s="1"/>
  <c r="C213" i="19"/>
  <c r="D213" i="19"/>
  <c r="E213" i="19"/>
  <c r="F213" i="19"/>
  <c r="H213" i="19"/>
  <c r="I213" i="19"/>
  <c r="J213" i="19"/>
  <c r="K213" i="19"/>
  <c r="L213" i="19"/>
  <c r="M213" i="19"/>
  <c r="N213" i="19"/>
  <c r="P213" i="19"/>
  <c r="Q213" i="19"/>
  <c r="S213" i="19"/>
  <c r="V213" i="19"/>
  <c r="W213" i="19"/>
  <c r="X213" i="19"/>
  <c r="Z213" i="19"/>
  <c r="D212" i="32" s="1"/>
  <c r="AA213" i="19"/>
  <c r="D212" i="33" s="1"/>
  <c r="A214" i="19"/>
  <c r="A213" i="54" s="1"/>
  <c r="B214" i="19"/>
  <c r="B213" i="54" s="1"/>
  <c r="C214" i="19"/>
  <c r="D214" i="19"/>
  <c r="E214" i="19"/>
  <c r="F214" i="19"/>
  <c r="H214" i="19"/>
  <c r="I214" i="19"/>
  <c r="J214" i="19"/>
  <c r="K214" i="19"/>
  <c r="L214" i="19"/>
  <c r="M214" i="19"/>
  <c r="N214" i="19"/>
  <c r="P214" i="19"/>
  <c r="Q214" i="19"/>
  <c r="S214" i="19"/>
  <c r="V214" i="19"/>
  <c r="W214" i="19"/>
  <c r="X214" i="19"/>
  <c r="Z214" i="19"/>
  <c r="D213" i="32" s="1"/>
  <c r="AA214" i="19"/>
  <c r="D213" i="33" s="1"/>
  <c r="A215" i="19"/>
  <c r="A214" i="54" s="1"/>
  <c r="B215" i="19"/>
  <c r="B214" i="54" s="1"/>
  <c r="C215" i="19"/>
  <c r="D215" i="19"/>
  <c r="E215" i="19"/>
  <c r="F215" i="19"/>
  <c r="H215" i="19"/>
  <c r="I215" i="19"/>
  <c r="J215" i="19"/>
  <c r="K215" i="19"/>
  <c r="L215" i="19"/>
  <c r="M215" i="19"/>
  <c r="N215" i="19"/>
  <c r="P215" i="19"/>
  <c r="Q215" i="19"/>
  <c r="S215" i="19"/>
  <c r="V215" i="19"/>
  <c r="W215" i="19"/>
  <c r="X215" i="19"/>
  <c r="Z215" i="19"/>
  <c r="D214" i="32" s="1"/>
  <c r="AA215" i="19"/>
  <c r="D214" i="33" s="1"/>
  <c r="A216" i="19"/>
  <c r="A215" i="54" s="1"/>
  <c r="B216" i="19"/>
  <c r="B215" i="54" s="1"/>
  <c r="C216" i="19"/>
  <c r="D216" i="19"/>
  <c r="E216" i="19"/>
  <c r="F216" i="19"/>
  <c r="H216" i="19"/>
  <c r="I216" i="19"/>
  <c r="J216" i="19"/>
  <c r="K216" i="19"/>
  <c r="L216" i="19"/>
  <c r="M216" i="19"/>
  <c r="N216" i="19"/>
  <c r="P216" i="19"/>
  <c r="Q216" i="19"/>
  <c r="S216" i="19"/>
  <c r="V216" i="19"/>
  <c r="W216" i="19"/>
  <c r="X216" i="19"/>
  <c r="Z216" i="19"/>
  <c r="D215" i="32" s="1"/>
  <c r="AA216" i="19"/>
  <c r="D215" i="33" s="1"/>
  <c r="A217" i="19"/>
  <c r="A216" i="54" s="1"/>
  <c r="B217" i="19"/>
  <c r="B216" i="54" s="1"/>
  <c r="C217" i="19"/>
  <c r="D217" i="19"/>
  <c r="E217" i="19"/>
  <c r="F217" i="19"/>
  <c r="H217" i="19"/>
  <c r="I217" i="19"/>
  <c r="J217" i="19"/>
  <c r="K217" i="19"/>
  <c r="L217" i="19"/>
  <c r="M217" i="19"/>
  <c r="N217" i="19"/>
  <c r="P217" i="19"/>
  <c r="O217" i="19" s="1"/>
  <c r="Q217" i="19"/>
  <c r="S217" i="19"/>
  <c r="V217" i="19"/>
  <c r="W217" i="19"/>
  <c r="X217" i="19"/>
  <c r="Z217" i="19"/>
  <c r="D216" i="32" s="1"/>
  <c r="AA217" i="19"/>
  <c r="D216" i="33" s="1"/>
  <c r="A218" i="19"/>
  <c r="A217" i="54" s="1"/>
  <c r="B218" i="19"/>
  <c r="B217" i="54" s="1"/>
  <c r="C218" i="19"/>
  <c r="D218" i="19"/>
  <c r="E218" i="19"/>
  <c r="F218" i="19"/>
  <c r="H218" i="19"/>
  <c r="I218" i="19"/>
  <c r="J218" i="19"/>
  <c r="K218" i="19"/>
  <c r="L218" i="19"/>
  <c r="M218" i="19"/>
  <c r="N218" i="19"/>
  <c r="P218" i="19"/>
  <c r="Q218" i="19"/>
  <c r="S218" i="19"/>
  <c r="V218" i="19"/>
  <c r="W218" i="19"/>
  <c r="X218" i="19"/>
  <c r="Z218" i="19"/>
  <c r="D217" i="32" s="1"/>
  <c r="AA218" i="19"/>
  <c r="D217" i="33" s="1"/>
  <c r="A219" i="19"/>
  <c r="A218" i="54" s="1"/>
  <c r="B219" i="19"/>
  <c r="B218" i="54" s="1"/>
  <c r="C219" i="19"/>
  <c r="D219" i="19"/>
  <c r="E219" i="19"/>
  <c r="F219" i="19"/>
  <c r="H219" i="19"/>
  <c r="I219" i="19"/>
  <c r="J219" i="19"/>
  <c r="K219" i="19"/>
  <c r="L219" i="19"/>
  <c r="M219" i="19"/>
  <c r="N219" i="19"/>
  <c r="P219" i="19"/>
  <c r="Q219" i="19"/>
  <c r="S219" i="19"/>
  <c r="V219" i="19"/>
  <c r="W219" i="19"/>
  <c r="X219" i="19"/>
  <c r="Z219" i="19"/>
  <c r="D218" i="32" s="1"/>
  <c r="AA219" i="19"/>
  <c r="D218" i="33" s="1"/>
  <c r="A220" i="19"/>
  <c r="A219" i="54" s="1"/>
  <c r="B220" i="19"/>
  <c r="B219" i="54" s="1"/>
  <c r="C220" i="19"/>
  <c r="D220" i="19"/>
  <c r="E220" i="19"/>
  <c r="F220" i="19"/>
  <c r="H220" i="19"/>
  <c r="I220" i="19"/>
  <c r="J220" i="19"/>
  <c r="K220" i="19"/>
  <c r="L220" i="19"/>
  <c r="M220" i="19"/>
  <c r="N220" i="19"/>
  <c r="P220" i="19"/>
  <c r="Q220" i="19"/>
  <c r="S220" i="19"/>
  <c r="V220" i="19"/>
  <c r="W220" i="19"/>
  <c r="X220" i="19"/>
  <c r="Z220" i="19"/>
  <c r="D219" i="32" s="1"/>
  <c r="AA220" i="19"/>
  <c r="D219" i="33" s="1"/>
  <c r="A221" i="19"/>
  <c r="A220" i="54" s="1"/>
  <c r="B221" i="19"/>
  <c r="B220" i="54" s="1"/>
  <c r="C221" i="19"/>
  <c r="D221" i="19"/>
  <c r="E221" i="19"/>
  <c r="F221" i="19"/>
  <c r="H221" i="19"/>
  <c r="I221" i="19"/>
  <c r="J221" i="19"/>
  <c r="K221" i="19"/>
  <c r="L221" i="19"/>
  <c r="M221" i="19"/>
  <c r="N221" i="19"/>
  <c r="P221" i="19"/>
  <c r="O221" i="19" s="1"/>
  <c r="Q221" i="19"/>
  <c r="S221" i="19"/>
  <c r="V221" i="19"/>
  <c r="W221" i="19"/>
  <c r="X221" i="19"/>
  <c r="Z221" i="19"/>
  <c r="D220" i="32" s="1"/>
  <c r="AA221" i="19"/>
  <c r="D220" i="33" s="1"/>
  <c r="A222" i="19"/>
  <c r="A221" i="54" s="1"/>
  <c r="B222" i="19"/>
  <c r="B221" i="54" s="1"/>
  <c r="C222" i="19"/>
  <c r="D222" i="19"/>
  <c r="E222" i="19"/>
  <c r="F222" i="19"/>
  <c r="H222" i="19"/>
  <c r="I222" i="19"/>
  <c r="J222" i="19"/>
  <c r="K222" i="19"/>
  <c r="L222" i="19"/>
  <c r="M222" i="19"/>
  <c r="N222" i="19"/>
  <c r="P222" i="19"/>
  <c r="Q222" i="19"/>
  <c r="S222" i="19"/>
  <c r="V222" i="19"/>
  <c r="W222" i="19"/>
  <c r="X222" i="19"/>
  <c r="Z222" i="19"/>
  <c r="D221" i="32" s="1"/>
  <c r="AA222" i="19"/>
  <c r="D221" i="33" s="1"/>
  <c r="A223" i="19"/>
  <c r="A222" i="54" s="1"/>
  <c r="B223" i="19"/>
  <c r="B222" i="54" s="1"/>
  <c r="C223" i="19"/>
  <c r="D223" i="19"/>
  <c r="E223" i="19"/>
  <c r="F223" i="19"/>
  <c r="H223" i="19"/>
  <c r="I223" i="19"/>
  <c r="J223" i="19"/>
  <c r="K223" i="19"/>
  <c r="L223" i="19"/>
  <c r="M223" i="19"/>
  <c r="N223" i="19"/>
  <c r="P223" i="19"/>
  <c r="Q223" i="19"/>
  <c r="S223" i="19"/>
  <c r="V223" i="19"/>
  <c r="W223" i="19"/>
  <c r="X223" i="19"/>
  <c r="Z223" i="19"/>
  <c r="D222" i="32" s="1"/>
  <c r="AA223" i="19"/>
  <c r="D222" i="33" s="1"/>
  <c r="A224" i="19"/>
  <c r="A223" i="54" s="1"/>
  <c r="B224" i="19"/>
  <c r="B223" i="54" s="1"/>
  <c r="C224" i="19"/>
  <c r="D224" i="19"/>
  <c r="E224" i="19"/>
  <c r="F224" i="19"/>
  <c r="H224" i="19"/>
  <c r="I224" i="19"/>
  <c r="J224" i="19"/>
  <c r="K224" i="19"/>
  <c r="L224" i="19"/>
  <c r="M224" i="19"/>
  <c r="N224" i="19"/>
  <c r="P224" i="19"/>
  <c r="Q224" i="19"/>
  <c r="O224" i="19" s="1"/>
  <c r="S224" i="19"/>
  <c r="V224" i="19"/>
  <c r="W224" i="19"/>
  <c r="X224" i="19"/>
  <c r="Z224" i="19"/>
  <c r="D223" i="32" s="1"/>
  <c r="AA224" i="19"/>
  <c r="D223" i="33" s="1"/>
  <c r="A225" i="19"/>
  <c r="A224" i="54" s="1"/>
  <c r="B225" i="19"/>
  <c r="B224" i="54" s="1"/>
  <c r="C225" i="19"/>
  <c r="D225" i="19"/>
  <c r="E225" i="19"/>
  <c r="F225" i="19"/>
  <c r="H225" i="19"/>
  <c r="I225" i="19"/>
  <c r="J225" i="19"/>
  <c r="K225" i="19"/>
  <c r="L225" i="19"/>
  <c r="M225" i="19"/>
  <c r="N225" i="19"/>
  <c r="P225" i="19"/>
  <c r="O225" i="19" s="1"/>
  <c r="Q225" i="19"/>
  <c r="S225" i="19"/>
  <c r="V225" i="19"/>
  <c r="W225" i="19"/>
  <c r="X225" i="19"/>
  <c r="Z225" i="19"/>
  <c r="D224" i="32" s="1"/>
  <c r="AA225" i="19"/>
  <c r="D224" i="33" s="1"/>
  <c r="A226" i="19"/>
  <c r="A225" i="54" s="1"/>
  <c r="B226" i="19"/>
  <c r="B225" i="54" s="1"/>
  <c r="C226" i="19"/>
  <c r="D226" i="19"/>
  <c r="E226" i="19"/>
  <c r="F226" i="19"/>
  <c r="H226" i="19"/>
  <c r="I226" i="19"/>
  <c r="J226" i="19"/>
  <c r="K226" i="19"/>
  <c r="L226" i="19"/>
  <c r="M226" i="19"/>
  <c r="N226" i="19"/>
  <c r="P226" i="19"/>
  <c r="Q226" i="19"/>
  <c r="S226" i="19"/>
  <c r="V226" i="19"/>
  <c r="W226" i="19"/>
  <c r="X226" i="19"/>
  <c r="Z226" i="19"/>
  <c r="D225" i="32" s="1"/>
  <c r="AA226" i="19"/>
  <c r="D225" i="33" s="1"/>
  <c r="A227" i="19"/>
  <c r="A226" i="54" s="1"/>
  <c r="B227" i="19"/>
  <c r="B226" i="54" s="1"/>
  <c r="C227" i="19"/>
  <c r="D227" i="19"/>
  <c r="E227" i="19"/>
  <c r="F227" i="19"/>
  <c r="H227" i="19"/>
  <c r="I227" i="19"/>
  <c r="J227" i="19"/>
  <c r="K227" i="19"/>
  <c r="L227" i="19"/>
  <c r="M227" i="19"/>
  <c r="N227" i="19"/>
  <c r="P227" i="19"/>
  <c r="Q227" i="19"/>
  <c r="S227" i="19"/>
  <c r="V227" i="19"/>
  <c r="W227" i="19"/>
  <c r="X227" i="19"/>
  <c r="Z227" i="19"/>
  <c r="D226" i="32" s="1"/>
  <c r="AA227" i="19"/>
  <c r="D226" i="33" s="1"/>
  <c r="A228" i="19"/>
  <c r="A227" i="54" s="1"/>
  <c r="B228" i="19"/>
  <c r="B227" i="54" s="1"/>
  <c r="C228" i="19"/>
  <c r="D228" i="19"/>
  <c r="E228" i="19"/>
  <c r="F228" i="19"/>
  <c r="H228" i="19"/>
  <c r="I228" i="19"/>
  <c r="J228" i="19"/>
  <c r="K228" i="19"/>
  <c r="L228" i="19"/>
  <c r="M228" i="19"/>
  <c r="N228" i="19"/>
  <c r="P228" i="19"/>
  <c r="Q228" i="19"/>
  <c r="S228" i="19"/>
  <c r="V228" i="19"/>
  <c r="W228" i="19"/>
  <c r="X228" i="19"/>
  <c r="Z228" i="19"/>
  <c r="D227" i="32" s="1"/>
  <c r="AA228" i="19"/>
  <c r="D227" i="33" s="1"/>
  <c r="A229" i="19"/>
  <c r="A228" i="54" s="1"/>
  <c r="B229" i="19"/>
  <c r="B228" i="54" s="1"/>
  <c r="C229" i="19"/>
  <c r="D229" i="19"/>
  <c r="E229" i="19"/>
  <c r="F229" i="19"/>
  <c r="H229" i="19"/>
  <c r="I229" i="19"/>
  <c r="J229" i="19"/>
  <c r="K229" i="19"/>
  <c r="L229" i="19"/>
  <c r="M229" i="19"/>
  <c r="N229" i="19"/>
  <c r="P229" i="19"/>
  <c r="Q229" i="19"/>
  <c r="S229" i="19"/>
  <c r="V229" i="19"/>
  <c r="W229" i="19"/>
  <c r="X229" i="19"/>
  <c r="Z229" i="19"/>
  <c r="D228" i="32" s="1"/>
  <c r="AA229" i="19"/>
  <c r="D228" i="33" s="1"/>
  <c r="A230" i="19"/>
  <c r="A229" i="54" s="1"/>
  <c r="B230" i="19"/>
  <c r="B229" i="54" s="1"/>
  <c r="C230" i="19"/>
  <c r="D230" i="19"/>
  <c r="E230" i="19"/>
  <c r="F230" i="19"/>
  <c r="H230" i="19"/>
  <c r="I230" i="19"/>
  <c r="J230" i="19"/>
  <c r="K230" i="19"/>
  <c r="L230" i="19"/>
  <c r="M230" i="19"/>
  <c r="N230" i="19"/>
  <c r="P230" i="19"/>
  <c r="Q230" i="19"/>
  <c r="S230" i="19"/>
  <c r="V230" i="19"/>
  <c r="W230" i="19"/>
  <c r="X230" i="19"/>
  <c r="Z230" i="19"/>
  <c r="D229" i="32" s="1"/>
  <c r="AA230" i="19"/>
  <c r="D229" i="33" s="1"/>
  <c r="A231" i="19"/>
  <c r="A230" i="54" s="1"/>
  <c r="B231" i="19"/>
  <c r="B230" i="54" s="1"/>
  <c r="C231" i="19"/>
  <c r="D231" i="19"/>
  <c r="E231" i="19"/>
  <c r="F231" i="19"/>
  <c r="H231" i="19"/>
  <c r="I231" i="19"/>
  <c r="J231" i="19"/>
  <c r="K231" i="19"/>
  <c r="L231" i="19"/>
  <c r="M231" i="19"/>
  <c r="N231" i="19"/>
  <c r="P231" i="19"/>
  <c r="Q231" i="19"/>
  <c r="S231" i="19"/>
  <c r="V231" i="19"/>
  <c r="W231" i="19"/>
  <c r="X231" i="19"/>
  <c r="Z231" i="19"/>
  <c r="D230" i="32" s="1"/>
  <c r="AA231" i="19"/>
  <c r="D230" i="33" s="1"/>
  <c r="A232" i="19"/>
  <c r="A231" i="54" s="1"/>
  <c r="B232" i="19"/>
  <c r="B231" i="54" s="1"/>
  <c r="C232" i="19"/>
  <c r="D232" i="19"/>
  <c r="E232" i="19"/>
  <c r="F232" i="19"/>
  <c r="H232" i="19"/>
  <c r="I232" i="19"/>
  <c r="J232" i="19"/>
  <c r="K232" i="19"/>
  <c r="L232" i="19"/>
  <c r="M232" i="19"/>
  <c r="N232" i="19"/>
  <c r="P232" i="19"/>
  <c r="Q232" i="19"/>
  <c r="S232" i="19"/>
  <c r="V232" i="19"/>
  <c r="W232" i="19"/>
  <c r="X232" i="19"/>
  <c r="Z232" i="19"/>
  <c r="D231" i="32" s="1"/>
  <c r="AA232" i="19"/>
  <c r="D231" i="33" s="1"/>
  <c r="A233" i="19"/>
  <c r="A232" i="54" s="1"/>
  <c r="B233" i="19"/>
  <c r="B232" i="54" s="1"/>
  <c r="C233" i="19"/>
  <c r="D233" i="19"/>
  <c r="E233" i="19"/>
  <c r="F233" i="19"/>
  <c r="H233" i="19"/>
  <c r="I233" i="19"/>
  <c r="J233" i="19"/>
  <c r="K233" i="19"/>
  <c r="L233" i="19"/>
  <c r="M233" i="19"/>
  <c r="N233" i="19"/>
  <c r="P233" i="19"/>
  <c r="Q233" i="19"/>
  <c r="S233" i="19"/>
  <c r="V233" i="19"/>
  <c r="W233" i="19"/>
  <c r="X233" i="19"/>
  <c r="Z233" i="19"/>
  <c r="D232" i="32" s="1"/>
  <c r="AA233" i="19"/>
  <c r="D232" i="33" s="1"/>
  <c r="A234" i="19"/>
  <c r="A233" i="54" s="1"/>
  <c r="B234" i="19"/>
  <c r="B233" i="54" s="1"/>
  <c r="C234" i="19"/>
  <c r="D234" i="19"/>
  <c r="E234" i="19"/>
  <c r="F234" i="19"/>
  <c r="H234" i="19"/>
  <c r="I234" i="19"/>
  <c r="J234" i="19"/>
  <c r="K234" i="19"/>
  <c r="L234" i="19"/>
  <c r="M234" i="19"/>
  <c r="N234" i="19"/>
  <c r="P234" i="19"/>
  <c r="Q234" i="19"/>
  <c r="S234" i="19"/>
  <c r="V234" i="19"/>
  <c r="W234" i="19"/>
  <c r="X234" i="19"/>
  <c r="Z234" i="19"/>
  <c r="D233" i="32" s="1"/>
  <c r="AA234" i="19"/>
  <c r="D233" i="33" s="1"/>
  <c r="A235" i="19"/>
  <c r="A234" i="54" s="1"/>
  <c r="B235" i="19"/>
  <c r="B234" i="54" s="1"/>
  <c r="D235" i="19"/>
  <c r="E235" i="19"/>
  <c r="F235" i="19"/>
  <c r="H235" i="19"/>
  <c r="I235" i="19"/>
  <c r="J235" i="19"/>
  <c r="K235" i="19"/>
  <c r="L235" i="19"/>
  <c r="M235" i="19"/>
  <c r="N235" i="19"/>
  <c r="P235" i="19"/>
  <c r="Q235" i="19"/>
  <c r="S235" i="19"/>
  <c r="V235" i="19"/>
  <c r="W235" i="19"/>
  <c r="X235" i="19"/>
  <c r="Z235" i="19"/>
  <c r="D234" i="32" s="1"/>
  <c r="AA235" i="19"/>
  <c r="D234" i="33" s="1"/>
  <c r="A236" i="19"/>
  <c r="A235" i="54" s="1"/>
  <c r="B236" i="19"/>
  <c r="B235" i="54" s="1"/>
  <c r="C236" i="19"/>
  <c r="D236" i="19"/>
  <c r="E236" i="19"/>
  <c r="F236" i="19"/>
  <c r="H236" i="19"/>
  <c r="I236" i="19"/>
  <c r="J236" i="19"/>
  <c r="K236" i="19"/>
  <c r="L236" i="19"/>
  <c r="M236" i="19"/>
  <c r="N236" i="19"/>
  <c r="P236" i="19"/>
  <c r="Q236" i="19"/>
  <c r="S236" i="19"/>
  <c r="V236" i="19"/>
  <c r="W236" i="19"/>
  <c r="X236" i="19"/>
  <c r="Z236" i="19"/>
  <c r="D235" i="32" s="1"/>
  <c r="AA236" i="19"/>
  <c r="D235" i="33" s="1"/>
  <c r="A237" i="19"/>
  <c r="A236" i="54" s="1"/>
  <c r="B237" i="19"/>
  <c r="B236" i="54" s="1"/>
  <c r="C237" i="19"/>
  <c r="D237" i="19"/>
  <c r="E237" i="19"/>
  <c r="F237" i="19"/>
  <c r="H237" i="19"/>
  <c r="I237" i="19"/>
  <c r="J237" i="19"/>
  <c r="K237" i="19"/>
  <c r="L237" i="19"/>
  <c r="M237" i="19"/>
  <c r="N237" i="19"/>
  <c r="P237" i="19"/>
  <c r="Q237" i="19"/>
  <c r="S237" i="19"/>
  <c r="V237" i="19"/>
  <c r="W237" i="19"/>
  <c r="X237" i="19"/>
  <c r="Z237" i="19"/>
  <c r="D236" i="32" s="1"/>
  <c r="AA237" i="19"/>
  <c r="D236" i="33" s="1"/>
  <c r="A238" i="19"/>
  <c r="A237" i="54" s="1"/>
  <c r="B238" i="19"/>
  <c r="B237" i="54" s="1"/>
  <c r="C238" i="19"/>
  <c r="D238" i="19"/>
  <c r="E238" i="19"/>
  <c r="F238" i="19"/>
  <c r="H238" i="19"/>
  <c r="I238" i="19"/>
  <c r="J238" i="19"/>
  <c r="K238" i="19"/>
  <c r="L238" i="19"/>
  <c r="M238" i="19"/>
  <c r="N238" i="19"/>
  <c r="P238" i="19"/>
  <c r="Q238" i="19"/>
  <c r="S238" i="19"/>
  <c r="V238" i="19"/>
  <c r="W238" i="19"/>
  <c r="X238" i="19"/>
  <c r="Z238" i="19"/>
  <c r="D237" i="32" s="1"/>
  <c r="AA238" i="19"/>
  <c r="D237" i="33" s="1"/>
  <c r="A239" i="19"/>
  <c r="A238" i="54" s="1"/>
  <c r="B239" i="19"/>
  <c r="B238" i="54" s="1"/>
  <c r="C239" i="19"/>
  <c r="D239" i="19"/>
  <c r="E239" i="19"/>
  <c r="F239" i="19"/>
  <c r="H239" i="19"/>
  <c r="I239" i="19"/>
  <c r="J239" i="19"/>
  <c r="K239" i="19"/>
  <c r="L239" i="19"/>
  <c r="M239" i="19"/>
  <c r="N239" i="19"/>
  <c r="P239" i="19"/>
  <c r="Q239" i="19"/>
  <c r="S239" i="19"/>
  <c r="V239" i="19"/>
  <c r="W239" i="19"/>
  <c r="X239" i="19"/>
  <c r="Z239" i="19"/>
  <c r="D238" i="32" s="1"/>
  <c r="AA239" i="19"/>
  <c r="D238" i="33" s="1"/>
  <c r="A240" i="19"/>
  <c r="A239" i="54" s="1"/>
  <c r="B240" i="19"/>
  <c r="B239" i="54" s="1"/>
  <c r="C240" i="19"/>
  <c r="D240" i="19"/>
  <c r="E240" i="19"/>
  <c r="F240" i="19"/>
  <c r="H240" i="19"/>
  <c r="I240" i="19"/>
  <c r="J240" i="19"/>
  <c r="K240" i="19"/>
  <c r="L240" i="19"/>
  <c r="M240" i="19"/>
  <c r="N240" i="19"/>
  <c r="P240" i="19"/>
  <c r="Q240" i="19"/>
  <c r="S240" i="19"/>
  <c r="V240" i="19"/>
  <c r="W240" i="19"/>
  <c r="X240" i="19"/>
  <c r="Z240" i="19"/>
  <c r="D239" i="32" s="1"/>
  <c r="AA240" i="19"/>
  <c r="D239" i="33" s="1"/>
  <c r="A241" i="19"/>
  <c r="A240" i="54" s="1"/>
  <c r="B241" i="19"/>
  <c r="B240" i="54" s="1"/>
  <c r="C241" i="19"/>
  <c r="D241" i="19"/>
  <c r="E241" i="19"/>
  <c r="F241" i="19"/>
  <c r="H241" i="19"/>
  <c r="I241" i="19"/>
  <c r="J241" i="19"/>
  <c r="K241" i="19"/>
  <c r="L241" i="19"/>
  <c r="M241" i="19"/>
  <c r="N241" i="19"/>
  <c r="P241" i="19"/>
  <c r="Q241" i="19"/>
  <c r="S241" i="19"/>
  <c r="V241" i="19"/>
  <c r="W241" i="19"/>
  <c r="X241" i="19"/>
  <c r="Z241" i="19"/>
  <c r="D240" i="32" s="1"/>
  <c r="AA241" i="19"/>
  <c r="D240" i="33" s="1"/>
  <c r="A242" i="19"/>
  <c r="A241" i="54" s="1"/>
  <c r="B242" i="19"/>
  <c r="B241" i="54" s="1"/>
  <c r="C242" i="19"/>
  <c r="D242" i="19"/>
  <c r="E242" i="19"/>
  <c r="F242" i="19"/>
  <c r="H242" i="19"/>
  <c r="I242" i="19"/>
  <c r="J242" i="19"/>
  <c r="K242" i="19"/>
  <c r="L242" i="19"/>
  <c r="M242" i="19"/>
  <c r="N242" i="19"/>
  <c r="P242" i="19"/>
  <c r="Q242" i="19"/>
  <c r="S242" i="19"/>
  <c r="V242" i="19"/>
  <c r="W242" i="19"/>
  <c r="X242" i="19"/>
  <c r="Z242" i="19"/>
  <c r="D241" i="32" s="1"/>
  <c r="AA242" i="19"/>
  <c r="D241" i="33" s="1"/>
  <c r="A243" i="19"/>
  <c r="A242" i="54" s="1"/>
  <c r="B243" i="19"/>
  <c r="B242" i="54" s="1"/>
  <c r="C243" i="19"/>
  <c r="D243" i="19"/>
  <c r="E243" i="19"/>
  <c r="F243" i="19"/>
  <c r="H243" i="19"/>
  <c r="I243" i="19"/>
  <c r="J243" i="19"/>
  <c r="K243" i="19"/>
  <c r="L243" i="19"/>
  <c r="M243" i="19"/>
  <c r="N243" i="19"/>
  <c r="P243" i="19"/>
  <c r="Q243" i="19"/>
  <c r="S243" i="19"/>
  <c r="V243" i="19"/>
  <c r="W243" i="19"/>
  <c r="X243" i="19"/>
  <c r="Z243" i="19"/>
  <c r="D242" i="32" s="1"/>
  <c r="AA243" i="19"/>
  <c r="D242" i="33" s="1"/>
  <c r="A244" i="19"/>
  <c r="A243" i="54" s="1"/>
  <c r="B244" i="19"/>
  <c r="B243" i="54" s="1"/>
  <c r="C244" i="19"/>
  <c r="D244" i="19"/>
  <c r="E244" i="19"/>
  <c r="F244" i="19"/>
  <c r="H244" i="19"/>
  <c r="I244" i="19"/>
  <c r="J244" i="19"/>
  <c r="K244" i="19"/>
  <c r="L244" i="19"/>
  <c r="M244" i="19"/>
  <c r="N244" i="19"/>
  <c r="P244" i="19"/>
  <c r="Q244" i="19"/>
  <c r="S244" i="19"/>
  <c r="V244" i="19"/>
  <c r="W244" i="19"/>
  <c r="X244" i="19"/>
  <c r="Z244" i="19"/>
  <c r="D243" i="32" s="1"/>
  <c r="AA244" i="19"/>
  <c r="D243" i="33" s="1"/>
  <c r="A245" i="19"/>
  <c r="A244" i="54" s="1"/>
  <c r="B245" i="19"/>
  <c r="B244" i="54" s="1"/>
  <c r="C245" i="19"/>
  <c r="D245" i="19"/>
  <c r="E245" i="19"/>
  <c r="F245" i="19"/>
  <c r="H245" i="19"/>
  <c r="I245" i="19"/>
  <c r="J245" i="19"/>
  <c r="K245" i="19"/>
  <c r="L245" i="19"/>
  <c r="M245" i="19"/>
  <c r="N245" i="19"/>
  <c r="P245" i="19"/>
  <c r="Q245" i="19"/>
  <c r="S245" i="19"/>
  <c r="V245" i="19"/>
  <c r="W245" i="19"/>
  <c r="X245" i="19"/>
  <c r="Z245" i="19"/>
  <c r="D244" i="32" s="1"/>
  <c r="AA245" i="19"/>
  <c r="D244" i="33" s="1"/>
  <c r="A246" i="19"/>
  <c r="A245" i="54" s="1"/>
  <c r="B246" i="19"/>
  <c r="B245" i="54" s="1"/>
  <c r="C246" i="19"/>
  <c r="D246" i="19"/>
  <c r="E246" i="19"/>
  <c r="F246" i="19"/>
  <c r="H246" i="19"/>
  <c r="I246" i="19"/>
  <c r="J246" i="19"/>
  <c r="K246" i="19"/>
  <c r="L246" i="19"/>
  <c r="M246" i="19"/>
  <c r="N246" i="19"/>
  <c r="P246" i="19"/>
  <c r="Q246" i="19"/>
  <c r="S246" i="19"/>
  <c r="V246" i="19"/>
  <c r="W246" i="19"/>
  <c r="X246" i="19"/>
  <c r="Z246" i="19"/>
  <c r="D245" i="32" s="1"/>
  <c r="AA246" i="19"/>
  <c r="D245" i="33" s="1"/>
  <c r="A247" i="19"/>
  <c r="A246" i="54" s="1"/>
  <c r="B247" i="19"/>
  <c r="B246" i="54" s="1"/>
  <c r="C247" i="19"/>
  <c r="D247" i="19"/>
  <c r="E247" i="19"/>
  <c r="F247" i="19"/>
  <c r="H247" i="19"/>
  <c r="I247" i="19"/>
  <c r="J247" i="19"/>
  <c r="K247" i="19"/>
  <c r="L247" i="19"/>
  <c r="M247" i="19"/>
  <c r="N247" i="19"/>
  <c r="P247" i="19"/>
  <c r="Q247" i="19"/>
  <c r="S247" i="19"/>
  <c r="V247" i="19"/>
  <c r="W247" i="19"/>
  <c r="X247" i="19"/>
  <c r="Z247" i="19"/>
  <c r="D246" i="32" s="1"/>
  <c r="AA247" i="19"/>
  <c r="D246" i="33" s="1"/>
  <c r="A248" i="19"/>
  <c r="A247" i="54" s="1"/>
  <c r="B248" i="19"/>
  <c r="B247" i="54" s="1"/>
  <c r="C248" i="19"/>
  <c r="D248" i="19"/>
  <c r="E248" i="19"/>
  <c r="F248" i="19"/>
  <c r="H248" i="19"/>
  <c r="I248" i="19"/>
  <c r="J248" i="19"/>
  <c r="K248" i="19"/>
  <c r="L248" i="19"/>
  <c r="M248" i="19"/>
  <c r="N248" i="19"/>
  <c r="P248" i="19"/>
  <c r="Q248" i="19"/>
  <c r="S248" i="19"/>
  <c r="V248" i="19"/>
  <c r="W248" i="19"/>
  <c r="X248" i="19"/>
  <c r="Z248" i="19"/>
  <c r="D247" i="32" s="1"/>
  <c r="AA248" i="19"/>
  <c r="D247" i="33" s="1"/>
  <c r="A249" i="19"/>
  <c r="A248" i="54" s="1"/>
  <c r="B249" i="19"/>
  <c r="B248" i="54" s="1"/>
  <c r="C249" i="19"/>
  <c r="D249" i="19"/>
  <c r="E249" i="19"/>
  <c r="F249" i="19"/>
  <c r="H249" i="19"/>
  <c r="I249" i="19"/>
  <c r="J249" i="19"/>
  <c r="K249" i="19"/>
  <c r="L249" i="19"/>
  <c r="M249" i="19"/>
  <c r="N249" i="19"/>
  <c r="P249" i="19"/>
  <c r="Q249" i="19"/>
  <c r="S249" i="19"/>
  <c r="V249" i="19"/>
  <c r="W249" i="19"/>
  <c r="X249" i="19"/>
  <c r="Z249" i="19"/>
  <c r="D248" i="32" s="1"/>
  <c r="AA249" i="19"/>
  <c r="D248" i="33" s="1"/>
  <c r="A250" i="19"/>
  <c r="A249" i="54" s="1"/>
  <c r="B250" i="19"/>
  <c r="B249" i="54" s="1"/>
  <c r="C250" i="19"/>
  <c r="D250" i="19"/>
  <c r="E250" i="19"/>
  <c r="F250" i="19"/>
  <c r="H250" i="19"/>
  <c r="I250" i="19"/>
  <c r="J250" i="19"/>
  <c r="K250" i="19"/>
  <c r="L250" i="19"/>
  <c r="M250" i="19"/>
  <c r="N250" i="19"/>
  <c r="P250" i="19"/>
  <c r="Q250" i="19"/>
  <c r="S250" i="19"/>
  <c r="V250" i="19"/>
  <c r="W250" i="19"/>
  <c r="X250" i="19"/>
  <c r="Z250" i="19"/>
  <c r="D249" i="32" s="1"/>
  <c r="AA250" i="19"/>
  <c r="D249" i="33" s="1"/>
  <c r="A251" i="19"/>
  <c r="A250" i="54" s="1"/>
  <c r="B251" i="19"/>
  <c r="B250" i="54" s="1"/>
  <c r="C251" i="19"/>
  <c r="D251" i="19"/>
  <c r="E251" i="19"/>
  <c r="F251" i="19"/>
  <c r="H251" i="19"/>
  <c r="I251" i="19"/>
  <c r="J251" i="19"/>
  <c r="K251" i="19"/>
  <c r="L251" i="19"/>
  <c r="M251" i="19"/>
  <c r="N251" i="19"/>
  <c r="P251" i="19"/>
  <c r="Q251" i="19"/>
  <c r="S251" i="19"/>
  <c r="V251" i="19"/>
  <c r="W251" i="19"/>
  <c r="X251" i="19"/>
  <c r="Z251" i="19"/>
  <c r="D250" i="32" s="1"/>
  <c r="AA251" i="19"/>
  <c r="D250" i="33" s="1"/>
  <c r="A252" i="19"/>
  <c r="A251" i="54" s="1"/>
  <c r="B252" i="19"/>
  <c r="B251" i="54" s="1"/>
  <c r="C252" i="19"/>
  <c r="D252" i="19"/>
  <c r="E252" i="19"/>
  <c r="F252" i="19"/>
  <c r="H252" i="19"/>
  <c r="I252" i="19"/>
  <c r="J252" i="19"/>
  <c r="K252" i="19"/>
  <c r="L252" i="19"/>
  <c r="M252" i="19"/>
  <c r="N252" i="19"/>
  <c r="P252" i="19"/>
  <c r="Q252" i="19"/>
  <c r="S252" i="19"/>
  <c r="V252" i="19"/>
  <c r="W252" i="19"/>
  <c r="X252" i="19"/>
  <c r="Z252" i="19"/>
  <c r="D251" i="32" s="1"/>
  <c r="AA252" i="19"/>
  <c r="D251" i="33" s="1"/>
  <c r="A253" i="19"/>
  <c r="A252" i="54" s="1"/>
  <c r="B253" i="19"/>
  <c r="B252" i="54" s="1"/>
  <c r="C253" i="19"/>
  <c r="D253" i="19"/>
  <c r="E253" i="19"/>
  <c r="F253" i="19"/>
  <c r="H253" i="19"/>
  <c r="I253" i="19"/>
  <c r="J253" i="19"/>
  <c r="K253" i="19"/>
  <c r="L253" i="19"/>
  <c r="M253" i="19"/>
  <c r="N253" i="19"/>
  <c r="P253" i="19"/>
  <c r="Q253" i="19"/>
  <c r="O253" i="19" s="1"/>
  <c r="S253" i="19"/>
  <c r="V253" i="19"/>
  <c r="W253" i="19"/>
  <c r="X253" i="19"/>
  <c r="Z253" i="19"/>
  <c r="D252" i="32" s="1"/>
  <c r="AA253" i="19"/>
  <c r="D252" i="33" s="1"/>
  <c r="A254" i="19"/>
  <c r="A253" i="54" s="1"/>
  <c r="B254" i="19"/>
  <c r="B253" i="54" s="1"/>
  <c r="C254" i="19"/>
  <c r="D254" i="19"/>
  <c r="E254" i="19"/>
  <c r="F254" i="19"/>
  <c r="H254" i="19"/>
  <c r="I254" i="19"/>
  <c r="J254" i="19"/>
  <c r="K254" i="19"/>
  <c r="L254" i="19"/>
  <c r="M254" i="19"/>
  <c r="N254" i="19"/>
  <c r="P254" i="19"/>
  <c r="Q254" i="19"/>
  <c r="S254" i="19"/>
  <c r="V254" i="19"/>
  <c r="W254" i="19"/>
  <c r="X254" i="19"/>
  <c r="Z254" i="19"/>
  <c r="D253" i="32" s="1"/>
  <c r="AA254" i="19"/>
  <c r="D253" i="33" s="1"/>
  <c r="A255" i="19"/>
  <c r="A254" i="54" s="1"/>
  <c r="B255" i="19"/>
  <c r="B254" i="54" s="1"/>
  <c r="C255" i="19"/>
  <c r="D255" i="19"/>
  <c r="E255" i="19"/>
  <c r="F255" i="19"/>
  <c r="H255" i="19"/>
  <c r="I255" i="19"/>
  <c r="J255" i="19"/>
  <c r="K255" i="19"/>
  <c r="L255" i="19"/>
  <c r="M255" i="19"/>
  <c r="N255" i="19"/>
  <c r="P255" i="19"/>
  <c r="Q255" i="19"/>
  <c r="S255" i="19"/>
  <c r="V255" i="19"/>
  <c r="W255" i="19"/>
  <c r="X255" i="19"/>
  <c r="Z255" i="19"/>
  <c r="D254" i="32" s="1"/>
  <c r="AA255" i="19"/>
  <c r="D254" i="33" s="1"/>
  <c r="A256" i="19"/>
  <c r="A255" i="54" s="1"/>
  <c r="B256" i="19"/>
  <c r="B255" i="54" s="1"/>
  <c r="C256" i="19"/>
  <c r="D256" i="19"/>
  <c r="E256" i="19"/>
  <c r="F256" i="19"/>
  <c r="H256" i="19"/>
  <c r="I256" i="19"/>
  <c r="J256" i="19"/>
  <c r="K256" i="19"/>
  <c r="L256" i="19"/>
  <c r="M256" i="19"/>
  <c r="N256" i="19"/>
  <c r="P256" i="19"/>
  <c r="Q256" i="19"/>
  <c r="S256" i="19"/>
  <c r="V256" i="19"/>
  <c r="W256" i="19"/>
  <c r="X256" i="19"/>
  <c r="Z256" i="19"/>
  <c r="D255" i="32" s="1"/>
  <c r="AA256" i="19"/>
  <c r="D255" i="33" s="1"/>
  <c r="A257" i="19"/>
  <c r="A256" i="54" s="1"/>
  <c r="B257" i="19"/>
  <c r="B256" i="54" s="1"/>
  <c r="C257" i="19"/>
  <c r="D257" i="19"/>
  <c r="E257" i="19"/>
  <c r="F257" i="19"/>
  <c r="H257" i="19"/>
  <c r="I257" i="19"/>
  <c r="J257" i="19"/>
  <c r="K257" i="19"/>
  <c r="L257" i="19"/>
  <c r="M257" i="19"/>
  <c r="N257" i="19"/>
  <c r="P257" i="19"/>
  <c r="Q257" i="19"/>
  <c r="S257" i="19"/>
  <c r="V257" i="19"/>
  <c r="W257" i="19"/>
  <c r="X257" i="19"/>
  <c r="Z257" i="19"/>
  <c r="D256" i="32" s="1"/>
  <c r="AA257" i="19"/>
  <c r="D256" i="33" s="1"/>
  <c r="A258" i="19"/>
  <c r="A257" i="54" s="1"/>
  <c r="B258" i="19"/>
  <c r="B257" i="54" s="1"/>
  <c r="C258" i="19"/>
  <c r="D258" i="19"/>
  <c r="E258" i="19"/>
  <c r="F258" i="19"/>
  <c r="H258" i="19"/>
  <c r="I258" i="19"/>
  <c r="J258" i="19"/>
  <c r="K258" i="19"/>
  <c r="L258" i="19"/>
  <c r="M258" i="19"/>
  <c r="N258" i="19"/>
  <c r="P258" i="19"/>
  <c r="Q258" i="19"/>
  <c r="S258" i="19"/>
  <c r="V258" i="19"/>
  <c r="W258" i="19"/>
  <c r="X258" i="19"/>
  <c r="Z258" i="19"/>
  <c r="D257" i="32" s="1"/>
  <c r="AA258" i="19"/>
  <c r="D257" i="33" s="1"/>
  <c r="A259" i="19"/>
  <c r="A258" i="54" s="1"/>
  <c r="B259" i="19"/>
  <c r="B258" i="54" s="1"/>
  <c r="C259" i="19"/>
  <c r="D259" i="19"/>
  <c r="E259" i="19"/>
  <c r="F259" i="19"/>
  <c r="H259" i="19"/>
  <c r="I259" i="19"/>
  <c r="J259" i="19"/>
  <c r="K259" i="19"/>
  <c r="L259" i="19"/>
  <c r="M259" i="19"/>
  <c r="N259" i="19"/>
  <c r="P259" i="19"/>
  <c r="Q259" i="19"/>
  <c r="S259" i="19"/>
  <c r="V259" i="19"/>
  <c r="W259" i="19"/>
  <c r="X259" i="19"/>
  <c r="Z259" i="19"/>
  <c r="D258" i="32" s="1"/>
  <c r="AA259" i="19"/>
  <c r="D258" i="33" s="1"/>
  <c r="A260" i="19"/>
  <c r="A259" i="54" s="1"/>
  <c r="B260" i="19"/>
  <c r="B259" i="54" s="1"/>
  <c r="C260" i="19"/>
  <c r="D260" i="19"/>
  <c r="E260" i="19"/>
  <c r="F260" i="19"/>
  <c r="H260" i="19"/>
  <c r="I260" i="19"/>
  <c r="J260" i="19"/>
  <c r="K260" i="19"/>
  <c r="L260" i="19"/>
  <c r="M260" i="19"/>
  <c r="N260" i="19"/>
  <c r="P260" i="19"/>
  <c r="Q260" i="19"/>
  <c r="S260" i="19"/>
  <c r="V260" i="19"/>
  <c r="W260" i="19"/>
  <c r="X260" i="19"/>
  <c r="Z260" i="19"/>
  <c r="D259" i="32" s="1"/>
  <c r="AA260" i="19"/>
  <c r="D259" i="33" s="1"/>
  <c r="A261" i="19"/>
  <c r="A260" i="54" s="1"/>
  <c r="B261" i="19"/>
  <c r="B260" i="54" s="1"/>
  <c r="C261" i="19"/>
  <c r="D261" i="19"/>
  <c r="E261" i="19"/>
  <c r="F261" i="19"/>
  <c r="H261" i="19"/>
  <c r="I261" i="19"/>
  <c r="J261" i="19"/>
  <c r="K261" i="19"/>
  <c r="L261" i="19"/>
  <c r="M261" i="19"/>
  <c r="N261" i="19"/>
  <c r="P261" i="19"/>
  <c r="Q261" i="19"/>
  <c r="S261" i="19"/>
  <c r="V261" i="19"/>
  <c r="W261" i="19"/>
  <c r="X261" i="19"/>
  <c r="Z261" i="19"/>
  <c r="D260" i="32" s="1"/>
  <c r="AA261" i="19"/>
  <c r="D260" i="33" s="1"/>
  <c r="A262" i="19"/>
  <c r="A261" i="54" s="1"/>
  <c r="B262" i="19"/>
  <c r="B261" i="54" s="1"/>
  <c r="C262" i="19"/>
  <c r="D262" i="19"/>
  <c r="E262" i="19"/>
  <c r="F262" i="19"/>
  <c r="H262" i="19"/>
  <c r="I262" i="19"/>
  <c r="J262" i="19"/>
  <c r="K262" i="19"/>
  <c r="L262" i="19"/>
  <c r="M262" i="19"/>
  <c r="N262" i="19"/>
  <c r="P262" i="19"/>
  <c r="Q262" i="19"/>
  <c r="S262" i="19"/>
  <c r="V262" i="19"/>
  <c r="W262" i="19"/>
  <c r="X262" i="19"/>
  <c r="Z262" i="19"/>
  <c r="D261" i="32" s="1"/>
  <c r="AA262" i="19"/>
  <c r="D261" i="33" s="1"/>
  <c r="A263" i="19"/>
  <c r="A262" i="54" s="1"/>
  <c r="B263" i="19"/>
  <c r="B262" i="54" s="1"/>
  <c r="C263" i="19"/>
  <c r="D263" i="19"/>
  <c r="E263" i="19"/>
  <c r="F263" i="19"/>
  <c r="H263" i="19"/>
  <c r="I263" i="19"/>
  <c r="J263" i="19"/>
  <c r="K263" i="19"/>
  <c r="L263" i="19"/>
  <c r="M263" i="19"/>
  <c r="N263" i="19"/>
  <c r="P263" i="19"/>
  <c r="Q263" i="19"/>
  <c r="S263" i="19"/>
  <c r="V263" i="19"/>
  <c r="W263" i="19"/>
  <c r="X263" i="19"/>
  <c r="Z263" i="19"/>
  <c r="D262" i="32" s="1"/>
  <c r="AA263" i="19"/>
  <c r="D262" i="33" s="1"/>
  <c r="A264" i="19"/>
  <c r="A263" i="54" s="1"/>
  <c r="B264" i="19"/>
  <c r="B263" i="54" s="1"/>
  <c r="C264" i="19"/>
  <c r="D264" i="19"/>
  <c r="E264" i="19"/>
  <c r="F264" i="19"/>
  <c r="H264" i="19"/>
  <c r="I264" i="19"/>
  <c r="J264" i="19"/>
  <c r="K264" i="19"/>
  <c r="L264" i="19"/>
  <c r="M264" i="19"/>
  <c r="N264" i="19"/>
  <c r="P264" i="19"/>
  <c r="Q264" i="19"/>
  <c r="S264" i="19"/>
  <c r="V264" i="19"/>
  <c r="W264" i="19"/>
  <c r="X264" i="19"/>
  <c r="Z264" i="19"/>
  <c r="D263" i="32" s="1"/>
  <c r="AA264" i="19"/>
  <c r="D263" i="33" s="1"/>
  <c r="A265" i="19"/>
  <c r="A264" i="54" s="1"/>
  <c r="B265" i="19"/>
  <c r="B264" i="54" s="1"/>
  <c r="C265" i="19"/>
  <c r="D265" i="19"/>
  <c r="E265" i="19"/>
  <c r="F265" i="19"/>
  <c r="H265" i="19"/>
  <c r="I265" i="19"/>
  <c r="J265" i="19"/>
  <c r="K265" i="19"/>
  <c r="L265" i="19"/>
  <c r="M265" i="19"/>
  <c r="N265" i="19"/>
  <c r="P265" i="19"/>
  <c r="Q265" i="19"/>
  <c r="S265" i="19"/>
  <c r="V265" i="19"/>
  <c r="W265" i="19"/>
  <c r="X265" i="19"/>
  <c r="Z265" i="19"/>
  <c r="D264" i="32" s="1"/>
  <c r="AA265" i="19"/>
  <c r="D264" i="33" s="1"/>
  <c r="A266" i="19"/>
  <c r="A265" i="54" s="1"/>
  <c r="B266" i="19"/>
  <c r="B265" i="54" s="1"/>
  <c r="C266" i="19"/>
  <c r="D266" i="19"/>
  <c r="E266" i="19"/>
  <c r="F266" i="19"/>
  <c r="H266" i="19"/>
  <c r="I266" i="19"/>
  <c r="J266" i="19"/>
  <c r="K266" i="19"/>
  <c r="L266" i="19"/>
  <c r="M266" i="19"/>
  <c r="N266" i="19"/>
  <c r="P266" i="19"/>
  <c r="Q266" i="19"/>
  <c r="S266" i="19"/>
  <c r="V266" i="19"/>
  <c r="W266" i="19"/>
  <c r="X266" i="19"/>
  <c r="Z266" i="19"/>
  <c r="D265" i="32" s="1"/>
  <c r="AA266" i="19"/>
  <c r="D265" i="33" s="1"/>
  <c r="A267" i="19"/>
  <c r="A266" i="54" s="1"/>
  <c r="B267" i="19"/>
  <c r="B266" i="54" s="1"/>
  <c r="C267" i="19"/>
  <c r="D267" i="19"/>
  <c r="E267" i="19"/>
  <c r="F267" i="19"/>
  <c r="H267" i="19"/>
  <c r="I267" i="19"/>
  <c r="J267" i="19"/>
  <c r="K267" i="19"/>
  <c r="L267" i="19"/>
  <c r="M267" i="19"/>
  <c r="N267" i="19"/>
  <c r="P267" i="19"/>
  <c r="Q267" i="19"/>
  <c r="S267" i="19"/>
  <c r="V267" i="19"/>
  <c r="W267" i="19"/>
  <c r="X267" i="19"/>
  <c r="Z267" i="19"/>
  <c r="D266" i="32" s="1"/>
  <c r="AA267" i="19"/>
  <c r="D266" i="33" s="1"/>
  <c r="A268" i="19"/>
  <c r="A267" i="54" s="1"/>
  <c r="B268" i="19"/>
  <c r="B267" i="54" s="1"/>
  <c r="C268" i="19"/>
  <c r="D268" i="19"/>
  <c r="E268" i="19"/>
  <c r="F268" i="19"/>
  <c r="H268" i="19"/>
  <c r="I268" i="19"/>
  <c r="J268" i="19"/>
  <c r="K268" i="19"/>
  <c r="L268" i="19"/>
  <c r="M268" i="19"/>
  <c r="N268" i="19"/>
  <c r="P268" i="19"/>
  <c r="Q268" i="19"/>
  <c r="S268" i="19"/>
  <c r="V268" i="19"/>
  <c r="W268" i="19"/>
  <c r="X268" i="19"/>
  <c r="Z268" i="19"/>
  <c r="D267" i="32" s="1"/>
  <c r="AA268" i="19"/>
  <c r="D267" i="33" s="1"/>
  <c r="A269" i="19"/>
  <c r="A268" i="54" s="1"/>
  <c r="B269" i="19"/>
  <c r="B268" i="54" s="1"/>
  <c r="C269" i="19"/>
  <c r="D269" i="19"/>
  <c r="E269" i="19"/>
  <c r="F269" i="19"/>
  <c r="H269" i="19"/>
  <c r="I269" i="19"/>
  <c r="J269" i="19"/>
  <c r="K269" i="19"/>
  <c r="L269" i="19"/>
  <c r="M269" i="19"/>
  <c r="N269" i="19"/>
  <c r="P269" i="19"/>
  <c r="Q269" i="19"/>
  <c r="S269" i="19"/>
  <c r="V269" i="19"/>
  <c r="W269" i="19"/>
  <c r="X269" i="19"/>
  <c r="Z269" i="19"/>
  <c r="D268" i="32" s="1"/>
  <c r="AA269" i="19"/>
  <c r="D268" i="33" s="1"/>
  <c r="A270" i="19"/>
  <c r="A269" i="54" s="1"/>
  <c r="B270" i="19"/>
  <c r="B269" i="54" s="1"/>
  <c r="C270" i="19"/>
  <c r="D270" i="19"/>
  <c r="E270" i="19"/>
  <c r="F270" i="19"/>
  <c r="H270" i="19"/>
  <c r="I270" i="19"/>
  <c r="J270" i="19"/>
  <c r="K270" i="19"/>
  <c r="L270" i="19"/>
  <c r="M270" i="19"/>
  <c r="N270" i="19"/>
  <c r="P270" i="19"/>
  <c r="Q270" i="19"/>
  <c r="S270" i="19"/>
  <c r="V270" i="19"/>
  <c r="W270" i="19"/>
  <c r="X270" i="19"/>
  <c r="Z270" i="19"/>
  <c r="D269" i="32" s="1"/>
  <c r="AA270" i="19"/>
  <c r="D269" i="33" s="1"/>
  <c r="A271" i="19"/>
  <c r="A270" i="54" s="1"/>
  <c r="B271" i="19"/>
  <c r="B270" i="54" s="1"/>
  <c r="C271" i="19"/>
  <c r="D271" i="19"/>
  <c r="E271" i="19"/>
  <c r="F271" i="19"/>
  <c r="H271" i="19"/>
  <c r="I271" i="19"/>
  <c r="J271" i="19"/>
  <c r="K271" i="19"/>
  <c r="L271" i="19"/>
  <c r="M271" i="19"/>
  <c r="N271" i="19"/>
  <c r="P271" i="19"/>
  <c r="Q271" i="19"/>
  <c r="S271" i="19"/>
  <c r="V271" i="19"/>
  <c r="W271" i="19"/>
  <c r="X271" i="19"/>
  <c r="Z271" i="19"/>
  <c r="D270" i="32" s="1"/>
  <c r="AA271" i="19"/>
  <c r="D270" i="33" s="1"/>
  <c r="A272" i="19"/>
  <c r="A271" i="54" s="1"/>
  <c r="B272" i="19"/>
  <c r="B271" i="54" s="1"/>
  <c r="C272" i="19"/>
  <c r="D272" i="19"/>
  <c r="E272" i="19"/>
  <c r="F272" i="19"/>
  <c r="H272" i="19"/>
  <c r="I272" i="19"/>
  <c r="J272" i="19"/>
  <c r="K272" i="19"/>
  <c r="L272" i="19"/>
  <c r="M272" i="19"/>
  <c r="N272" i="19"/>
  <c r="P272" i="19"/>
  <c r="Q272" i="19"/>
  <c r="S272" i="19"/>
  <c r="V272" i="19"/>
  <c r="W272" i="19"/>
  <c r="X272" i="19"/>
  <c r="Z272" i="19"/>
  <c r="D271" i="32" s="1"/>
  <c r="AA272" i="19"/>
  <c r="D271" i="33" s="1"/>
  <c r="A273" i="19"/>
  <c r="A272" i="54" s="1"/>
  <c r="B273" i="19"/>
  <c r="B272" i="54" s="1"/>
  <c r="C273" i="19"/>
  <c r="D273" i="19"/>
  <c r="E273" i="19"/>
  <c r="F273" i="19"/>
  <c r="H273" i="19"/>
  <c r="I273" i="19"/>
  <c r="J273" i="19"/>
  <c r="K273" i="19"/>
  <c r="L273" i="19"/>
  <c r="M273" i="19"/>
  <c r="N273" i="19"/>
  <c r="P273" i="19"/>
  <c r="Q273" i="19"/>
  <c r="S273" i="19"/>
  <c r="V273" i="19"/>
  <c r="W273" i="19"/>
  <c r="X273" i="19"/>
  <c r="Z273" i="19"/>
  <c r="D272" i="32" s="1"/>
  <c r="AA273" i="19"/>
  <c r="D272" i="33" s="1"/>
  <c r="A274" i="19"/>
  <c r="A273" i="54" s="1"/>
  <c r="B274" i="19"/>
  <c r="B273" i="54" s="1"/>
  <c r="C274" i="19"/>
  <c r="D274" i="19"/>
  <c r="E274" i="19"/>
  <c r="F274" i="19"/>
  <c r="H274" i="19"/>
  <c r="I274" i="19"/>
  <c r="J274" i="19"/>
  <c r="K274" i="19"/>
  <c r="L274" i="19"/>
  <c r="M274" i="19"/>
  <c r="N274" i="19"/>
  <c r="P274" i="19"/>
  <c r="Q274" i="19"/>
  <c r="S274" i="19"/>
  <c r="V274" i="19"/>
  <c r="W274" i="19"/>
  <c r="X274" i="19"/>
  <c r="Z274" i="19"/>
  <c r="D273" i="32" s="1"/>
  <c r="AA274" i="19"/>
  <c r="D273" i="33" s="1"/>
  <c r="A275" i="19"/>
  <c r="A274" i="54" s="1"/>
  <c r="B275" i="19"/>
  <c r="B274" i="54" s="1"/>
  <c r="C275" i="19"/>
  <c r="D275" i="19"/>
  <c r="E275" i="19"/>
  <c r="F275" i="19"/>
  <c r="H275" i="19"/>
  <c r="I275" i="19"/>
  <c r="J275" i="19"/>
  <c r="K275" i="19"/>
  <c r="L275" i="19"/>
  <c r="M275" i="19"/>
  <c r="N275" i="19"/>
  <c r="P275" i="19"/>
  <c r="Q275" i="19"/>
  <c r="S275" i="19"/>
  <c r="V275" i="19"/>
  <c r="W275" i="19"/>
  <c r="X275" i="19"/>
  <c r="Z275" i="19"/>
  <c r="D274" i="32" s="1"/>
  <c r="AA275" i="19"/>
  <c r="D274" i="33" s="1"/>
  <c r="A276" i="19"/>
  <c r="A275" i="54" s="1"/>
  <c r="B276" i="19"/>
  <c r="B275" i="54" s="1"/>
  <c r="C276" i="19"/>
  <c r="D276" i="19"/>
  <c r="E276" i="19"/>
  <c r="F276" i="19"/>
  <c r="H276" i="19"/>
  <c r="I276" i="19"/>
  <c r="J276" i="19"/>
  <c r="K276" i="19"/>
  <c r="L276" i="19"/>
  <c r="M276" i="19"/>
  <c r="N276" i="19"/>
  <c r="P276" i="19"/>
  <c r="Q276" i="19"/>
  <c r="S276" i="19"/>
  <c r="V276" i="19"/>
  <c r="W276" i="19"/>
  <c r="X276" i="19"/>
  <c r="Z276" i="19"/>
  <c r="D275" i="32" s="1"/>
  <c r="AA276" i="19"/>
  <c r="D275" i="33" s="1"/>
  <c r="A277" i="19"/>
  <c r="A276" i="54" s="1"/>
  <c r="B277" i="19"/>
  <c r="B276" i="54" s="1"/>
  <c r="C277" i="19"/>
  <c r="D277" i="19"/>
  <c r="E277" i="19"/>
  <c r="F277" i="19"/>
  <c r="H277" i="19"/>
  <c r="I277" i="19"/>
  <c r="J277" i="19"/>
  <c r="K277" i="19"/>
  <c r="L277" i="19"/>
  <c r="M277" i="19"/>
  <c r="N277" i="19"/>
  <c r="P277" i="19"/>
  <c r="Q277" i="19"/>
  <c r="S277" i="19"/>
  <c r="V277" i="19"/>
  <c r="W277" i="19"/>
  <c r="X277" i="19"/>
  <c r="Z277" i="19"/>
  <c r="D276" i="32" s="1"/>
  <c r="AA277" i="19"/>
  <c r="D276" i="33" s="1"/>
  <c r="A278" i="19"/>
  <c r="A277" i="54" s="1"/>
  <c r="B278" i="19"/>
  <c r="B277" i="54" s="1"/>
  <c r="C278" i="19"/>
  <c r="D278" i="19"/>
  <c r="E278" i="19"/>
  <c r="F278" i="19"/>
  <c r="H278" i="19"/>
  <c r="I278" i="19"/>
  <c r="J278" i="19"/>
  <c r="K278" i="19"/>
  <c r="L278" i="19"/>
  <c r="M278" i="19"/>
  <c r="N278" i="19"/>
  <c r="P278" i="19"/>
  <c r="Q278" i="19"/>
  <c r="S278" i="19"/>
  <c r="V278" i="19"/>
  <c r="W278" i="19"/>
  <c r="X278" i="19"/>
  <c r="Z278" i="19"/>
  <c r="D277" i="32" s="1"/>
  <c r="AA278" i="19"/>
  <c r="D277" i="33" s="1"/>
  <c r="A279" i="19"/>
  <c r="A278" i="54" s="1"/>
  <c r="B279" i="19"/>
  <c r="B278" i="54" s="1"/>
  <c r="C279" i="19"/>
  <c r="D279" i="19"/>
  <c r="E279" i="19"/>
  <c r="F279" i="19"/>
  <c r="H279" i="19"/>
  <c r="I279" i="19"/>
  <c r="J279" i="19"/>
  <c r="K279" i="19"/>
  <c r="L279" i="19"/>
  <c r="M279" i="19"/>
  <c r="N279" i="19"/>
  <c r="P279" i="19"/>
  <c r="Q279" i="19"/>
  <c r="S279" i="19"/>
  <c r="V279" i="19"/>
  <c r="W279" i="19"/>
  <c r="X279" i="19"/>
  <c r="Z279" i="19"/>
  <c r="D278" i="32" s="1"/>
  <c r="AA279" i="19"/>
  <c r="D278" i="33" s="1"/>
  <c r="A280" i="19"/>
  <c r="A279" i="54" s="1"/>
  <c r="B280" i="19"/>
  <c r="B279" i="54" s="1"/>
  <c r="C280" i="19"/>
  <c r="D280" i="19"/>
  <c r="E280" i="19"/>
  <c r="F280" i="19"/>
  <c r="H280" i="19"/>
  <c r="I280" i="19"/>
  <c r="J280" i="19"/>
  <c r="K280" i="19"/>
  <c r="L280" i="19"/>
  <c r="M280" i="19"/>
  <c r="N280" i="19"/>
  <c r="P280" i="19"/>
  <c r="Q280" i="19"/>
  <c r="S280" i="19"/>
  <c r="V280" i="19"/>
  <c r="W280" i="19"/>
  <c r="X280" i="19"/>
  <c r="Z280" i="19"/>
  <c r="D279" i="32" s="1"/>
  <c r="AA280" i="19"/>
  <c r="D279" i="33" s="1"/>
  <c r="A281" i="19"/>
  <c r="A280" i="54" s="1"/>
  <c r="B281" i="19"/>
  <c r="B280" i="54" s="1"/>
  <c r="C281" i="19"/>
  <c r="D281" i="19"/>
  <c r="E281" i="19"/>
  <c r="F281" i="19"/>
  <c r="H281" i="19"/>
  <c r="I281" i="19"/>
  <c r="J281" i="19"/>
  <c r="K281" i="19"/>
  <c r="L281" i="19"/>
  <c r="M281" i="19"/>
  <c r="N281" i="19"/>
  <c r="P281" i="19"/>
  <c r="Q281" i="19"/>
  <c r="S281" i="19"/>
  <c r="V281" i="19"/>
  <c r="W281" i="19"/>
  <c r="X281" i="19"/>
  <c r="Z281" i="19"/>
  <c r="D280" i="32" s="1"/>
  <c r="AA281" i="19"/>
  <c r="D280" i="33" s="1"/>
  <c r="A282" i="19"/>
  <c r="A281" i="54" s="1"/>
  <c r="B282" i="19"/>
  <c r="B281" i="54" s="1"/>
  <c r="C282" i="19"/>
  <c r="D282" i="19"/>
  <c r="E282" i="19"/>
  <c r="F282" i="19"/>
  <c r="H282" i="19"/>
  <c r="I282" i="19"/>
  <c r="J282" i="19"/>
  <c r="K282" i="19"/>
  <c r="L282" i="19"/>
  <c r="M282" i="19"/>
  <c r="N282" i="19"/>
  <c r="P282" i="19"/>
  <c r="Q282" i="19"/>
  <c r="S282" i="19"/>
  <c r="V282" i="19"/>
  <c r="W282" i="19"/>
  <c r="X282" i="19"/>
  <c r="Z282" i="19"/>
  <c r="D281" i="32" s="1"/>
  <c r="AA282" i="19"/>
  <c r="D281" i="33" s="1"/>
  <c r="A283" i="19"/>
  <c r="A282" i="54" s="1"/>
  <c r="B283" i="19"/>
  <c r="B282" i="54" s="1"/>
  <c r="C283" i="19"/>
  <c r="D283" i="19"/>
  <c r="E283" i="19"/>
  <c r="F283" i="19"/>
  <c r="H283" i="19"/>
  <c r="I283" i="19"/>
  <c r="J283" i="19"/>
  <c r="K283" i="19"/>
  <c r="L283" i="19"/>
  <c r="M283" i="19"/>
  <c r="N283" i="19"/>
  <c r="P283" i="19"/>
  <c r="Q283" i="19"/>
  <c r="S283" i="19"/>
  <c r="V283" i="19"/>
  <c r="W283" i="19"/>
  <c r="X283" i="19"/>
  <c r="Z283" i="19"/>
  <c r="D282" i="32" s="1"/>
  <c r="AA283" i="19"/>
  <c r="D282" i="33" s="1"/>
  <c r="A284" i="19"/>
  <c r="A283" i="54" s="1"/>
  <c r="B284" i="19"/>
  <c r="B283" i="54" s="1"/>
  <c r="C284" i="19"/>
  <c r="D284" i="19"/>
  <c r="E284" i="19"/>
  <c r="F284" i="19"/>
  <c r="H284" i="19"/>
  <c r="I284" i="19"/>
  <c r="J284" i="19"/>
  <c r="K284" i="19"/>
  <c r="L284" i="19"/>
  <c r="M284" i="19"/>
  <c r="N284" i="19"/>
  <c r="P284" i="19"/>
  <c r="Q284" i="19"/>
  <c r="S284" i="19"/>
  <c r="V284" i="19"/>
  <c r="W284" i="19"/>
  <c r="X284" i="19"/>
  <c r="Z284" i="19"/>
  <c r="D283" i="32" s="1"/>
  <c r="AA284" i="19"/>
  <c r="D283" i="33" s="1"/>
  <c r="A285" i="19"/>
  <c r="A284" i="54" s="1"/>
  <c r="B285" i="19"/>
  <c r="B284" i="54" s="1"/>
  <c r="C285" i="19"/>
  <c r="D285" i="19"/>
  <c r="E285" i="19"/>
  <c r="F285" i="19"/>
  <c r="H285" i="19"/>
  <c r="I285" i="19"/>
  <c r="J285" i="19"/>
  <c r="K285" i="19"/>
  <c r="L285" i="19"/>
  <c r="M285" i="19"/>
  <c r="N285" i="19"/>
  <c r="P285" i="19"/>
  <c r="Q285" i="19"/>
  <c r="S285" i="19"/>
  <c r="V285" i="19"/>
  <c r="W285" i="19"/>
  <c r="X285" i="19"/>
  <c r="Z285" i="19"/>
  <c r="D284" i="32" s="1"/>
  <c r="AA285" i="19"/>
  <c r="D284" i="33" s="1"/>
  <c r="A286" i="19"/>
  <c r="A285" i="54" s="1"/>
  <c r="B286" i="19"/>
  <c r="B285" i="54" s="1"/>
  <c r="C286" i="19"/>
  <c r="D286" i="19"/>
  <c r="E286" i="19"/>
  <c r="F286" i="19"/>
  <c r="H286" i="19"/>
  <c r="I286" i="19"/>
  <c r="J286" i="19"/>
  <c r="K286" i="19"/>
  <c r="L286" i="19"/>
  <c r="M286" i="19"/>
  <c r="N286" i="19"/>
  <c r="P286" i="19"/>
  <c r="Q286" i="19"/>
  <c r="S286" i="19"/>
  <c r="V286" i="19"/>
  <c r="W286" i="19"/>
  <c r="X286" i="19"/>
  <c r="Z286" i="19"/>
  <c r="D285" i="32" s="1"/>
  <c r="AA286" i="19"/>
  <c r="D285" i="33" s="1"/>
  <c r="A287" i="19"/>
  <c r="A286" i="54" s="1"/>
  <c r="B287" i="19"/>
  <c r="B286" i="54" s="1"/>
  <c r="C287" i="19"/>
  <c r="D287" i="19"/>
  <c r="E287" i="19"/>
  <c r="F287" i="19"/>
  <c r="H287" i="19"/>
  <c r="I287" i="19"/>
  <c r="J287" i="19"/>
  <c r="K287" i="19"/>
  <c r="L287" i="19"/>
  <c r="M287" i="19"/>
  <c r="N287" i="19"/>
  <c r="P287" i="19"/>
  <c r="Q287" i="19"/>
  <c r="S287" i="19"/>
  <c r="V287" i="19"/>
  <c r="W287" i="19"/>
  <c r="X287" i="19"/>
  <c r="Z287" i="19"/>
  <c r="D286" i="32" s="1"/>
  <c r="AA287" i="19"/>
  <c r="D286" i="33" s="1"/>
  <c r="A288" i="19"/>
  <c r="A287" i="54" s="1"/>
  <c r="B288" i="19"/>
  <c r="B287" i="54" s="1"/>
  <c r="C288" i="19"/>
  <c r="D288" i="19"/>
  <c r="E288" i="19"/>
  <c r="F288" i="19"/>
  <c r="H288" i="19"/>
  <c r="I288" i="19"/>
  <c r="J288" i="19"/>
  <c r="K288" i="19"/>
  <c r="L288" i="19"/>
  <c r="M288" i="19"/>
  <c r="N288" i="19"/>
  <c r="P288" i="19"/>
  <c r="Q288" i="19"/>
  <c r="S288" i="19"/>
  <c r="V288" i="19"/>
  <c r="W288" i="19"/>
  <c r="X288" i="19"/>
  <c r="Z288" i="19"/>
  <c r="D287" i="32" s="1"/>
  <c r="AA288" i="19"/>
  <c r="D287" i="33" s="1"/>
  <c r="A289" i="19"/>
  <c r="A288" i="54" s="1"/>
  <c r="B289" i="19"/>
  <c r="B288" i="54" s="1"/>
  <c r="C289" i="19"/>
  <c r="D289" i="19"/>
  <c r="E289" i="19"/>
  <c r="F289" i="19"/>
  <c r="H289" i="19"/>
  <c r="I289" i="19"/>
  <c r="J289" i="19"/>
  <c r="K289" i="19"/>
  <c r="L289" i="19"/>
  <c r="M289" i="19"/>
  <c r="N289" i="19"/>
  <c r="P289" i="19"/>
  <c r="Q289" i="19"/>
  <c r="S289" i="19"/>
  <c r="V289" i="19"/>
  <c r="W289" i="19"/>
  <c r="X289" i="19"/>
  <c r="Z289" i="19"/>
  <c r="D288" i="32" s="1"/>
  <c r="AA289" i="19"/>
  <c r="D288" i="33" s="1"/>
  <c r="A290" i="19"/>
  <c r="A289" i="54" s="1"/>
  <c r="B290" i="19"/>
  <c r="B289" i="54" s="1"/>
  <c r="C290" i="19"/>
  <c r="D290" i="19"/>
  <c r="E290" i="19"/>
  <c r="F290" i="19"/>
  <c r="H290" i="19"/>
  <c r="I290" i="19"/>
  <c r="J290" i="19"/>
  <c r="K290" i="19"/>
  <c r="L290" i="19"/>
  <c r="M290" i="19"/>
  <c r="N290" i="19"/>
  <c r="P290" i="19"/>
  <c r="Q290" i="19"/>
  <c r="S290" i="19"/>
  <c r="V290" i="19"/>
  <c r="W290" i="19"/>
  <c r="X290" i="19"/>
  <c r="Z290" i="19"/>
  <c r="D289" i="32" s="1"/>
  <c r="AA290" i="19"/>
  <c r="D289" i="33" s="1"/>
  <c r="A291" i="19"/>
  <c r="A290" i="54" s="1"/>
  <c r="B291" i="19"/>
  <c r="B290" i="54" s="1"/>
  <c r="C291" i="19"/>
  <c r="D291" i="19"/>
  <c r="E291" i="19"/>
  <c r="F291" i="19"/>
  <c r="H291" i="19"/>
  <c r="I291" i="19"/>
  <c r="J291" i="19"/>
  <c r="K291" i="19"/>
  <c r="L291" i="19"/>
  <c r="M291" i="19"/>
  <c r="N291" i="19"/>
  <c r="P291" i="19"/>
  <c r="Q291" i="19"/>
  <c r="S291" i="19"/>
  <c r="V291" i="19"/>
  <c r="W291" i="19"/>
  <c r="X291" i="19"/>
  <c r="Z291" i="19"/>
  <c r="D290" i="32" s="1"/>
  <c r="AA291" i="19"/>
  <c r="D290" i="33" s="1"/>
  <c r="A292" i="19"/>
  <c r="A291" i="54" s="1"/>
  <c r="B292" i="19"/>
  <c r="B291" i="54" s="1"/>
  <c r="C292" i="19"/>
  <c r="D292" i="19"/>
  <c r="E292" i="19"/>
  <c r="F292" i="19"/>
  <c r="H292" i="19"/>
  <c r="I292" i="19"/>
  <c r="J292" i="19"/>
  <c r="K292" i="19"/>
  <c r="L292" i="19"/>
  <c r="M292" i="19"/>
  <c r="N292" i="19"/>
  <c r="P292" i="19"/>
  <c r="Q292" i="19"/>
  <c r="S292" i="19"/>
  <c r="V292" i="19"/>
  <c r="W292" i="19"/>
  <c r="X292" i="19"/>
  <c r="Z292" i="19"/>
  <c r="D291" i="32" s="1"/>
  <c r="AA292" i="19"/>
  <c r="D291" i="33" s="1"/>
  <c r="A293" i="19"/>
  <c r="A292" i="54" s="1"/>
  <c r="B293" i="19"/>
  <c r="B292" i="54" s="1"/>
  <c r="C293" i="19"/>
  <c r="D293" i="19"/>
  <c r="E293" i="19"/>
  <c r="F293" i="19"/>
  <c r="H293" i="19"/>
  <c r="I293" i="19"/>
  <c r="J293" i="19"/>
  <c r="K293" i="19"/>
  <c r="L293" i="19"/>
  <c r="M293" i="19"/>
  <c r="N293" i="19"/>
  <c r="P293" i="19"/>
  <c r="Q293" i="19"/>
  <c r="S293" i="19"/>
  <c r="V293" i="19"/>
  <c r="W293" i="19"/>
  <c r="X293" i="19"/>
  <c r="Z293" i="19"/>
  <c r="D292" i="32" s="1"/>
  <c r="AA293" i="19"/>
  <c r="D292" i="33" s="1"/>
  <c r="A294" i="19"/>
  <c r="A293" i="54" s="1"/>
  <c r="B294" i="19"/>
  <c r="B293" i="54" s="1"/>
  <c r="C294" i="19"/>
  <c r="D294" i="19"/>
  <c r="E294" i="19"/>
  <c r="F294" i="19"/>
  <c r="H294" i="19"/>
  <c r="I294" i="19"/>
  <c r="J294" i="19"/>
  <c r="K294" i="19"/>
  <c r="L294" i="19"/>
  <c r="M294" i="19"/>
  <c r="N294" i="19"/>
  <c r="P294" i="19"/>
  <c r="Q294" i="19"/>
  <c r="S294" i="19"/>
  <c r="V294" i="19"/>
  <c r="W294" i="19"/>
  <c r="X294" i="19"/>
  <c r="Z294" i="19"/>
  <c r="D293" i="32" s="1"/>
  <c r="AA294" i="19"/>
  <c r="D293" i="33" s="1"/>
  <c r="A295" i="19"/>
  <c r="A294" i="54" s="1"/>
  <c r="B295" i="19"/>
  <c r="B294" i="54" s="1"/>
  <c r="C295" i="19"/>
  <c r="D295" i="19"/>
  <c r="E295" i="19"/>
  <c r="F295" i="19"/>
  <c r="H295" i="19"/>
  <c r="I295" i="19"/>
  <c r="J295" i="19"/>
  <c r="K295" i="19"/>
  <c r="L295" i="19"/>
  <c r="M295" i="19"/>
  <c r="N295" i="19"/>
  <c r="P295" i="19"/>
  <c r="Q295" i="19"/>
  <c r="S295" i="19"/>
  <c r="V295" i="19"/>
  <c r="W295" i="19"/>
  <c r="X295" i="19"/>
  <c r="Z295" i="19"/>
  <c r="D294" i="32" s="1"/>
  <c r="AA295" i="19"/>
  <c r="D294" i="33" s="1"/>
  <c r="A296" i="19"/>
  <c r="A295" i="54" s="1"/>
  <c r="B296" i="19"/>
  <c r="B295" i="54" s="1"/>
  <c r="C296" i="19"/>
  <c r="D296" i="19"/>
  <c r="E296" i="19"/>
  <c r="F296" i="19"/>
  <c r="H296" i="19"/>
  <c r="I296" i="19"/>
  <c r="J296" i="19"/>
  <c r="K296" i="19"/>
  <c r="L296" i="19"/>
  <c r="M296" i="19"/>
  <c r="N296" i="19"/>
  <c r="P296" i="19"/>
  <c r="Q296" i="19"/>
  <c r="S296" i="19"/>
  <c r="V296" i="19"/>
  <c r="W296" i="19"/>
  <c r="X296" i="19"/>
  <c r="Z296" i="19"/>
  <c r="D295" i="32" s="1"/>
  <c r="AA296" i="19"/>
  <c r="D295" i="33" s="1"/>
  <c r="A297" i="19"/>
  <c r="A296" i="54" s="1"/>
  <c r="B297" i="19"/>
  <c r="B296" i="54" s="1"/>
  <c r="C297" i="19"/>
  <c r="D297" i="19"/>
  <c r="E297" i="19"/>
  <c r="F297" i="19"/>
  <c r="H297" i="19"/>
  <c r="I297" i="19"/>
  <c r="J297" i="19"/>
  <c r="K297" i="19"/>
  <c r="L297" i="19"/>
  <c r="M297" i="19"/>
  <c r="N297" i="19"/>
  <c r="P297" i="19"/>
  <c r="Q297" i="19"/>
  <c r="S297" i="19"/>
  <c r="V297" i="19"/>
  <c r="W297" i="19"/>
  <c r="X297" i="19"/>
  <c r="Z297" i="19"/>
  <c r="D296" i="32" s="1"/>
  <c r="AA297" i="19"/>
  <c r="D296" i="33" s="1"/>
  <c r="A298" i="19"/>
  <c r="A297" i="54" s="1"/>
  <c r="B298" i="19"/>
  <c r="B297" i="54" s="1"/>
  <c r="C298" i="19"/>
  <c r="D298" i="19"/>
  <c r="E298" i="19"/>
  <c r="F298" i="19"/>
  <c r="H298" i="19"/>
  <c r="I298" i="19"/>
  <c r="J298" i="19"/>
  <c r="K298" i="19"/>
  <c r="L298" i="19"/>
  <c r="M298" i="19"/>
  <c r="N298" i="19"/>
  <c r="P298" i="19"/>
  <c r="Q298" i="19"/>
  <c r="S298" i="19"/>
  <c r="V298" i="19"/>
  <c r="W298" i="19"/>
  <c r="X298" i="19"/>
  <c r="Z298" i="19"/>
  <c r="D297" i="32" s="1"/>
  <c r="AA298" i="19"/>
  <c r="D297" i="33" s="1"/>
  <c r="A299" i="19"/>
  <c r="A298" i="54" s="1"/>
  <c r="B299" i="19"/>
  <c r="B298" i="54" s="1"/>
  <c r="C299" i="19"/>
  <c r="D299" i="19"/>
  <c r="E299" i="19"/>
  <c r="F299" i="19"/>
  <c r="H299" i="19"/>
  <c r="I299" i="19"/>
  <c r="J299" i="19"/>
  <c r="K299" i="19"/>
  <c r="L299" i="19"/>
  <c r="M299" i="19"/>
  <c r="N299" i="19"/>
  <c r="P299" i="19"/>
  <c r="Q299" i="19"/>
  <c r="S299" i="19"/>
  <c r="V299" i="19"/>
  <c r="W299" i="19"/>
  <c r="X299" i="19"/>
  <c r="Z299" i="19"/>
  <c r="D298" i="32" s="1"/>
  <c r="AA299" i="19"/>
  <c r="D298" i="33" s="1"/>
  <c r="A300" i="19"/>
  <c r="A299" i="54" s="1"/>
  <c r="B300" i="19"/>
  <c r="B299" i="54" s="1"/>
  <c r="C300" i="19"/>
  <c r="D300" i="19"/>
  <c r="E300" i="19"/>
  <c r="F300" i="19"/>
  <c r="H300" i="19"/>
  <c r="I300" i="19"/>
  <c r="J300" i="19"/>
  <c r="K300" i="19"/>
  <c r="L300" i="19"/>
  <c r="M300" i="19"/>
  <c r="N300" i="19"/>
  <c r="P300" i="19"/>
  <c r="Q300" i="19"/>
  <c r="S300" i="19"/>
  <c r="V300" i="19"/>
  <c r="W300" i="19"/>
  <c r="X300" i="19"/>
  <c r="Z300" i="19"/>
  <c r="D299" i="32" s="1"/>
  <c r="AA300" i="19"/>
  <c r="D299" i="33" s="1"/>
  <c r="A301" i="19"/>
  <c r="A300" i="54" s="1"/>
  <c r="B301" i="19"/>
  <c r="B300" i="54" s="1"/>
  <c r="C301" i="19"/>
  <c r="D301" i="19"/>
  <c r="E301" i="19"/>
  <c r="F301" i="19"/>
  <c r="H301" i="19"/>
  <c r="I301" i="19"/>
  <c r="J301" i="19"/>
  <c r="K301" i="19"/>
  <c r="L301" i="19"/>
  <c r="M301" i="19"/>
  <c r="N301" i="19"/>
  <c r="P301" i="19"/>
  <c r="Q301" i="19"/>
  <c r="S301" i="19"/>
  <c r="V301" i="19"/>
  <c r="W301" i="19"/>
  <c r="X301" i="19"/>
  <c r="Z301" i="19"/>
  <c r="D300" i="32" s="1"/>
  <c r="AA301" i="19"/>
  <c r="D300" i="33" s="1"/>
  <c r="A302" i="19"/>
  <c r="A301" i="54" s="1"/>
  <c r="B302" i="19"/>
  <c r="B301" i="54" s="1"/>
  <c r="C302" i="19"/>
  <c r="D302" i="19"/>
  <c r="E302" i="19"/>
  <c r="F302" i="19"/>
  <c r="H302" i="19"/>
  <c r="I302" i="19"/>
  <c r="J302" i="19"/>
  <c r="K302" i="19"/>
  <c r="L302" i="19"/>
  <c r="M302" i="19"/>
  <c r="N302" i="19"/>
  <c r="P302" i="19"/>
  <c r="Q302" i="19"/>
  <c r="S302" i="19"/>
  <c r="V302" i="19"/>
  <c r="W302" i="19"/>
  <c r="X302" i="19"/>
  <c r="Z302" i="19"/>
  <c r="D301" i="32" s="1"/>
  <c r="AA302" i="19"/>
  <c r="D301" i="33" s="1"/>
  <c r="A303" i="19"/>
  <c r="A302" i="54" s="1"/>
  <c r="B303" i="19"/>
  <c r="B302" i="54" s="1"/>
  <c r="C303" i="19"/>
  <c r="D303" i="19"/>
  <c r="E303" i="19"/>
  <c r="F303" i="19"/>
  <c r="H303" i="19"/>
  <c r="I303" i="19"/>
  <c r="J303" i="19"/>
  <c r="K303" i="19"/>
  <c r="L303" i="19"/>
  <c r="M303" i="19"/>
  <c r="N303" i="19"/>
  <c r="P303" i="19"/>
  <c r="Q303" i="19"/>
  <c r="S303" i="19"/>
  <c r="V303" i="19"/>
  <c r="W303" i="19"/>
  <c r="X303" i="19"/>
  <c r="Z303" i="19"/>
  <c r="D302" i="32" s="1"/>
  <c r="AA303" i="19"/>
  <c r="D302" i="33" s="1"/>
  <c r="A304" i="19"/>
  <c r="A303" i="54" s="1"/>
  <c r="B304" i="19"/>
  <c r="B303" i="54" s="1"/>
  <c r="C304" i="19"/>
  <c r="D304" i="19"/>
  <c r="E304" i="19"/>
  <c r="F304" i="19"/>
  <c r="H304" i="19"/>
  <c r="I304" i="19"/>
  <c r="J304" i="19"/>
  <c r="K304" i="19"/>
  <c r="L304" i="19"/>
  <c r="M304" i="19"/>
  <c r="N304" i="19"/>
  <c r="P304" i="19"/>
  <c r="Q304" i="19"/>
  <c r="S304" i="19"/>
  <c r="V304" i="19"/>
  <c r="W304" i="19"/>
  <c r="X304" i="19"/>
  <c r="Z304" i="19"/>
  <c r="D303" i="32" s="1"/>
  <c r="AA304" i="19"/>
  <c r="D303" i="33" s="1"/>
  <c r="A305" i="19"/>
  <c r="A304" i="54" s="1"/>
  <c r="B305" i="19"/>
  <c r="B304" i="54" s="1"/>
  <c r="C305" i="19"/>
  <c r="D305" i="19"/>
  <c r="E305" i="19"/>
  <c r="F305" i="19"/>
  <c r="H305" i="19"/>
  <c r="I305" i="19"/>
  <c r="J305" i="19"/>
  <c r="K305" i="19"/>
  <c r="L305" i="19"/>
  <c r="M305" i="19"/>
  <c r="N305" i="19"/>
  <c r="P305" i="19"/>
  <c r="Q305" i="19"/>
  <c r="S305" i="19"/>
  <c r="V305" i="19"/>
  <c r="W305" i="19"/>
  <c r="X305" i="19"/>
  <c r="Z305" i="19"/>
  <c r="D304" i="32" s="1"/>
  <c r="AA305" i="19"/>
  <c r="D304" i="33" s="1"/>
  <c r="A306" i="19"/>
  <c r="A305" i="54" s="1"/>
  <c r="B306" i="19"/>
  <c r="B305" i="54" s="1"/>
  <c r="C306" i="19"/>
  <c r="D306" i="19"/>
  <c r="E306" i="19"/>
  <c r="F306" i="19"/>
  <c r="H306" i="19"/>
  <c r="I306" i="19"/>
  <c r="J306" i="19"/>
  <c r="K306" i="19"/>
  <c r="L306" i="19"/>
  <c r="M306" i="19"/>
  <c r="N306" i="19"/>
  <c r="P306" i="19"/>
  <c r="Q306" i="19"/>
  <c r="S306" i="19"/>
  <c r="V306" i="19"/>
  <c r="W306" i="19"/>
  <c r="X306" i="19"/>
  <c r="Z306" i="19"/>
  <c r="D305" i="32" s="1"/>
  <c r="AA306" i="19"/>
  <c r="D305" i="33" s="1"/>
  <c r="A307" i="19"/>
  <c r="A306" i="54" s="1"/>
  <c r="B307" i="19"/>
  <c r="B306" i="54" s="1"/>
  <c r="C307" i="19"/>
  <c r="D307" i="19"/>
  <c r="E307" i="19"/>
  <c r="F307" i="19"/>
  <c r="H307" i="19"/>
  <c r="I307" i="19"/>
  <c r="J307" i="19"/>
  <c r="K307" i="19"/>
  <c r="L307" i="19"/>
  <c r="M307" i="19"/>
  <c r="N307" i="19"/>
  <c r="P307" i="19"/>
  <c r="Q307" i="19"/>
  <c r="S307" i="19"/>
  <c r="V307" i="19"/>
  <c r="W307" i="19"/>
  <c r="X307" i="19"/>
  <c r="Z307" i="19"/>
  <c r="D306" i="32" s="1"/>
  <c r="AA307" i="19"/>
  <c r="D306" i="33" s="1"/>
  <c r="A308" i="19"/>
  <c r="A307" i="54" s="1"/>
  <c r="B308" i="19"/>
  <c r="B307" i="54" s="1"/>
  <c r="C308" i="19"/>
  <c r="D308" i="19"/>
  <c r="E308" i="19"/>
  <c r="F308" i="19"/>
  <c r="H308" i="19"/>
  <c r="I308" i="19"/>
  <c r="J308" i="19"/>
  <c r="K308" i="19"/>
  <c r="L308" i="19"/>
  <c r="M308" i="19"/>
  <c r="N308" i="19"/>
  <c r="P308" i="19"/>
  <c r="Q308" i="19"/>
  <c r="S308" i="19"/>
  <c r="V308" i="19"/>
  <c r="W308" i="19"/>
  <c r="X308" i="19"/>
  <c r="Z308" i="19"/>
  <c r="D307" i="32" s="1"/>
  <c r="AA308" i="19"/>
  <c r="D307" i="33" s="1"/>
  <c r="A309" i="19"/>
  <c r="A308" i="54" s="1"/>
  <c r="B309" i="19"/>
  <c r="B308" i="54" s="1"/>
  <c r="C309" i="19"/>
  <c r="D309" i="19"/>
  <c r="E309" i="19"/>
  <c r="F309" i="19"/>
  <c r="H309" i="19"/>
  <c r="I309" i="19"/>
  <c r="J309" i="19"/>
  <c r="K309" i="19"/>
  <c r="L309" i="19"/>
  <c r="M309" i="19"/>
  <c r="N309" i="19"/>
  <c r="P309" i="19"/>
  <c r="Q309" i="19"/>
  <c r="S309" i="19"/>
  <c r="V309" i="19"/>
  <c r="W309" i="19"/>
  <c r="X309" i="19"/>
  <c r="Z309" i="19"/>
  <c r="D308" i="32" s="1"/>
  <c r="AA309" i="19"/>
  <c r="D308" i="33" s="1"/>
  <c r="A310" i="19"/>
  <c r="A309" i="54" s="1"/>
  <c r="B310" i="19"/>
  <c r="B309" i="54" s="1"/>
  <c r="C310" i="19"/>
  <c r="D310" i="19"/>
  <c r="E310" i="19"/>
  <c r="F310" i="19"/>
  <c r="H310" i="19"/>
  <c r="I310" i="19"/>
  <c r="J310" i="19"/>
  <c r="K310" i="19"/>
  <c r="L310" i="19"/>
  <c r="M310" i="19"/>
  <c r="N310" i="19"/>
  <c r="P310" i="19"/>
  <c r="Q310" i="19"/>
  <c r="S310" i="19"/>
  <c r="V310" i="19"/>
  <c r="W310" i="19"/>
  <c r="X310" i="19"/>
  <c r="Z310" i="19"/>
  <c r="D309" i="32" s="1"/>
  <c r="AA310" i="19"/>
  <c r="D309" i="33" s="1"/>
  <c r="A311" i="19"/>
  <c r="A310" i="54" s="1"/>
  <c r="B311" i="19"/>
  <c r="B310" i="54" s="1"/>
  <c r="C311" i="19"/>
  <c r="D311" i="19"/>
  <c r="E311" i="19"/>
  <c r="F311" i="19"/>
  <c r="H311" i="19"/>
  <c r="I311" i="19"/>
  <c r="J311" i="19"/>
  <c r="K311" i="19"/>
  <c r="L311" i="19"/>
  <c r="M311" i="19"/>
  <c r="N311" i="19"/>
  <c r="P311" i="19"/>
  <c r="Q311" i="19"/>
  <c r="S311" i="19"/>
  <c r="V311" i="19"/>
  <c r="Y311" i="19" s="1"/>
  <c r="C310" i="32" s="1"/>
  <c r="W311" i="19"/>
  <c r="X311" i="19"/>
  <c r="Z311" i="19"/>
  <c r="D310" i="32" s="1"/>
  <c r="AA311" i="19"/>
  <c r="D310" i="33" s="1"/>
  <c r="A312" i="19"/>
  <c r="A311" i="54" s="1"/>
  <c r="B312" i="19"/>
  <c r="B311" i="54" s="1"/>
  <c r="C312" i="19"/>
  <c r="D312" i="19"/>
  <c r="E312" i="19"/>
  <c r="F312" i="19"/>
  <c r="H312" i="19"/>
  <c r="I312" i="19"/>
  <c r="J312" i="19"/>
  <c r="K312" i="19"/>
  <c r="L312" i="19"/>
  <c r="M312" i="19"/>
  <c r="N312" i="19"/>
  <c r="P312" i="19"/>
  <c r="Q312" i="19"/>
  <c r="S312" i="19"/>
  <c r="V312" i="19"/>
  <c r="W312" i="19"/>
  <c r="X312" i="19"/>
  <c r="Z312" i="19"/>
  <c r="D311" i="32" s="1"/>
  <c r="AA312" i="19"/>
  <c r="D311" i="33" s="1"/>
  <c r="A313" i="19"/>
  <c r="A312" i="54" s="1"/>
  <c r="B313" i="19"/>
  <c r="B312" i="54" s="1"/>
  <c r="C313" i="19"/>
  <c r="D313" i="19"/>
  <c r="E313" i="19"/>
  <c r="F313" i="19"/>
  <c r="H313" i="19"/>
  <c r="I313" i="19"/>
  <c r="J313" i="19"/>
  <c r="K313" i="19"/>
  <c r="L313" i="19"/>
  <c r="M313" i="19"/>
  <c r="N313" i="19"/>
  <c r="P313" i="19"/>
  <c r="Q313" i="19"/>
  <c r="S313" i="19"/>
  <c r="V313" i="19"/>
  <c r="W313" i="19"/>
  <c r="X313" i="19"/>
  <c r="Z313" i="19"/>
  <c r="D312" i="32" s="1"/>
  <c r="AA313" i="19"/>
  <c r="D312" i="33" s="1"/>
  <c r="A314" i="19"/>
  <c r="A313" i="54" s="1"/>
  <c r="B314" i="19"/>
  <c r="B313" i="54" s="1"/>
  <c r="C314" i="19"/>
  <c r="D314" i="19"/>
  <c r="E314" i="19"/>
  <c r="F314" i="19"/>
  <c r="H314" i="19"/>
  <c r="I314" i="19"/>
  <c r="J314" i="19"/>
  <c r="K314" i="19"/>
  <c r="L314" i="19"/>
  <c r="M314" i="19"/>
  <c r="N314" i="19"/>
  <c r="P314" i="19"/>
  <c r="Q314" i="19"/>
  <c r="S314" i="19"/>
  <c r="V314" i="19"/>
  <c r="W314" i="19"/>
  <c r="X314" i="19"/>
  <c r="Z314" i="19"/>
  <c r="D313" i="32" s="1"/>
  <c r="AA314" i="19"/>
  <c r="D313" i="33" s="1"/>
  <c r="G253" i="19" l="1"/>
  <c r="O230" i="19"/>
  <c r="O249" i="19"/>
  <c r="O244" i="19"/>
  <c r="O132" i="19"/>
  <c r="O124" i="19"/>
  <c r="G62" i="19"/>
  <c r="O10" i="19"/>
  <c r="G129" i="19"/>
  <c r="O128" i="19"/>
  <c r="Y9" i="19"/>
  <c r="C8" i="32" s="1"/>
  <c r="O245" i="19"/>
  <c r="Y289" i="19"/>
  <c r="C288" i="32" s="1"/>
  <c r="Y255" i="19"/>
  <c r="C254" i="32" s="1"/>
  <c r="G149" i="19"/>
  <c r="G124" i="19"/>
  <c r="T124" i="19" s="1"/>
  <c r="Y271" i="19"/>
  <c r="C270" i="32" s="1"/>
  <c r="O267" i="19"/>
  <c r="O160" i="19"/>
  <c r="O152" i="19"/>
  <c r="O136" i="19"/>
  <c r="O92" i="19"/>
  <c r="O289" i="19"/>
  <c r="O257" i="19"/>
  <c r="R257" i="19" s="1"/>
  <c r="U257" i="19" s="1"/>
  <c r="O238" i="19"/>
  <c r="O233" i="19"/>
  <c r="G230" i="19"/>
  <c r="O222" i="19"/>
  <c r="G222" i="19"/>
  <c r="T222" i="19" s="1"/>
  <c r="O174" i="19"/>
  <c r="Y159" i="19"/>
  <c r="C158" i="32" s="1"/>
  <c r="O137" i="19"/>
  <c r="R137" i="19" s="1"/>
  <c r="U137" i="19" s="1"/>
  <c r="Y91" i="19"/>
  <c r="C90" i="32" s="1"/>
  <c r="O90" i="19"/>
  <c r="Y83" i="19"/>
  <c r="C82" i="32" s="1"/>
  <c r="E82" i="32" s="1"/>
  <c r="O82" i="19"/>
  <c r="Y75" i="19"/>
  <c r="C74" i="32" s="1"/>
  <c r="E74" i="32" s="1"/>
  <c r="E51" i="32"/>
  <c r="O29" i="19"/>
  <c r="G10" i="19"/>
  <c r="O148" i="19"/>
  <c r="O140" i="19"/>
  <c r="Y124" i="19"/>
  <c r="C123" i="32" s="1"/>
  <c r="O112" i="19"/>
  <c r="Y275" i="19"/>
  <c r="C274" i="32" s="1"/>
  <c r="E274" i="32" s="1"/>
  <c r="O274" i="19"/>
  <c r="G273" i="19"/>
  <c r="O215" i="19"/>
  <c r="G212" i="19"/>
  <c r="Y208" i="19"/>
  <c r="C207" i="32" s="1"/>
  <c r="E207" i="32" s="1"/>
  <c r="O207" i="19"/>
  <c r="G204" i="19"/>
  <c r="Y200" i="19"/>
  <c r="C199" i="32" s="1"/>
  <c r="E199" i="32" s="1"/>
  <c r="Y192" i="19"/>
  <c r="C191" i="32" s="1"/>
  <c r="Y166" i="19"/>
  <c r="C165" i="32" s="1"/>
  <c r="Y131" i="19"/>
  <c r="C130" i="32" s="1"/>
  <c r="E130" i="32" s="1"/>
  <c r="O107" i="19"/>
  <c r="O99" i="19"/>
  <c r="Y71" i="19"/>
  <c r="C70" i="32" s="1"/>
  <c r="O51" i="19"/>
  <c r="O277" i="19"/>
  <c r="O261" i="19"/>
  <c r="O218" i="19"/>
  <c r="G218" i="19"/>
  <c r="T218" i="19" s="1"/>
  <c r="Y190" i="19"/>
  <c r="C189" i="32" s="1"/>
  <c r="O186" i="19"/>
  <c r="O113" i="19"/>
  <c r="O62" i="19"/>
  <c r="R62" i="19" s="1"/>
  <c r="U62" i="19" s="1"/>
  <c r="O30" i="19"/>
  <c r="Y29" i="19"/>
  <c r="C28" i="32" s="1"/>
  <c r="Y292" i="19"/>
  <c r="C291" i="32" s="1"/>
  <c r="E291" i="32" s="1"/>
  <c r="O269" i="19"/>
  <c r="Y245" i="19"/>
  <c r="C244" i="32" s="1"/>
  <c r="Y170" i="19"/>
  <c r="C169" i="32" s="1"/>
  <c r="E169" i="32" s="1"/>
  <c r="O93" i="19"/>
  <c r="Y160" i="19"/>
  <c r="C159" i="32" s="1"/>
  <c r="E159" i="32" s="1"/>
  <c r="O242" i="19"/>
  <c r="O226" i="19"/>
  <c r="G208" i="19"/>
  <c r="G55" i="19"/>
  <c r="T55" i="19" s="1"/>
  <c r="G194" i="19"/>
  <c r="G161" i="19"/>
  <c r="T161" i="19" s="1"/>
  <c r="O211" i="19"/>
  <c r="Y204" i="19"/>
  <c r="C203" i="32" s="1"/>
  <c r="E203" i="32" s="1"/>
  <c r="Y87" i="19"/>
  <c r="C86" i="32" s="1"/>
  <c r="Y82" i="19"/>
  <c r="C81" i="32" s="1"/>
  <c r="O15" i="19"/>
  <c r="Y299" i="19"/>
  <c r="C298" i="32" s="1"/>
  <c r="Y277" i="19"/>
  <c r="C276" i="32" s="1"/>
  <c r="O265" i="19"/>
  <c r="Y244" i="19"/>
  <c r="C243" i="32" s="1"/>
  <c r="O237" i="19"/>
  <c r="Y221" i="19"/>
  <c r="C220" i="32" s="1"/>
  <c r="O198" i="19"/>
  <c r="O181" i="19"/>
  <c r="Y180" i="19"/>
  <c r="C179" i="32" s="1"/>
  <c r="E179" i="32" s="1"/>
  <c r="Y149" i="19"/>
  <c r="C148" i="32" s="1"/>
  <c r="O145" i="19"/>
  <c r="O116" i="19"/>
  <c r="O108" i="19"/>
  <c r="Y30" i="19"/>
  <c r="C29" i="32" s="1"/>
  <c r="E29" i="32" s="1"/>
  <c r="O26" i="19"/>
  <c r="O21" i="19"/>
  <c r="O109" i="19"/>
  <c r="R109" i="19" s="1"/>
  <c r="U109" i="19" s="1"/>
  <c r="Y193" i="19"/>
  <c r="C192" i="32" s="1"/>
  <c r="G69" i="19"/>
  <c r="Y212" i="19"/>
  <c r="C211" i="32" s="1"/>
  <c r="E211" i="32" s="1"/>
  <c r="Y129" i="19"/>
  <c r="C128" i="32" s="1"/>
  <c r="E128" i="32" s="1"/>
  <c r="G123" i="19"/>
  <c r="T123" i="19" s="1"/>
  <c r="O121" i="19"/>
  <c r="G109" i="19"/>
  <c r="Y79" i="19"/>
  <c r="C78" i="32" s="1"/>
  <c r="O50" i="19"/>
  <c r="Y261" i="19"/>
  <c r="C260" i="32" s="1"/>
  <c r="Y252" i="19"/>
  <c r="C251" i="32" s="1"/>
  <c r="E251" i="32" s="1"/>
  <c r="G226" i="19"/>
  <c r="T226" i="19" s="1"/>
  <c r="Y225" i="19"/>
  <c r="C224" i="32" s="1"/>
  <c r="G223" i="19"/>
  <c r="Y188" i="19"/>
  <c r="C187" i="32" s="1"/>
  <c r="Y155" i="19"/>
  <c r="C154" i="32" s="1"/>
  <c r="E154" i="32" s="1"/>
  <c r="G137" i="19"/>
  <c r="G110" i="19"/>
  <c r="Y67" i="19"/>
  <c r="C66" i="32" s="1"/>
  <c r="E66" i="32" s="1"/>
  <c r="G65" i="19"/>
  <c r="R65" i="19" s="1"/>
  <c r="U65" i="19" s="1"/>
  <c r="Y60" i="19"/>
  <c r="C59" i="32" s="1"/>
  <c r="E59" i="32" s="1"/>
  <c r="O59" i="19"/>
  <c r="O48" i="19"/>
  <c r="G15" i="19"/>
  <c r="T15" i="19" s="1"/>
  <c r="O241" i="19"/>
  <c r="Y61" i="19"/>
  <c r="C60" i="32" s="1"/>
  <c r="E60" i="32" s="1"/>
  <c r="Y128" i="19"/>
  <c r="C127" i="32" s="1"/>
  <c r="E127" i="32" s="1"/>
  <c r="G93" i="19"/>
  <c r="T93" i="19" s="1"/>
  <c r="O292" i="19"/>
  <c r="O203" i="19"/>
  <c r="G200" i="19"/>
  <c r="O178" i="19"/>
  <c r="R178" i="19" s="1"/>
  <c r="U178" i="19" s="1"/>
  <c r="Y132" i="19"/>
  <c r="C131" i="32" s="1"/>
  <c r="G130" i="19"/>
  <c r="O86" i="19"/>
  <c r="Y307" i="19"/>
  <c r="C306" i="32" s="1"/>
  <c r="E306" i="32" s="1"/>
  <c r="O312" i="19"/>
  <c r="G311" i="19"/>
  <c r="Y310" i="19"/>
  <c r="C309" i="32" s="1"/>
  <c r="O309" i="19"/>
  <c r="R309" i="19" s="1"/>
  <c r="U309" i="19" s="1"/>
  <c r="O301" i="19"/>
  <c r="Y264" i="19"/>
  <c r="C263" i="32" s="1"/>
  <c r="E263" i="32" s="1"/>
  <c r="G254" i="19"/>
  <c r="Y253" i="19"/>
  <c r="C252" i="32" s="1"/>
  <c r="E252" i="32" s="1"/>
  <c r="Y228" i="19"/>
  <c r="C227" i="32" s="1"/>
  <c r="E227" i="32" s="1"/>
  <c r="Y195" i="19"/>
  <c r="C194" i="32" s="1"/>
  <c r="G193" i="19"/>
  <c r="O190" i="19"/>
  <c r="R190" i="19" s="1"/>
  <c r="U190" i="19" s="1"/>
  <c r="Y162" i="19"/>
  <c r="C161" i="32" s="1"/>
  <c r="G160" i="19"/>
  <c r="G145" i="19"/>
  <c r="O54" i="19"/>
  <c r="G51" i="19"/>
  <c r="Y23" i="19"/>
  <c r="C22" i="32" s="1"/>
  <c r="O25" i="19"/>
  <c r="O313" i="19"/>
  <c r="O272" i="19"/>
  <c r="O264" i="19"/>
  <c r="O247" i="19"/>
  <c r="G246" i="19"/>
  <c r="T246" i="19" s="1"/>
  <c r="Y224" i="19"/>
  <c r="C223" i="32" s="1"/>
  <c r="E223" i="32" s="1"/>
  <c r="O197" i="19"/>
  <c r="Y165" i="19"/>
  <c r="C164" i="32" s="1"/>
  <c r="E164" i="32" s="1"/>
  <c r="O164" i="19"/>
  <c r="R164" i="19" s="1"/>
  <c r="U164" i="19" s="1"/>
  <c r="O158" i="19"/>
  <c r="O144" i="19"/>
  <c r="O133" i="19"/>
  <c r="G117" i="19"/>
  <c r="T117" i="19" s="1"/>
  <c r="O115" i="19"/>
  <c r="Y114" i="19"/>
  <c r="C113" i="32" s="1"/>
  <c r="Y111" i="19"/>
  <c r="C110" i="32" s="1"/>
  <c r="Y65" i="19"/>
  <c r="C64" i="32" s="1"/>
  <c r="E64" i="32" s="1"/>
  <c r="O64" i="19"/>
  <c r="G63" i="19"/>
  <c r="T63" i="19" s="1"/>
  <c r="O55" i="19"/>
  <c r="Y45" i="19"/>
  <c r="C44" i="32" s="1"/>
  <c r="E44" i="32" s="1"/>
  <c r="G11" i="19"/>
  <c r="Y306" i="19"/>
  <c r="C305" i="32" s="1"/>
  <c r="Y296" i="19"/>
  <c r="C295" i="32" s="1"/>
  <c r="O311" i="19"/>
  <c r="R311" i="19" s="1"/>
  <c r="U311" i="19" s="1"/>
  <c r="Y301" i="19"/>
  <c r="C300" i="32" s="1"/>
  <c r="E300" i="32" s="1"/>
  <c r="O298" i="19"/>
  <c r="G297" i="19"/>
  <c r="T297" i="19" s="1"/>
  <c r="G296" i="19"/>
  <c r="Y295" i="19"/>
  <c r="C294" i="32" s="1"/>
  <c r="E294" i="32" s="1"/>
  <c r="O294" i="19"/>
  <c r="O293" i="19"/>
  <c r="O290" i="19"/>
  <c r="Y284" i="19"/>
  <c r="C283" i="32" s="1"/>
  <c r="Y280" i="19"/>
  <c r="C279" i="32" s="1"/>
  <c r="E279" i="32" s="1"/>
  <c r="O279" i="19"/>
  <c r="O276" i="19"/>
  <c r="G275" i="19"/>
  <c r="T275" i="19" s="1"/>
  <c r="Y274" i="19"/>
  <c r="C273" i="32" s="1"/>
  <c r="E273" i="32" s="1"/>
  <c r="O273" i="19"/>
  <c r="G269" i="19"/>
  <c r="T269" i="19" s="1"/>
  <c r="G268" i="19"/>
  <c r="O259" i="19"/>
  <c r="Y256" i="19"/>
  <c r="C255" i="32" s="1"/>
  <c r="E255" i="32" s="1"/>
  <c r="O252" i="19"/>
  <c r="G249" i="19"/>
  <c r="R249" i="19" s="1"/>
  <c r="U249" i="19" s="1"/>
  <c r="Y232" i="19"/>
  <c r="C231" i="32" s="1"/>
  <c r="G232" i="19"/>
  <c r="O229" i="19"/>
  <c r="G227" i="19"/>
  <c r="T227" i="19" s="1"/>
  <c r="Y214" i="19"/>
  <c r="C213" i="32" s="1"/>
  <c r="E213" i="32" s="1"/>
  <c r="O214" i="19"/>
  <c r="G186" i="19"/>
  <c r="T186" i="19" s="1"/>
  <c r="O183" i="19"/>
  <c r="O172" i="19"/>
  <c r="O169" i="19"/>
  <c r="Y163" i="19"/>
  <c r="C162" i="32" s="1"/>
  <c r="E162" i="32" s="1"/>
  <c r="G153" i="19"/>
  <c r="Y144" i="19"/>
  <c r="C143" i="32" s="1"/>
  <c r="Y140" i="19"/>
  <c r="C139" i="32" s="1"/>
  <c r="E139" i="32" s="1"/>
  <c r="Y138" i="19"/>
  <c r="C137" i="32" s="1"/>
  <c r="E137" i="32" s="1"/>
  <c r="G133" i="19"/>
  <c r="G125" i="19"/>
  <c r="G118" i="19"/>
  <c r="Y117" i="19"/>
  <c r="C116" i="32" s="1"/>
  <c r="E116" i="32" s="1"/>
  <c r="O308" i="19"/>
  <c r="O295" i="19"/>
  <c r="G305" i="19"/>
  <c r="T305" i="19" s="1"/>
  <c r="Y304" i="19"/>
  <c r="C303" i="32" s="1"/>
  <c r="E303" i="32" s="1"/>
  <c r="O303" i="19"/>
  <c r="O300" i="19"/>
  <c r="G299" i="19"/>
  <c r="Y298" i="19"/>
  <c r="C297" i="32" s="1"/>
  <c r="E297" i="32" s="1"/>
  <c r="O297" i="19"/>
  <c r="Y290" i="19"/>
  <c r="C289" i="32" s="1"/>
  <c r="Y287" i="19"/>
  <c r="C286" i="32" s="1"/>
  <c r="E286" i="32" s="1"/>
  <c r="O286" i="19"/>
  <c r="O285" i="19"/>
  <c r="Y283" i="19"/>
  <c r="C282" i="32" s="1"/>
  <c r="O282" i="19"/>
  <c r="G271" i="19"/>
  <c r="Y270" i="19"/>
  <c r="C269" i="32" s="1"/>
  <c r="E269" i="32" s="1"/>
  <c r="Y262" i="19"/>
  <c r="C261" i="32" s="1"/>
  <c r="Y259" i="19"/>
  <c r="C258" i="32" s="1"/>
  <c r="E258" i="32" s="1"/>
  <c r="Y258" i="19"/>
  <c r="C257" i="32" s="1"/>
  <c r="E257" i="32" s="1"/>
  <c r="O258" i="19"/>
  <c r="G250" i="19"/>
  <c r="Y249" i="19"/>
  <c r="C248" i="32" s="1"/>
  <c r="O248" i="19"/>
  <c r="O243" i="19"/>
  <c r="Y240" i="19"/>
  <c r="C239" i="32" s="1"/>
  <c r="E239" i="32" s="1"/>
  <c r="G240" i="19"/>
  <c r="O239" i="19"/>
  <c r="Y236" i="19"/>
  <c r="C235" i="32" s="1"/>
  <c r="E235" i="32" s="1"/>
  <c r="G236" i="19"/>
  <c r="O235" i="19"/>
  <c r="O234" i="19"/>
  <c r="R234" i="19" s="1"/>
  <c r="U234" i="19" s="1"/>
  <c r="Y227" i="19"/>
  <c r="C226" i="32" s="1"/>
  <c r="E226" i="32" s="1"/>
  <c r="Y217" i="19"/>
  <c r="C216" i="32" s="1"/>
  <c r="E216" i="32" s="1"/>
  <c r="Y216" i="19"/>
  <c r="C215" i="32" s="1"/>
  <c r="E215" i="32" s="1"/>
  <c r="O216" i="19"/>
  <c r="O213" i="19"/>
  <c r="O212" i="19"/>
  <c r="G198" i="19"/>
  <c r="Y194" i="19"/>
  <c r="C193" i="32" s="1"/>
  <c r="E193" i="32" s="1"/>
  <c r="O194" i="19"/>
  <c r="R194" i="19" s="1"/>
  <c r="U194" i="19" s="1"/>
  <c r="Y187" i="19"/>
  <c r="C186" i="32" s="1"/>
  <c r="Y182" i="19"/>
  <c r="C181" i="32" s="1"/>
  <c r="E181" i="32" s="1"/>
  <c r="O182" i="19"/>
  <c r="G178" i="19"/>
  <c r="G177" i="19"/>
  <c r="Y176" i="19"/>
  <c r="C175" i="32" s="1"/>
  <c r="E175" i="32" s="1"/>
  <c r="G176" i="19"/>
  <c r="T176" i="19" s="1"/>
  <c r="G170" i="19"/>
  <c r="O168" i="19"/>
  <c r="G157" i="19"/>
  <c r="T157" i="19" s="1"/>
  <c r="Y156" i="19"/>
  <c r="C155" i="32" s="1"/>
  <c r="E155" i="32" s="1"/>
  <c r="Y148" i="19"/>
  <c r="C147" i="32" s="1"/>
  <c r="E147" i="32" s="1"/>
  <c r="Y147" i="19"/>
  <c r="C146" i="32" s="1"/>
  <c r="G146" i="19"/>
  <c r="T146" i="19" s="1"/>
  <c r="Y145" i="19"/>
  <c r="C144" i="32" s="1"/>
  <c r="E144" i="32" s="1"/>
  <c r="Y143" i="19"/>
  <c r="C142" i="32" s="1"/>
  <c r="O142" i="19"/>
  <c r="Y135" i="19"/>
  <c r="C134" i="32" s="1"/>
  <c r="E134" i="32" s="1"/>
  <c r="G134" i="19"/>
  <c r="Y133" i="19"/>
  <c r="C132" i="32" s="1"/>
  <c r="O125" i="19"/>
  <c r="Y291" i="19"/>
  <c r="C290" i="32" s="1"/>
  <c r="G290" i="19"/>
  <c r="T290" i="19" s="1"/>
  <c r="E288" i="32"/>
  <c r="Y263" i="19"/>
  <c r="C262" i="32" s="1"/>
  <c r="E262" i="32" s="1"/>
  <c r="G262" i="19"/>
  <c r="T262" i="19" s="1"/>
  <c r="G245" i="19"/>
  <c r="T245" i="19" s="1"/>
  <c r="G231" i="19"/>
  <c r="T231" i="19" s="1"/>
  <c r="Y220" i="19"/>
  <c r="C219" i="32" s="1"/>
  <c r="O220" i="19"/>
  <c r="G219" i="19"/>
  <c r="R219" i="19" s="1"/>
  <c r="U219" i="19" s="1"/>
  <c r="G210" i="19"/>
  <c r="T210" i="19" s="1"/>
  <c r="G206" i="19"/>
  <c r="T206" i="19" s="1"/>
  <c r="G202" i="19"/>
  <c r="O196" i="19"/>
  <c r="E194" i="32"/>
  <c r="G190" i="19"/>
  <c r="Y184" i="19"/>
  <c r="C183" i="32" s="1"/>
  <c r="O184" i="19"/>
  <c r="R184" i="19" s="1"/>
  <c r="U184" i="19" s="1"/>
  <c r="G181" i="19"/>
  <c r="T181" i="19" s="1"/>
  <c r="Y178" i="19"/>
  <c r="C177" i="32" s="1"/>
  <c r="E177" i="32" s="1"/>
  <c r="G166" i="19"/>
  <c r="Y151" i="19"/>
  <c r="C150" i="32" s="1"/>
  <c r="G150" i="19"/>
  <c r="G307" i="19"/>
  <c r="O305" i="19"/>
  <c r="T193" i="19"/>
  <c r="Y127" i="19"/>
  <c r="C126" i="32" s="1"/>
  <c r="E126" i="32" s="1"/>
  <c r="G126" i="19"/>
  <c r="T126" i="19" s="1"/>
  <c r="Y125" i="19"/>
  <c r="C124" i="32" s="1"/>
  <c r="E124" i="32" s="1"/>
  <c r="Y118" i="19"/>
  <c r="C117" i="32" s="1"/>
  <c r="Y105" i="19"/>
  <c r="C104" i="32" s="1"/>
  <c r="O96" i="19"/>
  <c r="G94" i="19"/>
  <c r="T94" i="19" s="1"/>
  <c r="O88" i="19"/>
  <c r="R88" i="19" s="1"/>
  <c r="U88" i="19" s="1"/>
  <c r="O84" i="19"/>
  <c r="O73" i="19"/>
  <c r="O70" i="19"/>
  <c r="O61" i="19"/>
  <c r="O57" i="19"/>
  <c r="G56" i="19"/>
  <c r="Y49" i="19"/>
  <c r="C48" i="32" s="1"/>
  <c r="O49" i="19"/>
  <c r="R49" i="19" s="1"/>
  <c r="U49" i="19" s="1"/>
  <c r="O46" i="19"/>
  <c r="R46" i="19" s="1"/>
  <c r="U46" i="19" s="1"/>
  <c r="O45" i="19"/>
  <c r="O34" i="19"/>
  <c r="O33" i="19"/>
  <c r="O28" i="19"/>
  <c r="Y25" i="19"/>
  <c r="C24" i="32" s="1"/>
  <c r="G25" i="19"/>
  <c r="O24" i="19"/>
  <c r="R24" i="19" s="1"/>
  <c r="U24" i="19" s="1"/>
  <c r="Y21" i="19"/>
  <c r="C20" i="32" s="1"/>
  <c r="E20" i="32" s="1"/>
  <c r="G21" i="19"/>
  <c r="O20" i="19"/>
  <c r="Y17" i="19"/>
  <c r="C16" i="32" s="1"/>
  <c r="G17" i="19"/>
  <c r="O14" i="19"/>
  <c r="O13" i="19"/>
  <c r="Y113" i="19"/>
  <c r="C112" i="32" s="1"/>
  <c r="E112" i="32" s="1"/>
  <c r="G113" i="19"/>
  <c r="T113" i="19" s="1"/>
  <c r="Y108" i="19"/>
  <c r="C107" i="32" s="1"/>
  <c r="E107" i="32" s="1"/>
  <c r="Y106" i="19"/>
  <c r="C105" i="32" s="1"/>
  <c r="E104" i="32"/>
  <c r="G105" i="19"/>
  <c r="Y104" i="19"/>
  <c r="C103" i="32" s="1"/>
  <c r="Y102" i="19"/>
  <c r="C101" i="32" s="1"/>
  <c r="G101" i="19"/>
  <c r="T101" i="19" s="1"/>
  <c r="Y98" i="19"/>
  <c r="C97" i="32" s="1"/>
  <c r="E97" i="32" s="1"/>
  <c r="G97" i="19"/>
  <c r="Y94" i="19"/>
  <c r="C93" i="32" s="1"/>
  <c r="E93" i="32" s="1"/>
  <c r="G77" i="19"/>
  <c r="G71" i="19"/>
  <c r="Y64" i="19"/>
  <c r="C63" i="32" s="1"/>
  <c r="Y56" i="19"/>
  <c r="C55" i="32" s="1"/>
  <c r="E55" i="32" s="1"/>
  <c r="G43" i="19"/>
  <c r="R43" i="19" s="1"/>
  <c r="U43" i="19" s="1"/>
  <c r="Y40" i="19"/>
  <c r="C39" i="32" s="1"/>
  <c r="E39" i="32" s="1"/>
  <c r="G39" i="19"/>
  <c r="Y36" i="19"/>
  <c r="C35" i="32" s="1"/>
  <c r="E35" i="32" s="1"/>
  <c r="G35" i="19"/>
  <c r="Y32" i="19"/>
  <c r="C31" i="32" s="1"/>
  <c r="E31" i="32" s="1"/>
  <c r="G31" i="19"/>
  <c r="G30" i="19"/>
  <c r="T30" i="19" s="1"/>
  <c r="T10" i="19"/>
  <c r="G66" i="19"/>
  <c r="T66" i="19" s="1"/>
  <c r="E63" i="32"/>
  <c r="G45" i="19"/>
  <c r="R45" i="19" s="1"/>
  <c r="U45" i="19" s="1"/>
  <c r="O22" i="19"/>
  <c r="G16" i="19"/>
  <c r="T16" i="19" s="1"/>
  <c r="Y109" i="19"/>
  <c r="C108" i="32" s="1"/>
  <c r="G92" i="19"/>
  <c r="R92" i="19" s="1"/>
  <c r="U92" i="19" s="1"/>
  <c r="F91" i="32" s="1"/>
  <c r="G91" i="19"/>
  <c r="T91" i="19" s="1"/>
  <c r="O74" i="19"/>
  <c r="Y68" i="19"/>
  <c r="C67" i="32" s="1"/>
  <c r="E67" i="32" s="1"/>
  <c r="Y47" i="19"/>
  <c r="C46" i="32" s="1"/>
  <c r="E46" i="32" s="1"/>
  <c r="O47" i="19"/>
  <c r="Y31" i="19"/>
  <c r="C30" i="32" s="1"/>
  <c r="O31" i="19"/>
  <c r="O11" i="19"/>
  <c r="E309" i="32"/>
  <c r="E260" i="32"/>
  <c r="E150" i="32"/>
  <c r="E305" i="32"/>
  <c r="E276" i="32"/>
  <c r="E254" i="32"/>
  <c r="E158" i="32"/>
  <c r="E103" i="32"/>
  <c r="E70" i="32"/>
  <c r="E122" i="32"/>
  <c r="E86" i="32"/>
  <c r="E78" i="32"/>
  <c r="E283" i="32"/>
  <c r="E231" i="32"/>
  <c r="E146" i="32"/>
  <c r="E142" i="32"/>
  <c r="E110" i="32"/>
  <c r="E30" i="32"/>
  <c r="E9" i="32"/>
  <c r="E289" i="32"/>
  <c r="E148" i="32"/>
  <c r="E131" i="32"/>
  <c r="G312" i="19"/>
  <c r="Y308" i="19"/>
  <c r="C307" i="32" s="1"/>
  <c r="G306" i="19"/>
  <c r="Y305" i="19"/>
  <c r="C304" i="32" s="1"/>
  <c r="E304" i="32" s="1"/>
  <c r="G304" i="19"/>
  <c r="Y303" i="19"/>
  <c r="C302" i="32" s="1"/>
  <c r="E302" i="32" s="1"/>
  <c r="O302" i="19"/>
  <c r="Y300" i="19"/>
  <c r="C299" i="32" s="1"/>
  <c r="G298" i="19"/>
  <c r="Y297" i="19"/>
  <c r="C296" i="32" s="1"/>
  <c r="G286" i="19"/>
  <c r="Y285" i="19"/>
  <c r="C284" i="32" s="1"/>
  <c r="E284" i="32" s="1"/>
  <c r="G281" i="19"/>
  <c r="T281" i="19" s="1"/>
  <c r="G280" i="19"/>
  <c r="T280" i="19" s="1"/>
  <c r="Y279" i="19"/>
  <c r="C278" i="32" s="1"/>
  <c r="E278" i="32" s="1"/>
  <c r="Y267" i="19"/>
  <c r="C266" i="32" s="1"/>
  <c r="O266" i="19"/>
  <c r="G255" i="19"/>
  <c r="T255" i="19" s="1"/>
  <c r="Y246" i="19"/>
  <c r="C245" i="32" s="1"/>
  <c r="E245" i="32" s="1"/>
  <c r="O246" i="19"/>
  <c r="G242" i="19"/>
  <c r="T242" i="19" s="1"/>
  <c r="Y239" i="19"/>
  <c r="C238" i="32" s="1"/>
  <c r="G238" i="19"/>
  <c r="T238" i="19" s="1"/>
  <c r="Y235" i="19"/>
  <c r="C234" i="32" s="1"/>
  <c r="G234" i="19"/>
  <c r="Y231" i="19"/>
  <c r="C230" i="32" s="1"/>
  <c r="E219" i="32"/>
  <c r="Y213" i="19"/>
  <c r="C212" i="32" s="1"/>
  <c r="E212" i="32" s="1"/>
  <c r="G213" i="19"/>
  <c r="T213" i="19" s="1"/>
  <c r="O210" i="19"/>
  <c r="O206" i="19"/>
  <c r="R206" i="19" s="1"/>
  <c r="U206" i="19" s="1"/>
  <c r="O202" i="19"/>
  <c r="G195" i="19"/>
  <c r="G191" i="19"/>
  <c r="E183" i="32"/>
  <c r="G182" i="19"/>
  <c r="T182" i="19" s="1"/>
  <c r="Y181" i="19"/>
  <c r="C180" i="32" s="1"/>
  <c r="G179" i="19"/>
  <c r="Y171" i="19"/>
  <c r="C170" i="32" s="1"/>
  <c r="G163" i="19"/>
  <c r="T163" i="19" s="1"/>
  <c r="O162" i="19"/>
  <c r="G159" i="19"/>
  <c r="O157" i="19"/>
  <c r="G141" i="19"/>
  <c r="Y139" i="19"/>
  <c r="C138" i="32" s="1"/>
  <c r="G121" i="19"/>
  <c r="O120" i="19"/>
  <c r="Y115" i="19"/>
  <c r="C114" i="32" s="1"/>
  <c r="G104" i="19"/>
  <c r="Y103" i="19"/>
  <c r="C102" i="32" s="1"/>
  <c r="Y99" i="19"/>
  <c r="C98" i="32" s="1"/>
  <c r="O98" i="19"/>
  <c r="O89" i="19"/>
  <c r="G85" i="19"/>
  <c r="T85" i="19" s="1"/>
  <c r="Y84" i="19"/>
  <c r="C83" i="32" s="1"/>
  <c r="E83" i="32" s="1"/>
  <c r="G84" i="19"/>
  <c r="O81" i="19"/>
  <c r="O78" i="19"/>
  <c r="G73" i="19"/>
  <c r="T73" i="19" s="1"/>
  <c r="Y72" i="19"/>
  <c r="C71" i="32" s="1"/>
  <c r="G72" i="19"/>
  <c r="O69" i="19"/>
  <c r="O58" i="19"/>
  <c r="Y53" i="19"/>
  <c r="C52" i="32" s="1"/>
  <c r="E52" i="32" s="1"/>
  <c r="O44" i="19"/>
  <c r="Y41" i="19"/>
  <c r="C40" i="32" s="1"/>
  <c r="E40" i="32" s="1"/>
  <c r="G41" i="19"/>
  <c r="O40" i="19"/>
  <c r="Y37" i="19"/>
  <c r="C36" i="32" s="1"/>
  <c r="E36" i="32" s="1"/>
  <c r="G37" i="19"/>
  <c r="R37" i="19" s="1"/>
  <c r="U37" i="19" s="1"/>
  <c r="O36" i="19"/>
  <c r="G32" i="19"/>
  <c r="T32" i="19" s="1"/>
  <c r="Y27" i="19"/>
  <c r="C26" i="32" s="1"/>
  <c r="O27" i="19"/>
  <c r="R27" i="19" s="1"/>
  <c r="U27" i="19" s="1"/>
  <c r="G23" i="19"/>
  <c r="Y22" i="19"/>
  <c r="C21" i="32" s="1"/>
  <c r="G22" i="19"/>
  <c r="T22" i="19" s="1"/>
  <c r="Y19" i="19"/>
  <c r="C18" i="32" s="1"/>
  <c r="O19" i="19"/>
  <c r="E11" i="32"/>
  <c r="G12" i="19"/>
  <c r="G8" i="19"/>
  <c r="T8" i="19" s="1"/>
  <c r="E187" i="32"/>
  <c r="Y314" i="19"/>
  <c r="C313" i="32" s="1"/>
  <c r="G313" i="19"/>
  <c r="T313" i="19" s="1"/>
  <c r="G314" i="19"/>
  <c r="Y313" i="19"/>
  <c r="C312" i="32" s="1"/>
  <c r="O310" i="19"/>
  <c r="G309" i="19"/>
  <c r="G308" i="19"/>
  <c r="T308" i="19" s="1"/>
  <c r="O307" i="19"/>
  <c r="G294" i="19"/>
  <c r="Y293" i="19"/>
  <c r="C292" i="32" s="1"/>
  <c r="Y288" i="19"/>
  <c r="C287" i="32" s="1"/>
  <c r="O287" i="19"/>
  <c r="O284" i="19"/>
  <c r="G283" i="19"/>
  <c r="Y282" i="19"/>
  <c r="C281" i="32" s="1"/>
  <c r="O281" i="19"/>
  <c r="Y272" i="19"/>
  <c r="C271" i="32" s="1"/>
  <c r="G270" i="19"/>
  <c r="R270" i="19" s="1"/>
  <c r="U270" i="19" s="1"/>
  <c r="Y269" i="19"/>
  <c r="C268" i="32" s="1"/>
  <c r="E268" i="32" s="1"/>
  <c r="Y251" i="19"/>
  <c r="C250" i="32" s="1"/>
  <c r="E243" i="32"/>
  <c r="G244" i="19"/>
  <c r="O228" i="19"/>
  <c r="Y226" i="19"/>
  <c r="C225" i="32" s="1"/>
  <c r="G225" i="19"/>
  <c r="T225" i="19" s="1"/>
  <c r="Y222" i="19"/>
  <c r="C221" i="32" s="1"/>
  <c r="E221" i="32" s="1"/>
  <c r="G221" i="19"/>
  <c r="T221" i="19" s="1"/>
  <c r="Y218" i="19"/>
  <c r="C217" i="32" s="1"/>
  <c r="E217" i="32" s="1"/>
  <c r="G217" i="19"/>
  <c r="R217" i="19" s="1"/>
  <c r="U217" i="19" s="1"/>
  <c r="G214" i="19"/>
  <c r="O209" i="19"/>
  <c r="O205" i="19"/>
  <c r="O201" i="19"/>
  <c r="R201" i="19" s="1"/>
  <c r="U201" i="19" s="1"/>
  <c r="G199" i="19"/>
  <c r="T199" i="19" s="1"/>
  <c r="Y196" i="19"/>
  <c r="C195" i="32" s="1"/>
  <c r="O189" i="19"/>
  <c r="O188" i="19"/>
  <c r="G187" i="19"/>
  <c r="T187" i="19" s="1"/>
  <c r="G185" i="19"/>
  <c r="R185" i="19" s="1"/>
  <c r="U185" i="19" s="1"/>
  <c r="G175" i="19"/>
  <c r="T175" i="19" s="1"/>
  <c r="Y174" i="19"/>
  <c r="C173" i="32" s="1"/>
  <c r="O173" i="19"/>
  <c r="Y167" i="19"/>
  <c r="C166" i="32" s="1"/>
  <c r="G165" i="19"/>
  <c r="Y164" i="19"/>
  <c r="C163" i="32" s="1"/>
  <c r="G164" i="19"/>
  <c r="O156" i="19"/>
  <c r="G154" i="19"/>
  <c r="T154" i="19" s="1"/>
  <c r="G152" i="19"/>
  <c r="G151" i="19"/>
  <c r="R151" i="19" s="1"/>
  <c r="U151" i="19" s="1"/>
  <c r="G148" i="19"/>
  <c r="T148" i="19" s="1"/>
  <c r="G144" i="19"/>
  <c r="R144" i="19" s="1"/>
  <c r="U144" i="19" s="1"/>
  <c r="G143" i="19"/>
  <c r="O141" i="19"/>
  <c r="O122" i="19"/>
  <c r="O119" i="19"/>
  <c r="O101" i="19"/>
  <c r="O97" i="19"/>
  <c r="Y95" i="19"/>
  <c r="C94" i="32" s="1"/>
  <c r="G80" i="19"/>
  <c r="R80" i="19" s="1"/>
  <c r="U80" i="19" s="1"/>
  <c r="G79" i="19"/>
  <c r="T79" i="19" s="1"/>
  <c r="O77" i="19"/>
  <c r="O76" i="19"/>
  <c r="Y74" i="19"/>
  <c r="C73" i="32" s="1"/>
  <c r="E73" i="32" s="1"/>
  <c r="Y63" i="19"/>
  <c r="C62" i="32" s="1"/>
  <c r="O63" i="19"/>
  <c r="G59" i="19"/>
  <c r="T59" i="19" s="1"/>
  <c r="G47" i="19"/>
  <c r="Y46" i="19"/>
  <c r="C45" i="32" s="1"/>
  <c r="E45" i="32" s="1"/>
  <c r="G46" i="19"/>
  <c r="T46" i="19" s="1"/>
  <c r="O43" i="19"/>
  <c r="O39" i="19"/>
  <c r="R39" i="19" s="1"/>
  <c r="U39" i="19" s="1"/>
  <c r="O35" i="19"/>
  <c r="R35" i="19" s="1"/>
  <c r="U35" i="19" s="1"/>
  <c r="Y33" i="19"/>
  <c r="C32" i="32" s="1"/>
  <c r="E32" i="32" s="1"/>
  <c r="O18" i="19"/>
  <c r="Y13" i="19"/>
  <c r="C12" i="32" s="1"/>
  <c r="E90" i="32"/>
  <c r="E261" i="32"/>
  <c r="E186" i="32"/>
  <c r="G302" i="19"/>
  <c r="T302" i="19" s="1"/>
  <c r="G291" i="19"/>
  <c r="G289" i="19"/>
  <c r="G288" i="19"/>
  <c r="G278" i="19"/>
  <c r="T273" i="19"/>
  <c r="G263" i="19"/>
  <c r="G261" i="19"/>
  <c r="R261" i="19" s="1"/>
  <c r="U261" i="19" s="1"/>
  <c r="G260" i="19"/>
  <c r="R260" i="19" s="1"/>
  <c r="U260" i="19" s="1"/>
  <c r="Y207" i="19"/>
  <c r="C206" i="32" s="1"/>
  <c r="Y203" i="19"/>
  <c r="C202" i="32" s="1"/>
  <c r="Y199" i="19"/>
  <c r="C198" i="32" s="1"/>
  <c r="O171" i="19"/>
  <c r="Y154" i="19"/>
  <c r="C153" i="32" s="1"/>
  <c r="E153" i="32" s="1"/>
  <c r="G138" i="19"/>
  <c r="T138" i="19" s="1"/>
  <c r="G136" i="19"/>
  <c r="G135" i="19"/>
  <c r="G132" i="19"/>
  <c r="G128" i="19"/>
  <c r="R128" i="19" s="1"/>
  <c r="U128" i="19" s="1"/>
  <c r="G127" i="19"/>
  <c r="Y119" i="19"/>
  <c r="C118" i="32" s="1"/>
  <c r="G114" i="19"/>
  <c r="T114" i="19" s="1"/>
  <c r="G112" i="19"/>
  <c r="G111" i="19"/>
  <c r="G108" i="19"/>
  <c r="G106" i="19"/>
  <c r="O104" i="19"/>
  <c r="O100" i="19"/>
  <c r="G89" i="19"/>
  <c r="T89" i="19" s="1"/>
  <c r="Y88" i="19"/>
  <c r="C87" i="32" s="1"/>
  <c r="E87" i="32" s="1"/>
  <c r="G88" i="19"/>
  <c r="T88" i="19" s="1"/>
  <c r="O85" i="19"/>
  <c r="G81" i="19"/>
  <c r="Y80" i="19"/>
  <c r="C79" i="32" s="1"/>
  <c r="G58" i="19"/>
  <c r="T58" i="19" s="1"/>
  <c r="Y57" i="19"/>
  <c r="C56" i="32" s="1"/>
  <c r="E56" i="32" s="1"/>
  <c r="O53" i="19"/>
  <c r="R53" i="19" s="1"/>
  <c r="U53" i="19" s="1"/>
  <c r="G52" i="19"/>
  <c r="T52" i="19" s="1"/>
  <c r="G50" i="19"/>
  <c r="R50" i="19" s="1"/>
  <c r="U50" i="19" s="1"/>
  <c r="O42" i="19"/>
  <c r="O38" i="19"/>
  <c r="G27" i="19"/>
  <c r="Y26" i="19"/>
  <c r="C25" i="32" s="1"/>
  <c r="G26" i="19"/>
  <c r="T26" i="19" s="1"/>
  <c r="E22" i="32"/>
  <c r="O23" i="19"/>
  <c r="R23" i="19" s="1"/>
  <c r="U23" i="19" s="1"/>
  <c r="G19" i="19"/>
  <c r="Y18" i="19"/>
  <c r="C17" i="32" s="1"/>
  <c r="Y16" i="19"/>
  <c r="C15" i="32" s="1"/>
  <c r="E295" i="32"/>
  <c r="E191" i="32"/>
  <c r="E143" i="32"/>
  <c r="E123" i="32"/>
  <c r="E108" i="32"/>
  <c r="Y281" i="19"/>
  <c r="C280" i="32" s="1"/>
  <c r="O278" i="19"/>
  <c r="Y276" i="19"/>
  <c r="C275" i="32" s="1"/>
  <c r="G274" i="19"/>
  <c r="T274" i="19" s="1"/>
  <c r="Y273" i="19"/>
  <c r="C272" i="32" s="1"/>
  <c r="O271" i="19"/>
  <c r="O268" i="19"/>
  <c r="R268" i="19" s="1"/>
  <c r="U268" i="19" s="1"/>
  <c r="Y266" i="19"/>
  <c r="C265" i="32" s="1"/>
  <c r="G264" i="19"/>
  <c r="O263" i="19"/>
  <c r="G257" i="19"/>
  <c r="Y247" i="19"/>
  <c r="C246" i="32" s="1"/>
  <c r="Y242" i="19"/>
  <c r="C241" i="32" s="1"/>
  <c r="E241" i="32" s="1"/>
  <c r="Y241" i="19"/>
  <c r="C240" i="32" s="1"/>
  <c r="G241" i="19"/>
  <c r="T241" i="19" s="1"/>
  <c r="Y237" i="19"/>
  <c r="C236" i="32" s="1"/>
  <c r="Y234" i="19"/>
  <c r="C233" i="32" s="1"/>
  <c r="Y223" i="19"/>
  <c r="C222" i="32" s="1"/>
  <c r="Y219" i="19"/>
  <c r="C218" i="32" s="1"/>
  <c r="Y215" i="19"/>
  <c r="C214" i="32" s="1"/>
  <c r="Y210" i="19"/>
  <c r="C209" i="32" s="1"/>
  <c r="E209" i="32" s="1"/>
  <c r="Y209" i="19"/>
  <c r="C208" i="32" s="1"/>
  <c r="E208" i="32" s="1"/>
  <c r="Y202" i="19"/>
  <c r="C201" i="32" s="1"/>
  <c r="E201" i="32" s="1"/>
  <c r="G201" i="19"/>
  <c r="O199" i="19"/>
  <c r="G183" i="19"/>
  <c r="T183" i="19" s="1"/>
  <c r="Y175" i="19"/>
  <c r="C174" i="32" s="1"/>
  <c r="O151" i="19"/>
  <c r="Y150" i="19"/>
  <c r="C149" i="32" s="1"/>
  <c r="E149" i="32" s="1"/>
  <c r="Y146" i="19"/>
  <c r="C145" i="32" s="1"/>
  <c r="E145" i="32" s="1"/>
  <c r="Y141" i="19"/>
  <c r="C140" i="32" s="1"/>
  <c r="Y134" i="19"/>
  <c r="C133" i="32" s="1"/>
  <c r="Y130" i="19"/>
  <c r="C129" i="32" s="1"/>
  <c r="O127" i="19"/>
  <c r="Y126" i="19"/>
  <c r="C125" i="32" s="1"/>
  <c r="Y120" i="19"/>
  <c r="C119" i="32" s="1"/>
  <c r="O114" i="19"/>
  <c r="Y110" i="19"/>
  <c r="C109" i="32" s="1"/>
  <c r="E109" i="32" s="1"/>
  <c r="O106" i="19"/>
  <c r="G103" i="19"/>
  <c r="T103" i="19" s="1"/>
  <c r="Y100" i="19"/>
  <c r="C99" i="32" s="1"/>
  <c r="G100" i="19"/>
  <c r="Y96" i="19"/>
  <c r="C95" i="32" s="1"/>
  <c r="O94" i="19"/>
  <c r="G90" i="19"/>
  <c r="T90" i="19" s="1"/>
  <c r="G86" i="19"/>
  <c r="R86" i="19" s="1"/>
  <c r="U86" i="19" s="1"/>
  <c r="Y85" i="19"/>
  <c r="C84" i="32" s="1"/>
  <c r="G82" i="19"/>
  <c r="T82" i="19" s="1"/>
  <c r="Y81" i="19"/>
  <c r="C80" i="32" s="1"/>
  <c r="Y76" i="19"/>
  <c r="C75" i="32" s="1"/>
  <c r="E75" i="32" s="1"/>
  <c r="G74" i="19"/>
  <c r="T74" i="19" s="1"/>
  <c r="Y73" i="19"/>
  <c r="C72" i="32" s="1"/>
  <c r="G70" i="19"/>
  <c r="T70" i="19" s="1"/>
  <c r="O67" i="19"/>
  <c r="Y58" i="19"/>
  <c r="C57" i="32" s="1"/>
  <c r="E57" i="32" s="1"/>
  <c r="G57" i="19"/>
  <c r="O56" i="19"/>
  <c r="G53" i="19"/>
  <c r="O52" i="19"/>
  <c r="Y48" i="19"/>
  <c r="C47" i="32" s="1"/>
  <c r="G48" i="19"/>
  <c r="T48" i="19" s="1"/>
  <c r="Y43" i="19"/>
  <c r="C42" i="32" s="1"/>
  <c r="Y42" i="19"/>
  <c r="C41" i="32" s="1"/>
  <c r="E41" i="32" s="1"/>
  <c r="G42" i="19"/>
  <c r="T42" i="19" s="1"/>
  <c r="Y39" i="19"/>
  <c r="C38" i="32" s="1"/>
  <c r="Y38" i="19"/>
  <c r="C37" i="32" s="1"/>
  <c r="G38" i="19"/>
  <c r="Y35" i="19"/>
  <c r="C34" i="32" s="1"/>
  <c r="Y34" i="19"/>
  <c r="C33" i="32" s="1"/>
  <c r="G33" i="19"/>
  <c r="R33" i="19" s="1"/>
  <c r="U33" i="19" s="1"/>
  <c r="Y28" i="19"/>
  <c r="C27" i="32" s="1"/>
  <c r="E27" i="32" s="1"/>
  <c r="G28" i="19"/>
  <c r="G24" i="19"/>
  <c r="G20" i="19"/>
  <c r="G18" i="19"/>
  <c r="O16" i="19"/>
  <c r="R16" i="19" s="1"/>
  <c r="U16" i="19" s="1"/>
  <c r="G13" i="19"/>
  <c r="O9" i="19"/>
  <c r="R9" i="19" s="1"/>
  <c r="U9" i="19" s="1"/>
  <c r="Y8" i="19"/>
  <c r="C7" i="32" s="1"/>
  <c r="E7" i="32" s="1"/>
  <c r="G282" i="19"/>
  <c r="G272" i="19"/>
  <c r="G267" i="19"/>
  <c r="T267" i="19" s="1"/>
  <c r="G265" i="19"/>
  <c r="T265" i="19" s="1"/>
  <c r="O260" i="19"/>
  <c r="G259" i="19"/>
  <c r="R259" i="19" s="1"/>
  <c r="U259" i="19" s="1"/>
  <c r="O250" i="19"/>
  <c r="R250" i="19" s="1"/>
  <c r="U250" i="19" s="1"/>
  <c r="G247" i="19"/>
  <c r="T247" i="19" s="1"/>
  <c r="Y238" i="19"/>
  <c r="C237" i="32" s="1"/>
  <c r="G237" i="19"/>
  <c r="T237" i="19" s="1"/>
  <c r="Y233" i="19"/>
  <c r="C232" i="32" s="1"/>
  <c r="E232" i="32" s="1"/>
  <c r="G233" i="19"/>
  <c r="R233" i="19" s="1"/>
  <c r="U233" i="19" s="1"/>
  <c r="O231" i="19"/>
  <c r="G228" i="19"/>
  <c r="R228" i="19" s="1"/>
  <c r="U228" i="19" s="1"/>
  <c r="G215" i="19"/>
  <c r="T215" i="19" s="1"/>
  <c r="G209" i="19"/>
  <c r="T209" i="19" s="1"/>
  <c r="Y206" i="19"/>
  <c r="C205" i="32" s="1"/>
  <c r="Y205" i="19"/>
  <c r="C204" i="32" s="1"/>
  <c r="G205" i="19"/>
  <c r="T205" i="19" s="1"/>
  <c r="Y201" i="19"/>
  <c r="C200" i="32" s="1"/>
  <c r="G196" i="19"/>
  <c r="Y191" i="19"/>
  <c r="C190" i="32" s="1"/>
  <c r="G188" i="19"/>
  <c r="T188" i="19" s="1"/>
  <c r="O187" i="19"/>
  <c r="Y183" i="19"/>
  <c r="C182" i="32" s="1"/>
  <c r="O177" i="19"/>
  <c r="R177" i="19" s="1"/>
  <c r="U177" i="19" s="1"/>
  <c r="O175" i="19"/>
  <c r="R175" i="19" s="1"/>
  <c r="U175" i="19" s="1"/>
  <c r="G174" i="19"/>
  <c r="R174" i="19" s="1"/>
  <c r="U174" i="19" s="1"/>
  <c r="G169" i="19"/>
  <c r="R169" i="19" s="1"/>
  <c r="U169" i="19" s="1"/>
  <c r="Y168" i="19"/>
  <c r="C167" i="32" s="1"/>
  <c r="G168" i="19"/>
  <c r="T168" i="19" s="1"/>
  <c r="O166" i="19"/>
  <c r="O161" i="19"/>
  <c r="G158" i="19"/>
  <c r="Y157" i="19"/>
  <c r="C156" i="32" s="1"/>
  <c r="E156" i="32" s="1"/>
  <c r="G156" i="19"/>
  <c r="T156" i="19" s="1"/>
  <c r="G155" i="19"/>
  <c r="O154" i="19"/>
  <c r="R154" i="19" s="1"/>
  <c r="U154" i="19" s="1"/>
  <c r="O147" i="19"/>
  <c r="G142" i="19"/>
  <c r="T142" i="19" s="1"/>
  <c r="G140" i="19"/>
  <c r="G139" i="19"/>
  <c r="O138" i="19"/>
  <c r="O135" i="19"/>
  <c r="R135" i="19" s="1"/>
  <c r="U135" i="19" s="1"/>
  <c r="O131" i="19"/>
  <c r="O118" i="19"/>
  <c r="R118" i="19" s="1"/>
  <c r="U118" i="19" s="1"/>
  <c r="O111" i="19"/>
  <c r="R111" i="19" s="1"/>
  <c r="U111" i="19" s="1"/>
  <c r="O314" i="19"/>
  <c r="Y312" i="19"/>
  <c r="C311" i="32" s="1"/>
  <c r="G310" i="19"/>
  <c r="Y309" i="19"/>
  <c r="C308" i="32" s="1"/>
  <c r="O306" i="19"/>
  <c r="O304" i="19"/>
  <c r="G303" i="19"/>
  <c r="R303" i="19" s="1"/>
  <c r="U303" i="19" s="1"/>
  <c r="Y302" i="19"/>
  <c r="C301" i="32" s="1"/>
  <c r="G301" i="19"/>
  <c r="T301" i="19" s="1"/>
  <c r="G300" i="19"/>
  <c r="O299" i="19"/>
  <c r="O296" i="19"/>
  <c r="G295" i="19"/>
  <c r="R295" i="19" s="1"/>
  <c r="U295" i="19" s="1"/>
  <c r="Y294" i="19"/>
  <c r="C293" i="32" s="1"/>
  <c r="G293" i="19"/>
  <c r="R293" i="19" s="1"/>
  <c r="U293" i="19" s="1"/>
  <c r="G292" i="19"/>
  <c r="O291" i="19"/>
  <c r="O288" i="19"/>
  <c r="G287" i="19"/>
  <c r="Y286" i="19"/>
  <c r="C285" i="32" s="1"/>
  <c r="G285" i="19"/>
  <c r="G284" i="19"/>
  <c r="R284" i="19" s="1"/>
  <c r="U284" i="19" s="1"/>
  <c r="O283" i="19"/>
  <c r="R283" i="19" s="1"/>
  <c r="U283" i="19" s="1"/>
  <c r="O280" i="19"/>
  <c r="G279" i="19"/>
  <c r="R279" i="19" s="1"/>
  <c r="U279" i="19" s="1"/>
  <c r="Y278" i="19"/>
  <c r="C277" i="32" s="1"/>
  <c r="G277" i="19"/>
  <c r="G276" i="19"/>
  <c r="T276" i="19" s="1"/>
  <c r="O275" i="19"/>
  <c r="O270" i="19"/>
  <c r="Y268" i="19"/>
  <c r="C267" i="32" s="1"/>
  <c r="G266" i="19"/>
  <c r="T266" i="19" s="1"/>
  <c r="Y265" i="19"/>
  <c r="C264" i="32" s="1"/>
  <c r="O262" i="19"/>
  <c r="Y260" i="19"/>
  <c r="C259" i="32" s="1"/>
  <c r="G258" i="19"/>
  <c r="R258" i="19" s="1"/>
  <c r="U258" i="19" s="1"/>
  <c r="O256" i="19"/>
  <c r="O254" i="19"/>
  <c r="G251" i="19"/>
  <c r="Y248" i="19"/>
  <c r="C247" i="32" s="1"/>
  <c r="Y243" i="19"/>
  <c r="C242" i="32" s="1"/>
  <c r="G243" i="19"/>
  <c r="O240" i="19"/>
  <c r="G239" i="19"/>
  <c r="O236" i="19"/>
  <c r="O232" i="19"/>
  <c r="R232" i="19" s="1"/>
  <c r="U232" i="19" s="1"/>
  <c r="Y230" i="19"/>
  <c r="C229" i="32" s="1"/>
  <c r="E229" i="32" s="1"/>
  <c r="Y229" i="19"/>
  <c r="C228" i="32" s="1"/>
  <c r="E228" i="32" s="1"/>
  <c r="G229" i="19"/>
  <c r="T229" i="19" s="1"/>
  <c r="O227" i="19"/>
  <c r="R227" i="19" s="1"/>
  <c r="U227" i="19" s="1"/>
  <c r="G224" i="19"/>
  <c r="O223" i="19"/>
  <c r="R223" i="19" s="1"/>
  <c r="U223" i="19" s="1"/>
  <c r="G220" i="19"/>
  <c r="R220" i="19" s="1"/>
  <c r="U220" i="19" s="1"/>
  <c r="O219" i="19"/>
  <c r="G216" i="19"/>
  <c r="R216" i="19" s="1"/>
  <c r="U216" i="19" s="1"/>
  <c r="Y211" i="19"/>
  <c r="C210" i="32" s="1"/>
  <c r="G211" i="19"/>
  <c r="O208" i="19"/>
  <c r="G207" i="19"/>
  <c r="O204" i="19"/>
  <c r="G203" i="19"/>
  <c r="T203" i="19" s="1"/>
  <c r="O200" i="19"/>
  <c r="R200" i="19" s="1"/>
  <c r="U200" i="19" s="1"/>
  <c r="Y198" i="19"/>
  <c r="C197" i="32" s="1"/>
  <c r="E197" i="32" s="1"/>
  <c r="Y197" i="19"/>
  <c r="C196" i="32" s="1"/>
  <c r="G197" i="19"/>
  <c r="T197" i="19" s="1"/>
  <c r="O195" i="19"/>
  <c r="G192" i="19"/>
  <c r="R192" i="19" s="1"/>
  <c r="U192" i="19" s="1"/>
  <c r="O191" i="19"/>
  <c r="Y189" i="19"/>
  <c r="C188" i="32" s="1"/>
  <c r="E188" i="32" s="1"/>
  <c r="G189" i="19"/>
  <c r="T189" i="19" s="1"/>
  <c r="Y186" i="19"/>
  <c r="C185" i="32" s="1"/>
  <c r="E185" i="32" s="1"/>
  <c r="Y185" i="19"/>
  <c r="C184" i="32" s="1"/>
  <c r="E184" i="32" s="1"/>
  <c r="G184" i="19"/>
  <c r="G180" i="19"/>
  <c r="O179" i="19"/>
  <c r="Y177" i="19"/>
  <c r="C176" i="32" s="1"/>
  <c r="O176" i="19"/>
  <c r="G173" i="19"/>
  <c r="T173" i="19" s="1"/>
  <c r="Y172" i="19"/>
  <c r="C171" i="32" s="1"/>
  <c r="G172" i="19"/>
  <c r="O170" i="19"/>
  <c r="O167" i="19"/>
  <c r="O165" i="19"/>
  <c r="O163" i="19"/>
  <c r="G162" i="19"/>
  <c r="R162" i="19" s="1"/>
  <c r="U162" i="19" s="1"/>
  <c r="Y161" i="19"/>
  <c r="C160" i="32" s="1"/>
  <c r="O159" i="19"/>
  <c r="Y158" i="19"/>
  <c r="C157" i="32" s="1"/>
  <c r="Y152" i="19"/>
  <c r="C151" i="32" s="1"/>
  <c r="O150" i="19"/>
  <c r="O146" i="19"/>
  <c r="O143" i="19"/>
  <c r="Y142" i="19"/>
  <c r="C141" i="32" s="1"/>
  <c r="E141" i="32" s="1"/>
  <c r="Y136" i="19"/>
  <c r="C135" i="32" s="1"/>
  <c r="O134" i="19"/>
  <c r="O130" i="19"/>
  <c r="O126" i="19"/>
  <c r="Y122" i="19"/>
  <c r="C121" i="32" s="1"/>
  <c r="E121" i="32" s="1"/>
  <c r="G122" i="19"/>
  <c r="T122" i="19" s="1"/>
  <c r="G120" i="19"/>
  <c r="T120" i="19" s="1"/>
  <c r="G119" i="19"/>
  <c r="R119" i="19" s="1"/>
  <c r="U119" i="19" s="1"/>
  <c r="Y116" i="19"/>
  <c r="C115" i="32" s="1"/>
  <c r="G116" i="19"/>
  <c r="T116" i="19" s="1"/>
  <c r="Y112" i="19"/>
  <c r="C111" i="32" s="1"/>
  <c r="O110" i="19"/>
  <c r="Y107" i="19"/>
  <c r="C106" i="32" s="1"/>
  <c r="O105" i="19"/>
  <c r="R105" i="19" s="1"/>
  <c r="U105" i="19" s="1"/>
  <c r="G102" i="19"/>
  <c r="T102" i="19" s="1"/>
  <c r="Y101" i="19"/>
  <c r="C100" i="32" s="1"/>
  <c r="G98" i="19"/>
  <c r="T98" i="19" s="1"/>
  <c r="Y97" i="19"/>
  <c r="C96" i="32" s="1"/>
  <c r="E96" i="32" s="1"/>
  <c r="G96" i="19"/>
  <c r="R96" i="19" s="1"/>
  <c r="U96" i="19" s="1"/>
  <c r="G95" i="19"/>
  <c r="Y92" i="19"/>
  <c r="C91" i="32" s="1"/>
  <c r="E91" i="32" s="1"/>
  <c r="O87" i="19"/>
  <c r="O83" i="19"/>
  <c r="G78" i="19"/>
  <c r="T78" i="19" s="1"/>
  <c r="O75" i="19"/>
  <c r="O72" i="19"/>
  <c r="R72" i="19" s="1"/>
  <c r="U72" i="19" s="1"/>
  <c r="F71" i="32" s="1"/>
  <c r="O68" i="19"/>
  <c r="Y66" i="19"/>
  <c r="C65" i="32" s="1"/>
  <c r="O66" i="19"/>
  <c r="G60" i="19"/>
  <c r="Y55" i="19"/>
  <c r="C54" i="32" s="1"/>
  <c r="Y54" i="19"/>
  <c r="C53" i="32" s="1"/>
  <c r="G54" i="19"/>
  <c r="T54" i="19" s="1"/>
  <c r="Y51" i="19"/>
  <c r="C50" i="32" s="1"/>
  <c r="Y50" i="19"/>
  <c r="C49" i="32" s="1"/>
  <c r="G49" i="19"/>
  <c r="Y44" i="19"/>
  <c r="C43" i="32" s="1"/>
  <c r="E43" i="32" s="1"/>
  <c r="G44" i="19"/>
  <c r="O41" i="19"/>
  <c r="R41" i="19" s="1"/>
  <c r="U41" i="19" s="1"/>
  <c r="G40" i="19"/>
  <c r="R40" i="19" s="1"/>
  <c r="U40" i="19" s="1"/>
  <c r="O37" i="19"/>
  <c r="G36" i="19"/>
  <c r="R36" i="19" s="1"/>
  <c r="U36" i="19" s="1"/>
  <c r="G34" i="19"/>
  <c r="O32" i="19"/>
  <c r="G29" i="19"/>
  <c r="Y24" i="19"/>
  <c r="C23" i="32" s="1"/>
  <c r="Y20" i="19"/>
  <c r="C19" i="32" s="1"/>
  <c r="O17" i="19"/>
  <c r="R17" i="19" s="1"/>
  <c r="U17" i="19" s="1"/>
  <c r="Y14" i="19"/>
  <c r="C13" i="32" s="1"/>
  <c r="G14" i="19"/>
  <c r="T14" i="19" s="1"/>
  <c r="O12" i="19"/>
  <c r="G9" i="19"/>
  <c r="O8" i="19"/>
  <c r="R8" i="19" s="1"/>
  <c r="U8" i="19" s="1"/>
  <c r="T158" i="19"/>
  <c r="C71" i="33"/>
  <c r="C71" i="12"/>
  <c r="E204" i="32"/>
  <c r="E200" i="32"/>
  <c r="E196" i="32"/>
  <c r="E192" i="32"/>
  <c r="E125" i="32"/>
  <c r="E310" i="32"/>
  <c r="E298" i="32"/>
  <c r="E290" i="32"/>
  <c r="E282" i="32"/>
  <c r="E270" i="32"/>
  <c r="E266" i="32"/>
  <c r="E248" i="32"/>
  <c r="E244" i="32"/>
  <c r="E240" i="32"/>
  <c r="E224" i="32"/>
  <c r="E161" i="32"/>
  <c r="E133" i="32"/>
  <c r="E236" i="32"/>
  <c r="E220" i="32"/>
  <c r="E237" i="32"/>
  <c r="E233" i="32"/>
  <c r="E225" i="32"/>
  <c r="E205" i="32"/>
  <c r="E189" i="32"/>
  <c r="E165" i="32"/>
  <c r="E140" i="32"/>
  <c r="E105" i="32"/>
  <c r="E71" i="32"/>
  <c r="E132" i="32"/>
  <c r="E117" i="32"/>
  <c r="E101" i="32"/>
  <c r="E84" i="32"/>
  <c r="E12" i="32"/>
  <c r="E173" i="32"/>
  <c r="E157" i="32"/>
  <c r="E129" i="32"/>
  <c r="E113" i="32"/>
  <c r="E28" i="32"/>
  <c r="E80" i="32"/>
  <c r="E48" i="32"/>
  <c r="E23" i="32"/>
  <c r="E16" i="32"/>
  <c r="E72" i="32"/>
  <c r="E24" i="32"/>
  <c r="E15" i="32"/>
  <c r="E8" i="32"/>
  <c r="E81" i="32"/>
  <c r="E65" i="32"/>
  <c r="E37" i="32"/>
  <c r="E33" i="32"/>
  <c r="T310" i="19"/>
  <c r="T285" i="19"/>
  <c r="R285" i="19"/>
  <c r="U285" i="19" s="1"/>
  <c r="T312" i="19"/>
  <c r="R307" i="19"/>
  <c r="U307" i="19" s="1"/>
  <c r="T307" i="19"/>
  <c r="R294" i="19"/>
  <c r="U294" i="19" s="1"/>
  <c r="T294" i="19"/>
  <c r="T286" i="19"/>
  <c r="R278" i="19"/>
  <c r="U278" i="19" s="1"/>
  <c r="T278" i="19"/>
  <c r="T271" i="19"/>
  <c r="T268" i="19"/>
  <c r="R263" i="19"/>
  <c r="U263" i="19" s="1"/>
  <c r="T263" i="19"/>
  <c r="T250" i="19"/>
  <c r="T190" i="19"/>
  <c r="T178" i="19"/>
  <c r="R300" i="19"/>
  <c r="U300" i="19" s="1"/>
  <c r="T300" i="19"/>
  <c r="T295" i="19"/>
  <c r="R287" i="19"/>
  <c r="U287" i="19" s="1"/>
  <c r="T287" i="19"/>
  <c r="R306" i="19"/>
  <c r="U306" i="19" s="1"/>
  <c r="T306" i="19"/>
  <c r="R304" i="19"/>
  <c r="U304" i="19" s="1"/>
  <c r="T304" i="19"/>
  <c r="R299" i="19"/>
  <c r="U299" i="19" s="1"/>
  <c r="T299" i="19"/>
  <c r="T289" i="19"/>
  <c r="R289" i="19"/>
  <c r="U289" i="19" s="1"/>
  <c r="R288" i="19"/>
  <c r="U288" i="19" s="1"/>
  <c r="T288" i="19"/>
  <c r="T283" i="19"/>
  <c r="T292" i="19"/>
  <c r="T284" i="19"/>
  <c r="T277" i="19"/>
  <c r="T311" i="19"/>
  <c r="T309" i="19"/>
  <c r="R298" i="19"/>
  <c r="U298" i="19" s="1"/>
  <c r="T298" i="19"/>
  <c r="T282" i="19"/>
  <c r="R282" i="19"/>
  <c r="U282" i="19" s="1"/>
  <c r="R274" i="19"/>
  <c r="U274" i="19" s="1"/>
  <c r="R272" i="19"/>
  <c r="U272" i="19" s="1"/>
  <c r="T272" i="19"/>
  <c r="R267" i="19"/>
  <c r="U267" i="19" s="1"/>
  <c r="T264" i="19"/>
  <c r="R264" i="19"/>
  <c r="U264" i="19" s="1"/>
  <c r="T257" i="19"/>
  <c r="R170" i="19"/>
  <c r="U170" i="19" s="1"/>
  <c r="T170" i="19"/>
  <c r="R161" i="19"/>
  <c r="U161" i="19" s="1"/>
  <c r="T111" i="19"/>
  <c r="R273" i="19"/>
  <c r="U273" i="19" s="1"/>
  <c r="T253" i="19"/>
  <c r="T249" i="19"/>
  <c r="R224" i="19"/>
  <c r="U224" i="19" s="1"/>
  <c r="T224" i="19"/>
  <c r="R221" i="19"/>
  <c r="U221" i="19" s="1"/>
  <c r="R208" i="19"/>
  <c r="U208" i="19" s="1"/>
  <c r="T208" i="19"/>
  <c r="T194" i="19"/>
  <c r="R180" i="19"/>
  <c r="U180" i="19" s="1"/>
  <c r="T180" i="19"/>
  <c r="T177" i="19"/>
  <c r="T172" i="19"/>
  <c r="R172" i="19"/>
  <c r="U172" i="19" s="1"/>
  <c r="T164" i="19"/>
  <c r="R150" i="19"/>
  <c r="U150" i="19" s="1"/>
  <c r="T150" i="19"/>
  <c r="T149" i="19"/>
  <c r="R149" i="19"/>
  <c r="U149" i="19" s="1"/>
  <c r="T132" i="19"/>
  <c r="R132" i="19"/>
  <c r="U132" i="19" s="1"/>
  <c r="T105" i="19"/>
  <c r="R236" i="19"/>
  <c r="U236" i="19" s="1"/>
  <c r="T236" i="19"/>
  <c r="R222" i="19"/>
  <c r="U222" i="19" s="1"/>
  <c r="T160" i="19"/>
  <c r="R160" i="19"/>
  <c r="U160" i="19" s="1"/>
  <c r="Y257" i="19"/>
  <c r="C256" i="32" s="1"/>
  <c r="O255" i="19"/>
  <c r="R253" i="19"/>
  <c r="U253" i="19" s="1"/>
  <c r="O251" i="19"/>
  <c r="R246" i="19"/>
  <c r="U246" i="19" s="1"/>
  <c r="R244" i="19"/>
  <c r="U244" i="19" s="1"/>
  <c r="T244" i="19"/>
  <c r="R231" i="19"/>
  <c r="U231" i="19" s="1"/>
  <c r="T230" i="19"/>
  <c r="R230" i="19"/>
  <c r="U230" i="19" s="1"/>
  <c r="R225" i="19"/>
  <c r="U225" i="19" s="1"/>
  <c r="T214" i="19"/>
  <c r="R214" i="19"/>
  <c r="U214" i="19" s="1"/>
  <c r="R212" i="19"/>
  <c r="U212" i="19" s="1"/>
  <c r="T212" i="19"/>
  <c r="T198" i="19"/>
  <c r="R198" i="19"/>
  <c r="U198" i="19" s="1"/>
  <c r="R193" i="19"/>
  <c r="U193" i="19" s="1"/>
  <c r="R183" i="19"/>
  <c r="U183" i="19" s="1"/>
  <c r="Y179" i="19"/>
  <c r="C178" i="32" s="1"/>
  <c r="T134" i="19"/>
  <c r="T133" i="19"/>
  <c r="R116" i="19"/>
  <c r="U116" i="19" s="1"/>
  <c r="R204" i="19"/>
  <c r="U204" i="19" s="1"/>
  <c r="T204" i="19"/>
  <c r="G256" i="19"/>
  <c r="Y254" i="19"/>
  <c r="C253" i="32" s="1"/>
  <c r="G252" i="19"/>
  <c r="Y250" i="19"/>
  <c r="C249" i="32" s="1"/>
  <c r="G248" i="19"/>
  <c r="R245" i="19"/>
  <c r="U245" i="19" s="1"/>
  <c r="T234" i="19"/>
  <c r="T232" i="19"/>
  <c r="T223" i="19"/>
  <c r="R213" i="19"/>
  <c r="U213" i="19" s="1"/>
  <c r="T207" i="19"/>
  <c r="R203" i="19"/>
  <c r="U203" i="19" s="1"/>
  <c r="T202" i="19"/>
  <c r="T201" i="19"/>
  <c r="T200" i="19"/>
  <c r="R197" i="19"/>
  <c r="U197" i="19" s="1"/>
  <c r="T191" i="19"/>
  <c r="R187" i="19"/>
  <c r="U187" i="19" s="1"/>
  <c r="R186" i="19"/>
  <c r="U186" i="19" s="1"/>
  <c r="T184" i="19"/>
  <c r="T179" i="19"/>
  <c r="T130" i="19"/>
  <c r="R127" i="19"/>
  <c r="U127" i="19" s="1"/>
  <c r="T127" i="19"/>
  <c r="T118" i="19"/>
  <c r="T95" i="19"/>
  <c r="O155" i="19"/>
  <c r="R155" i="19" s="1"/>
  <c r="U155" i="19" s="1"/>
  <c r="Y153" i="19"/>
  <c r="C152" i="32" s="1"/>
  <c r="T153" i="19"/>
  <c r="R153" i="19"/>
  <c r="U153" i="19" s="1"/>
  <c r="T152" i="19"/>
  <c r="G147" i="19"/>
  <c r="O139" i="19"/>
  <c r="R139" i="19" s="1"/>
  <c r="U139" i="19" s="1"/>
  <c r="Y137" i="19"/>
  <c r="C136" i="32" s="1"/>
  <c r="T137" i="19"/>
  <c r="T136" i="19"/>
  <c r="G131" i="19"/>
  <c r="O123" i="19"/>
  <c r="Y121" i="19"/>
  <c r="C120" i="32" s="1"/>
  <c r="T121" i="19"/>
  <c r="R121" i="19"/>
  <c r="U121" i="19" s="1"/>
  <c r="G115" i="19"/>
  <c r="T108" i="19"/>
  <c r="T104" i="19"/>
  <c r="R104" i="19"/>
  <c r="U104" i="19" s="1"/>
  <c r="T24" i="19"/>
  <c r="T23" i="19"/>
  <c r="R158" i="19"/>
  <c r="U158" i="19" s="1"/>
  <c r="R142" i="19"/>
  <c r="U142" i="19" s="1"/>
  <c r="T141" i="19"/>
  <c r="T140" i="19"/>
  <c r="T135" i="19"/>
  <c r="R126" i="19"/>
  <c r="U126" i="19" s="1"/>
  <c r="T125" i="19"/>
  <c r="R125" i="19"/>
  <c r="U125" i="19" s="1"/>
  <c r="T109" i="19"/>
  <c r="T100" i="19"/>
  <c r="R100" i="19"/>
  <c r="U100" i="19" s="1"/>
  <c r="T84" i="19"/>
  <c r="T39" i="19"/>
  <c r="Y173" i="19"/>
  <c r="C172" i="32" s="1"/>
  <c r="G171" i="19"/>
  <c r="Y169" i="19"/>
  <c r="C168" i="32" s="1"/>
  <c r="G167" i="19"/>
  <c r="T155" i="19"/>
  <c r="R146" i="19"/>
  <c r="U146" i="19" s="1"/>
  <c r="T145" i="19"/>
  <c r="T139" i="19"/>
  <c r="T129" i="19"/>
  <c r="R129" i="19"/>
  <c r="U129" i="19" s="1"/>
  <c r="T128" i="19"/>
  <c r="R123" i="19"/>
  <c r="U123" i="19" s="1"/>
  <c r="T112" i="19"/>
  <c r="R106" i="19"/>
  <c r="U106" i="19" s="1"/>
  <c r="T106" i="19"/>
  <c r="T62" i="19"/>
  <c r="R56" i="19"/>
  <c r="U56" i="19" s="1"/>
  <c r="T56" i="19"/>
  <c r="R55" i="19"/>
  <c r="U55" i="19" s="1"/>
  <c r="G99" i="19"/>
  <c r="O91" i="19"/>
  <c r="R90" i="19"/>
  <c r="U90" i="19" s="1"/>
  <c r="Y89" i="19"/>
  <c r="C88" i="32" s="1"/>
  <c r="E88" i="32" s="1"/>
  <c r="Y86" i="19"/>
  <c r="C85" i="32" s="1"/>
  <c r="G83" i="19"/>
  <c r="O79" i="19"/>
  <c r="Y77" i="19"/>
  <c r="C76" i="32" s="1"/>
  <c r="E76" i="32" s="1"/>
  <c r="T77" i="19"/>
  <c r="R77" i="19"/>
  <c r="U77" i="19" s="1"/>
  <c r="G76" i="19"/>
  <c r="G75" i="19"/>
  <c r="O71" i="19"/>
  <c r="R71" i="19" s="1"/>
  <c r="U71" i="19" s="1"/>
  <c r="Y69" i="19"/>
  <c r="C68" i="32" s="1"/>
  <c r="T69" i="19"/>
  <c r="G68" i="19"/>
  <c r="G67" i="19"/>
  <c r="G107" i="19"/>
  <c r="O103" i="19"/>
  <c r="R103" i="19" s="1"/>
  <c r="U103" i="19" s="1"/>
  <c r="O102" i="19"/>
  <c r="O95" i="19"/>
  <c r="R95" i="19" s="1"/>
  <c r="U95" i="19" s="1"/>
  <c r="R94" i="19"/>
  <c r="U94" i="19" s="1"/>
  <c r="Y93" i="19"/>
  <c r="C92" i="32" s="1"/>
  <c r="Y90" i="19"/>
  <c r="C89" i="32" s="1"/>
  <c r="G87" i="19"/>
  <c r="T80" i="19"/>
  <c r="Y78" i="19"/>
  <c r="C77" i="32" s="1"/>
  <c r="E77" i="32" s="1"/>
  <c r="Y70" i="19"/>
  <c r="C69" i="32" s="1"/>
  <c r="T60" i="19"/>
  <c r="T20" i="19"/>
  <c r="T97" i="19"/>
  <c r="R97" i="19"/>
  <c r="U97" i="19" s="1"/>
  <c r="T96" i="19"/>
  <c r="T81" i="19"/>
  <c r="T72" i="19"/>
  <c r="T71" i="19"/>
  <c r="T53" i="19"/>
  <c r="T38" i="19"/>
  <c r="R38" i="19"/>
  <c r="U38" i="19" s="1"/>
  <c r="G64" i="19"/>
  <c r="O60" i="19"/>
  <c r="R57" i="19"/>
  <c r="U57" i="19" s="1"/>
  <c r="T57" i="19"/>
  <c r="T43" i="19"/>
  <c r="T41" i="19"/>
  <c r="T27" i="19"/>
  <c r="R25" i="19"/>
  <c r="U25" i="19" s="1"/>
  <c r="T25" i="19"/>
  <c r="Y11" i="19"/>
  <c r="C10" i="32" s="1"/>
  <c r="T11" i="19"/>
  <c r="T9" i="19"/>
  <c r="G61" i="19"/>
  <c r="Y59" i="19"/>
  <c r="C58" i="32" s="1"/>
  <c r="R48" i="19"/>
  <c r="U48" i="19" s="1"/>
  <c r="T47" i="19"/>
  <c r="R47" i="19"/>
  <c r="U47" i="19" s="1"/>
  <c r="R42" i="19"/>
  <c r="U42" i="19" s="1"/>
  <c r="T31" i="19"/>
  <c r="R31" i="19"/>
  <c r="U31" i="19" s="1"/>
  <c r="R29" i="19"/>
  <c r="U29" i="19" s="1"/>
  <c r="T29" i="19"/>
  <c r="Y15" i="19"/>
  <c r="C14" i="32" s="1"/>
  <c r="R13" i="19"/>
  <c r="U13" i="19" s="1"/>
  <c r="T13" i="19"/>
  <c r="R10" i="19"/>
  <c r="U10" i="19" s="1"/>
  <c r="Y62" i="19"/>
  <c r="C61" i="32" s="1"/>
  <c r="E61" i="32" s="1"/>
  <c r="T50" i="19"/>
  <c r="T49" i="19"/>
  <c r="T35" i="19"/>
  <c r="T34" i="19"/>
  <c r="T19" i="19"/>
  <c r="R19" i="19"/>
  <c r="U19" i="19" s="1"/>
  <c r="T18" i="19"/>
  <c r="T17" i="19"/>
  <c r="R14" i="19"/>
  <c r="U14" i="19" s="1"/>
  <c r="R176" i="19" l="1"/>
  <c r="U176" i="19" s="1"/>
  <c r="R251" i="19"/>
  <c r="U251" i="19" s="1"/>
  <c r="R271" i="19"/>
  <c r="U271" i="19" s="1"/>
  <c r="R124" i="19"/>
  <c r="U124" i="19" s="1"/>
  <c r="R173" i="19"/>
  <c r="U173" i="19" s="1"/>
  <c r="R215" i="19"/>
  <c r="U215" i="19" s="1"/>
  <c r="R266" i="19"/>
  <c r="U266" i="19" s="1"/>
  <c r="C265" i="39" s="1"/>
  <c r="T36" i="19"/>
  <c r="R218" i="19"/>
  <c r="U218" i="19" s="1"/>
  <c r="R238" i="19"/>
  <c r="U238" i="19" s="1"/>
  <c r="T261" i="19"/>
  <c r="C71" i="39"/>
  <c r="R196" i="19"/>
  <c r="U196" i="19" s="1"/>
  <c r="T270" i="19"/>
  <c r="R15" i="19"/>
  <c r="U15" i="19" s="1"/>
  <c r="C14" i="12" s="1"/>
  <c r="R168" i="19"/>
  <c r="U168" i="19" s="1"/>
  <c r="C167" i="39" s="1"/>
  <c r="T192" i="19"/>
  <c r="T219" i="19"/>
  <c r="R98" i="19"/>
  <c r="U98" i="19" s="1"/>
  <c r="R141" i="19"/>
  <c r="U141" i="19" s="1"/>
  <c r="R11" i="19"/>
  <c r="U11" i="19" s="1"/>
  <c r="R51" i="19"/>
  <c r="U51" i="19" s="1"/>
  <c r="R312" i="19"/>
  <c r="U312" i="19" s="1"/>
  <c r="C311" i="33" s="1"/>
  <c r="R292" i="19"/>
  <c r="U292" i="19" s="1"/>
  <c r="C291" i="12" s="1"/>
  <c r="R30" i="19"/>
  <c r="U30" i="19" s="1"/>
  <c r="C29" i="39" s="1"/>
  <c r="R277" i="19"/>
  <c r="U277" i="19" s="1"/>
  <c r="R134" i="19"/>
  <c r="U134" i="19" s="1"/>
  <c r="R286" i="19"/>
  <c r="U286" i="19" s="1"/>
  <c r="R54" i="19"/>
  <c r="U54" i="19" s="1"/>
  <c r="R108" i="19"/>
  <c r="U108" i="19" s="1"/>
  <c r="R237" i="19"/>
  <c r="U237" i="19" s="1"/>
  <c r="C236" i="39" s="1"/>
  <c r="R82" i="19"/>
  <c r="U82" i="19" s="1"/>
  <c r="C81" i="12" s="1"/>
  <c r="T37" i="19"/>
  <c r="R101" i="19"/>
  <c r="U101" i="19" s="1"/>
  <c r="R229" i="19"/>
  <c r="U229" i="19" s="1"/>
  <c r="T279" i="19"/>
  <c r="R301" i="19"/>
  <c r="U301" i="19" s="1"/>
  <c r="R143" i="19"/>
  <c r="U143" i="19" s="1"/>
  <c r="R188" i="19"/>
  <c r="U188" i="19" s="1"/>
  <c r="C187" i="39" s="1"/>
  <c r="R310" i="19"/>
  <c r="U310" i="19" s="1"/>
  <c r="F309" i="32" s="1"/>
  <c r="G309" i="32" s="1"/>
  <c r="R81" i="19"/>
  <c r="U81" i="19" s="1"/>
  <c r="C91" i="12"/>
  <c r="R20" i="19"/>
  <c r="U20" i="19" s="1"/>
  <c r="R70" i="19"/>
  <c r="U70" i="19" s="1"/>
  <c r="R166" i="19"/>
  <c r="U166" i="19" s="1"/>
  <c r="R202" i="19"/>
  <c r="U202" i="19" s="1"/>
  <c r="R240" i="19"/>
  <c r="U240" i="19" s="1"/>
  <c r="F239" i="32" s="1"/>
  <c r="G239" i="32" s="1"/>
  <c r="R133" i="19"/>
  <c r="U133" i="19" s="1"/>
  <c r="C132" i="12" s="1"/>
  <c r="R247" i="19"/>
  <c r="U247" i="19" s="1"/>
  <c r="R254" i="19"/>
  <c r="U254" i="19" s="1"/>
  <c r="T151" i="19"/>
  <c r="R290" i="19"/>
  <c r="U290" i="19" s="1"/>
  <c r="R269" i="19"/>
  <c r="U269" i="19" s="1"/>
  <c r="R291" i="19"/>
  <c r="U291" i="19" s="1"/>
  <c r="R165" i="19"/>
  <c r="U165" i="19" s="1"/>
  <c r="C164" i="33" s="1"/>
  <c r="C91" i="39"/>
  <c r="R21" i="19"/>
  <c r="U21" i="19" s="1"/>
  <c r="R130" i="19"/>
  <c r="U130" i="19" s="1"/>
  <c r="R110" i="19"/>
  <c r="U110" i="19" s="1"/>
  <c r="R145" i="19"/>
  <c r="U145" i="19" s="1"/>
  <c r="C144" i="12" s="1"/>
  <c r="R314" i="19"/>
  <c r="U314" i="19" s="1"/>
  <c r="R276" i="19"/>
  <c r="U276" i="19" s="1"/>
  <c r="R296" i="19"/>
  <c r="U296" i="19" s="1"/>
  <c r="C295" i="12" s="1"/>
  <c r="R73" i="19"/>
  <c r="U73" i="19" s="1"/>
  <c r="C72" i="12" s="1"/>
  <c r="T143" i="19"/>
  <c r="T196" i="19"/>
  <c r="T169" i="19"/>
  <c r="R275" i="19"/>
  <c r="U275" i="19" s="1"/>
  <c r="R84" i="19"/>
  <c r="U84" i="19" s="1"/>
  <c r="F83" i="32" s="1"/>
  <c r="G83" i="32" s="1"/>
  <c r="T217" i="19"/>
  <c r="T233" i="19"/>
  <c r="T166" i="19"/>
  <c r="R280" i="19"/>
  <c r="U280" i="19" s="1"/>
  <c r="C279" i="39" s="1"/>
  <c r="R297" i="19"/>
  <c r="U297" i="19" s="1"/>
  <c r="T314" i="19"/>
  <c r="R313" i="19"/>
  <c r="U313" i="19" s="1"/>
  <c r="R207" i="19"/>
  <c r="U207" i="19" s="1"/>
  <c r="C206" i="39" s="1"/>
  <c r="R152" i="19"/>
  <c r="U152" i="19" s="1"/>
  <c r="R32" i="19"/>
  <c r="U32" i="19" s="1"/>
  <c r="C31" i="12" s="1"/>
  <c r="R74" i="19"/>
  <c r="U74" i="19" s="1"/>
  <c r="F73" i="32" s="1"/>
  <c r="G73" i="32" s="1"/>
  <c r="R89" i="19"/>
  <c r="U89" i="19" s="1"/>
  <c r="C88" i="12" s="1"/>
  <c r="R181" i="19"/>
  <c r="U181" i="19" s="1"/>
  <c r="T228" i="19"/>
  <c r="R148" i="19"/>
  <c r="U148" i="19" s="1"/>
  <c r="T220" i="19"/>
  <c r="R265" i="19"/>
  <c r="U265" i="19" s="1"/>
  <c r="T254" i="19"/>
  <c r="R281" i="19"/>
  <c r="U281" i="19" s="1"/>
  <c r="C280" i="33" s="1"/>
  <c r="T260" i="19"/>
  <c r="R34" i="19"/>
  <c r="U34" i="19" s="1"/>
  <c r="R140" i="19"/>
  <c r="U140" i="19" s="1"/>
  <c r="R69" i="19"/>
  <c r="U69" i="19" s="1"/>
  <c r="T110" i="19"/>
  <c r="R60" i="19"/>
  <c r="U60" i="19" s="1"/>
  <c r="T51" i="19"/>
  <c r="R52" i="19"/>
  <c r="U52" i="19" s="1"/>
  <c r="F51" i="32" s="1"/>
  <c r="G51" i="32" s="1"/>
  <c r="T45" i="19"/>
  <c r="T21" i="19"/>
  <c r="R58" i="19"/>
  <c r="U58" i="19" s="1"/>
  <c r="R63" i="19"/>
  <c r="U63" i="19" s="1"/>
  <c r="C62" i="12" s="1"/>
  <c r="T144" i="19"/>
  <c r="R182" i="19"/>
  <c r="U182" i="19" s="1"/>
  <c r="R199" i="19"/>
  <c r="U199" i="19" s="1"/>
  <c r="C198" i="33" s="1"/>
  <c r="T174" i="19"/>
  <c r="T165" i="19"/>
  <c r="R242" i="19"/>
  <c r="U242" i="19" s="1"/>
  <c r="R302" i="19"/>
  <c r="U302" i="19" s="1"/>
  <c r="T258" i="19"/>
  <c r="R122" i="19"/>
  <c r="U122" i="19" s="1"/>
  <c r="C121" i="39" s="1"/>
  <c r="R209" i="19"/>
  <c r="U209" i="19" s="1"/>
  <c r="C91" i="33"/>
  <c r="E91" i="33" s="1"/>
  <c r="D91" i="37" s="1"/>
  <c r="R102" i="19"/>
  <c r="U102" i="19" s="1"/>
  <c r="C101" i="39" s="1"/>
  <c r="G91" i="32"/>
  <c r="R239" i="19"/>
  <c r="U239" i="19" s="1"/>
  <c r="R18" i="19"/>
  <c r="U18" i="19" s="1"/>
  <c r="R26" i="19"/>
  <c r="U26" i="19" s="1"/>
  <c r="R59" i="19"/>
  <c r="U59" i="19" s="1"/>
  <c r="C58" i="39" s="1"/>
  <c r="T92" i="19"/>
  <c r="T239" i="19"/>
  <c r="R205" i="19"/>
  <c r="U205" i="19" s="1"/>
  <c r="C204" i="39" s="1"/>
  <c r="R112" i="19"/>
  <c r="U112" i="19" s="1"/>
  <c r="R136" i="19"/>
  <c r="U136" i="19" s="1"/>
  <c r="T65" i="19"/>
  <c r="R255" i="19"/>
  <c r="U255" i="19" s="1"/>
  <c r="C254" i="12" s="1"/>
  <c r="R226" i="19"/>
  <c r="U226" i="19" s="1"/>
  <c r="F225" i="32" s="1"/>
  <c r="G225" i="32" s="1"/>
  <c r="T293" i="19"/>
  <c r="R66" i="19"/>
  <c r="U66" i="19" s="1"/>
  <c r="C65" i="39" s="1"/>
  <c r="T259" i="19"/>
  <c r="R78" i="19"/>
  <c r="U78" i="19" s="1"/>
  <c r="C77" i="39" s="1"/>
  <c r="R91" i="19"/>
  <c r="U91" i="19" s="1"/>
  <c r="R85" i="19"/>
  <c r="U85" i="19" s="1"/>
  <c r="C84" i="12" s="1"/>
  <c r="T216" i="19"/>
  <c r="R189" i="19"/>
  <c r="U189" i="19" s="1"/>
  <c r="C188" i="12" s="1"/>
  <c r="R210" i="19"/>
  <c r="U210" i="19" s="1"/>
  <c r="C209" i="12" s="1"/>
  <c r="T240" i="19"/>
  <c r="R305" i="19"/>
  <c r="U305" i="19" s="1"/>
  <c r="C304" i="39" s="1"/>
  <c r="R262" i="19"/>
  <c r="U262" i="19" s="1"/>
  <c r="C261" i="39" s="1"/>
  <c r="T291" i="19"/>
  <c r="R120" i="19"/>
  <c r="U120" i="19" s="1"/>
  <c r="R22" i="19"/>
  <c r="U22" i="19" s="1"/>
  <c r="C21" i="12" s="1"/>
  <c r="R79" i="19"/>
  <c r="U79" i="19" s="1"/>
  <c r="C78" i="39" s="1"/>
  <c r="T40" i="19"/>
  <c r="R138" i="19"/>
  <c r="U138" i="19" s="1"/>
  <c r="C137" i="12" s="1"/>
  <c r="T251" i="19"/>
  <c r="R156" i="19"/>
  <c r="U156" i="19" s="1"/>
  <c r="T86" i="19"/>
  <c r="R113" i="19"/>
  <c r="U113" i="19" s="1"/>
  <c r="C112" i="33" s="1"/>
  <c r="R157" i="19"/>
  <c r="U157" i="19" s="1"/>
  <c r="C156" i="39" s="1"/>
  <c r="T162" i="19"/>
  <c r="T185" i="19"/>
  <c r="R308" i="19"/>
  <c r="U308" i="19" s="1"/>
  <c r="C307" i="33" s="1"/>
  <c r="T296" i="19"/>
  <c r="T303" i="19"/>
  <c r="R93" i="19"/>
  <c r="U93" i="19" s="1"/>
  <c r="T119" i="19"/>
  <c r="R117" i="19"/>
  <c r="U117" i="19" s="1"/>
  <c r="C116" i="39" s="1"/>
  <c r="T33" i="19"/>
  <c r="R114" i="19"/>
  <c r="U114" i="19" s="1"/>
  <c r="R241" i="19"/>
  <c r="U241" i="19" s="1"/>
  <c r="C240" i="39" s="1"/>
  <c r="G71" i="32"/>
  <c r="C254" i="39"/>
  <c r="C50" i="12"/>
  <c r="C50" i="39"/>
  <c r="C50" i="33"/>
  <c r="F50" i="32"/>
  <c r="C21" i="39"/>
  <c r="C21" i="33"/>
  <c r="C62" i="39"/>
  <c r="C62" i="33"/>
  <c r="C89" i="12"/>
  <c r="C89" i="39"/>
  <c r="C89" i="33"/>
  <c r="F89" i="32"/>
  <c r="C144" i="33"/>
  <c r="F144" i="32"/>
  <c r="G144" i="32" s="1"/>
  <c r="C22" i="12"/>
  <c r="C22" i="39"/>
  <c r="F22" i="32"/>
  <c r="C22" i="33"/>
  <c r="C137" i="33"/>
  <c r="F137" i="32"/>
  <c r="G137" i="32" s="1"/>
  <c r="C199" i="39"/>
  <c r="C199" i="12"/>
  <c r="C199" i="33"/>
  <c r="F199" i="32"/>
  <c r="C231" i="39"/>
  <c r="C231" i="12"/>
  <c r="F231" i="32"/>
  <c r="C231" i="33"/>
  <c r="C181" i="39"/>
  <c r="C181" i="12"/>
  <c r="C181" i="33"/>
  <c r="F181" i="32"/>
  <c r="C193" i="39"/>
  <c r="C193" i="12"/>
  <c r="C193" i="33"/>
  <c r="F193" i="32"/>
  <c r="G193" i="32" s="1"/>
  <c r="C272" i="39"/>
  <c r="C272" i="12"/>
  <c r="F272" i="32"/>
  <c r="C272" i="33"/>
  <c r="C310" i="39"/>
  <c r="C310" i="12"/>
  <c r="C310" i="33"/>
  <c r="F310" i="32"/>
  <c r="G310" i="32" s="1"/>
  <c r="C16" i="39"/>
  <c r="C16" i="12"/>
  <c r="C16" i="33"/>
  <c r="F16" i="32"/>
  <c r="C45" i="39"/>
  <c r="C45" i="12"/>
  <c r="C45" i="33"/>
  <c r="F45" i="32"/>
  <c r="G45" i="32" s="1"/>
  <c r="C42" i="12"/>
  <c r="C42" i="39"/>
  <c r="C42" i="33"/>
  <c r="F42" i="32"/>
  <c r="C53" i="39"/>
  <c r="C53" i="12"/>
  <c r="C53" i="33"/>
  <c r="F53" i="32"/>
  <c r="C94" i="39"/>
  <c r="C94" i="12"/>
  <c r="F94" i="32"/>
  <c r="C94" i="33"/>
  <c r="F112" i="32"/>
  <c r="C154" i="39"/>
  <c r="C154" i="12"/>
  <c r="F154" i="32"/>
  <c r="C154" i="33"/>
  <c r="E120" i="32"/>
  <c r="C186" i="39"/>
  <c r="C186" i="12"/>
  <c r="F186" i="32"/>
  <c r="C186" i="33"/>
  <c r="C215" i="39"/>
  <c r="C215" i="12"/>
  <c r="C215" i="33"/>
  <c r="F215" i="32"/>
  <c r="C250" i="39"/>
  <c r="C250" i="12"/>
  <c r="F250" i="32"/>
  <c r="C250" i="33"/>
  <c r="C230" i="39"/>
  <c r="C230" i="12"/>
  <c r="F230" i="32"/>
  <c r="C230" i="33"/>
  <c r="C207" i="39"/>
  <c r="C207" i="12"/>
  <c r="C207" i="33"/>
  <c r="F207" i="32"/>
  <c r="G207" i="32" s="1"/>
  <c r="C283" i="12"/>
  <c r="C283" i="39"/>
  <c r="C283" i="33"/>
  <c r="F283" i="32"/>
  <c r="C305" i="39"/>
  <c r="C305" i="12"/>
  <c r="F305" i="32"/>
  <c r="C305" i="33"/>
  <c r="C286" i="39"/>
  <c r="C286" i="12"/>
  <c r="C286" i="33"/>
  <c r="F286" i="32"/>
  <c r="C302" i="39"/>
  <c r="C302" i="12"/>
  <c r="C302" i="33"/>
  <c r="F302" i="32"/>
  <c r="C259" i="39"/>
  <c r="C259" i="12"/>
  <c r="C259" i="33"/>
  <c r="F259" i="32"/>
  <c r="C262" i="39"/>
  <c r="C262" i="12"/>
  <c r="C262" i="33"/>
  <c r="F262" i="32"/>
  <c r="C277" i="39"/>
  <c r="C277" i="12"/>
  <c r="C277" i="33"/>
  <c r="F277" i="32"/>
  <c r="C293" i="39"/>
  <c r="C293" i="12"/>
  <c r="C293" i="33"/>
  <c r="F293" i="32"/>
  <c r="C29" i="12"/>
  <c r="C34" i="12"/>
  <c r="C34" i="39"/>
  <c r="F34" i="32"/>
  <c r="C34" i="33"/>
  <c r="E14" i="32"/>
  <c r="C28" i="39"/>
  <c r="C28" i="12"/>
  <c r="C28" i="33"/>
  <c r="F28" i="32"/>
  <c r="G28" i="32" s="1"/>
  <c r="C41" i="39"/>
  <c r="C41" i="12"/>
  <c r="C41" i="33"/>
  <c r="F41" i="32"/>
  <c r="E10" i="32"/>
  <c r="F65" i="32"/>
  <c r="C65" i="33"/>
  <c r="C87" i="39"/>
  <c r="C87" i="12"/>
  <c r="F87" i="32"/>
  <c r="G87" i="32" s="1"/>
  <c r="C87" i="33"/>
  <c r="E68" i="32"/>
  <c r="F77" i="32"/>
  <c r="G77" i="32" s="1"/>
  <c r="C88" i="39"/>
  <c r="F88" i="32"/>
  <c r="G88" i="32" s="1"/>
  <c r="C88" i="33"/>
  <c r="C84" i="39"/>
  <c r="F84" i="32"/>
  <c r="G84" i="32" s="1"/>
  <c r="C100" i="12"/>
  <c r="C100" i="39"/>
  <c r="C100" i="33"/>
  <c r="F100" i="32"/>
  <c r="E172" i="32"/>
  <c r="C39" i="39"/>
  <c r="C39" i="12"/>
  <c r="F39" i="32"/>
  <c r="G39" i="32" s="1"/>
  <c r="C39" i="33"/>
  <c r="C99" i="39"/>
  <c r="C99" i="12"/>
  <c r="C99" i="33"/>
  <c r="F99" i="32"/>
  <c r="C109" i="39"/>
  <c r="C109" i="12"/>
  <c r="C109" i="33"/>
  <c r="F109" i="32"/>
  <c r="C124" i="12"/>
  <c r="C124" i="39"/>
  <c r="C124" i="33"/>
  <c r="F124" i="32"/>
  <c r="G124" i="32" s="1"/>
  <c r="C134" i="39"/>
  <c r="C134" i="12"/>
  <c r="F134" i="32"/>
  <c r="G134" i="32" s="1"/>
  <c r="C134" i="33"/>
  <c r="C141" i="39"/>
  <c r="C141" i="12"/>
  <c r="C141" i="33"/>
  <c r="F141" i="32"/>
  <c r="G141" i="32" s="1"/>
  <c r="C156" i="12"/>
  <c r="F156" i="32"/>
  <c r="C121" i="12"/>
  <c r="C136" i="12"/>
  <c r="C136" i="39"/>
  <c r="F136" i="32"/>
  <c r="C136" i="33"/>
  <c r="C117" i="39"/>
  <c r="C117" i="12"/>
  <c r="C117" i="33"/>
  <c r="F117" i="32"/>
  <c r="C203" i="39"/>
  <c r="C203" i="12"/>
  <c r="F203" i="32"/>
  <c r="G203" i="32" s="1"/>
  <c r="C203" i="33"/>
  <c r="C142" i="39"/>
  <c r="C142" i="12"/>
  <c r="F142" i="32"/>
  <c r="C142" i="33"/>
  <c r="C195" i="39"/>
  <c r="C195" i="12"/>
  <c r="C195" i="33"/>
  <c r="F195" i="32"/>
  <c r="C208" i="12"/>
  <c r="C208" i="39"/>
  <c r="F208" i="32"/>
  <c r="C208" i="33"/>
  <c r="C227" i="39"/>
  <c r="C227" i="12"/>
  <c r="C227" i="33"/>
  <c r="F227" i="32"/>
  <c r="C252" i="39"/>
  <c r="C252" i="12"/>
  <c r="F252" i="32"/>
  <c r="G252" i="32" s="1"/>
  <c r="C252" i="33"/>
  <c r="C173" i="39"/>
  <c r="C173" i="12"/>
  <c r="C173" i="33"/>
  <c r="F173" i="32"/>
  <c r="C235" i="12"/>
  <c r="C235" i="39"/>
  <c r="C235" i="33"/>
  <c r="F235" i="32"/>
  <c r="G235" i="32" s="1"/>
  <c r="C149" i="39"/>
  <c r="C149" i="12"/>
  <c r="C149" i="33"/>
  <c r="F149" i="32"/>
  <c r="C164" i="12"/>
  <c r="F164" i="32"/>
  <c r="G164" i="32" s="1"/>
  <c r="C168" i="39"/>
  <c r="C168" i="12"/>
  <c r="C168" i="33"/>
  <c r="F168" i="32"/>
  <c r="C172" i="39"/>
  <c r="C172" i="12"/>
  <c r="F172" i="32"/>
  <c r="C172" i="33"/>
  <c r="C188" i="39"/>
  <c r="C209" i="39"/>
  <c r="C209" i="33"/>
  <c r="F209" i="32"/>
  <c r="C223" i="39"/>
  <c r="C223" i="12"/>
  <c r="F223" i="32"/>
  <c r="G223" i="32" s="1"/>
  <c r="C223" i="33"/>
  <c r="C169" i="39"/>
  <c r="C169" i="12"/>
  <c r="F169" i="32"/>
  <c r="C169" i="33"/>
  <c r="C219" i="12"/>
  <c r="C219" i="39"/>
  <c r="C219" i="33"/>
  <c r="F219" i="32"/>
  <c r="C264" i="39"/>
  <c r="C264" i="12"/>
  <c r="C264" i="33"/>
  <c r="F264" i="32"/>
  <c r="C281" i="39"/>
  <c r="C281" i="12"/>
  <c r="C281" i="33"/>
  <c r="F281" i="32"/>
  <c r="C308" i="39"/>
  <c r="C308" i="12"/>
  <c r="C308" i="33"/>
  <c r="F308" i="32"/>
  <c r="C276" i="39"/>
  <c r="C276" i="12"/>
  <c r="C276" i="33"/>
  <c r="F276" i="32"/>
  <c r="C261" i="12"/>
  <c r="C280" i="12"/>
  <c r="C296" i="39"/>
  <c r="C296" i="12"/>
  <c r="F296" i="32"/>
  <c r="C296" i="33"/>
  <c r="C292" i="39"/>
  <c r="C292" i="12"/>
  <c r="C292" i="33"/>
  <c r="F292" i="32"/>
  <c r="C177" i="39"/>
  <c r="C177" i="12"/>
  <c r="C177" i="33"/>
  <c r="F177" i="32"/>
  <c r="C260" i="39"/>
  <c r="C260" i="12"/>
  <c r="C260" i="33"/>
  <c r="F260" i="32"/>
  <c r="C301" i="39"/>
  <c r="C301" i="12"/>
  <c r="C301" i="33"/>
  <c r="F301" i="32"/>
  <c r="C311" i="39"/>
  <c r="C311" i="12"/>
  <c r="C284" i="39"/>
  <c r="C284" i="12"/>
  <c r="F284" i="32"/>
  <c r="C284" i="33"/>
  <c r="G41" i="32"/>
  <c r="G65" i="32"/>
  <c r="C59" i="39"/>
  <c r="C59" i="12"/>
  <c r="C59" i="33"/>
  <c r="F59" i="32"/>
  <c r="G59" i="32" s="1"/>
  <c r="C96" i="12"/>
  <c r="C96" i="39"/>
  <c r="C96" i="33"/>
  <c r="F96" i="32"/>
  <c r="C92" i="12"/>
  <c r="C92" i="39"/>
  <c r="C92" i="33"/>
  <c r="F92" i="32"/>
  <c r="C85" i="39"/>
  <c r="C85" i="12"/>
  <c r="F85" i="32"/>
  <c r="C85" i="33"/>
  <c r="C129" i="12"/>
  <c r="C129" i="39"/>
  <c r="C129" i="33"/>
  <c r="F129" i="32"/>
  <c r="G129" i="32" s="1"/>
  <c r="C103" i="39"/>
  <c r="C103" i="12"/>
  <c r="C103" i="33"/>
  <c r="F103" i="32"/>
  <c r="C152" i="12"/>
  <c r="C152" i="39"/>
  <c r="C152" i="33"/>
  <c r="F152" i="32"/>
  <c r="C175" i="39"/>
  <c r="C175" i="12"/>
  <c r="C175" i="33"/>
  <c r="F175" i="32"/>
  <c r="C202" i="39"/>
  <c r="C202" i="12"/>
  <c r="C202" i="33"/>
  <c r="F202" i="32"/>
  <c r="E249" i="32"/>
  <c r="C198" i="39"/>
  <c r="C198" i="12"/>
  <c r="C245" i="39"/>
  <c r="C245" i="12"/>
  <c r="C245" i="33"/>
  <c r="F245" i="32"/>
  <c r="C131" i="39"/>
  <c r="C131" i="12"/>
  <c r="C131" i="33"/>
  <c r="F131" i="32"/>
  <c r="C266" i="39"/>
  <c r="F266" i="32"/>
  <c r="G266" i="32" s="1"/>
  <c r="C266" i="33"/>
  <c r="C266" i="12"/>
  <c r="C279" i="12"/>
  <c r="C279" i="33"/>
  <c r="C298" i="39"/>
  <c r="C298" i="12"/>
  <c r="C298" i="33"/>
  <c r="F298" i="32"/>
  <c r="C18" i="12"/>
  <c r="C18" i="39"/>
  <c r="C18" i="33"/>
  <c r="F18" i="32"/>
  <c r="C51" i="12"/>
  <c r="C15" i="12"/>
  <c r="C15" i="33"/>
  <c r="F15" i="32"/>
  <c r="C15" i="39"/>
  <c r="C8" i="39"/>
  <c r="C8" i="12"/>
  <c r="F8" i="32"/>
  <c r="G8" i="32" s="1"/>
  <c r="C8" i="33"/>
  <c r="C90" i="39"/>
  <c r="C90" i="12"/>
  <c r="C90" i="33"/>
  <c r="F90" i="32"/>
  <c r="C57" i="39"/>
  <c r="C57" i="12"/>
  <c r="C57" i="33"/>
  <c r="F57" i="32"/>
  <c r="E92" i="32"/>
  <c r="C69" i="39"/>
  <c r="C69" i="12"/>
  <c r="C69" i="33"/>
  <c r="F69" i="32"/>
  <c r="C107" i="39"/>
  <c r="C107" i="12"/>
  <c r="F107" i="32"/>
  <c r="G107" i="32" s="1"/>
  <c r="C107" i="33"/>
  <c r="C120" i="12"/>
  <c r="C120" i="39"/>
  <c r="C120" i="33"/>
  <c r="F120" i="32"/>
  <c r="E152" i="32"/>
  <c r="C116" i="12"/>
  <c r="F116" i="32"/>
  <c r="C161" i="39"/>
  <c r="C161" i="12"/>
  <c r="C161" i="33"/>
  <c r="F161" i="32"/>
  <c r="G161" i="32" s="1"/>
  <c r="C180" i="39"/>
  <c r="C180" i="12"/>
  <c r="C180" i="33"/>
  <c r="F180" i="32"/>
  <c r="C185" i="39"/>
  <c r="C185" i="12"/>
  <c r="F185" i="32"/>
  <c r="G185" i="32" s="1"/>
  <c r="C185" i="33"/>
  <c r="C196" i="39"/>
  <c r="C196" i="12"/>
  <c r="F196" i="32"/>
  <c r="C196" i="33"/>
  <c r="C201" i="39"/>
  <c r="C201" i="12"/>
  <c r="F201" i="32"/>
  <c r="G201" i="32" s="1"/>
  <c r="C201" i="33"/>
  <c r="C212" i="39"/>
  <c r="C212" i="12"/>
  <c r="C212" i="33"/>
  <c r="F212" i="32"/>
  <c r="C217" i="39"/>
  <c r="C217" i="12"/>
  <c r="C217" i="33"/>
  <c r="F217" i="32"/>
  <c r="G217" i="32" s="1"/>
  <c r="C228" i="39"/>
  <c r="C228" i="33"/>
  <c r="C228" i="12"/>
  <c r="F228" i="32"/>
  <c r="C233" i="39"/>
  <c r="C233" i="12"/>
  <c r="C233" i="33"/>
  <c r="F233" i="32"/>
  <c r="G233" i="32" s="1"/>
  <c r="C244" i="39"/>
  <c r="C244" i="12"/>
  <c r="C244" i="33"/>
  <c r="F244" i="32"/>
  <c r="C237" i="39"/>
  <c r="C237" i="12"/>
  <c r="F237" i="32"/>
  <c r="G237" i="32" s="1"/>
  <c r="C237" i="33"/>
  <c r="C115" i="39"/>
  <c r="C115" i="12"/>
  <c r="C115" i="33"/>
  <c r="F115" i="32"/>
  <c r="C174" i="39"/>
  <c r="C174" i="12"/>
  <c r="C174" i="33"/>
  <c r="F174" i="32"/>
  <c r="C182" i="39"/>
  <c r="C182" i="12"/>
  <c r="C182" i="33"/>
  <c r="F182" i="32"/>
  <c r="C197" i="39"/>
  <c r="C197" i="12"/>
  <c r="C197" i="33"/>
  <c r="F197" i="32"/>
  <c r="G197" i="32" s="1"/>
  <c r="C214" i="39"/>
  <c r="C214" i="12"/>
  <c r="F214" i="32"/>
  <c r="C214" i="33"/>
  <c r="C229" i="39"/>
  <c r="C229" i="12"/>
  <c r="C229" i="33"/>
  <c r="F229" i="32"/>
  <c r="G229" i="32" s="1"/>
  <c r="C246" i="39"/>
  <c r="C246" i="12"/>
  <c r="C246" i="33"/>
  <c r="F246" i="32"/>
  <c r="C221" i="39"/>
  <c r="C221" i="12"/>
  <c r="C221" i="33"/>
  <c r="F221" i="32"/>
  <c r="G221" i="32" s="1"/>
  <c r="C148" i="12"/>
  <c r="C148" i="39"/>
  <c r="C148" i="33"/>
  <c r="F148" i="32"/>
  <c r="C163" i="39"/>
  <c r="C163" i="12"/>
  <c r="C163" i="33"/>
  <c r="F163" i="32"/>
  <c r="C171" i="39"/>
  <c r="C171" i="12"/>
  <c r="F171" i="32"/>
  <c r="C171" i="33"/>
  <c r="C225" i="33"/>
  <c r="C239" i="12"/>
  <c r="C239" i="33"/>
  <c r="C205" i="39"/>
  <c r="C205" i="12"/>
  <c r="C205" i="33"/>
  <c r="F205" i="32"/>
  <c r="C258" i="39"/>
  <c r="C258" i="12"/>
  <c r="F258" i="32"/>
  <c r="G258" i="32" s="1"/>
  <c r="C258" i="33"/>
  <c r="C271" i="39"/>
  <c r="C271" i="12"/>
  <c r="C271" i="33"/>
  <c r="F271" i="32"/>
  <c r="C297" i="39"/>
  <c r="C297" i="12"/>
  <c r="F297" i="32"/>
  <c r="G297" i="32" s="1"/>
  <c r="C297" i="33"/>
  <c r="C274" i="39"/>
  <c r="C274" i="12"/>
  <c r="C274" i="33"/>
  <c r="F274" i="32"/>
  <c r="C287" i="39"/>
  <c r="C287" i="12"/>
  <c r="C287" i="33"/>
  <c r="F287" i="32"/>
  <c r="C290" i="39"/>
  <c r="C290" i="12"/>
  <c r="C290" i="33"/>
  <c r="F290" i="32"/>
  <c r="C303" i="39"/>
  <c r="C303" i="12"/>
  <c r="C303" i="33"/>
  <c r="F303" i="32"/>
  <c r="C313" i="39"/>
  <c r="C313" i="12"/>
  <c r="F313" i="32"/>
  <c r="C313" i="33"/>
  <c r="C278" i="39"/>
  <c r="C278" i="12"/>
  <c r="C278" i="33"/>
  <c r="F278" i="32"/>
  <c r="C299" i="12"/>
  <c r="C299" i="39"/>
  <c r="F299" i="32"/>
  <c r="C299" i="33"/>
  <c r="C249" i="39"/>
  <c r="C249" i="12"/>
  <c r="C249" i="33"/>
  <c r="F249" i="32"/>
  <c r="C267" i="39"/>
  <c r="C267" i="12"/>
  <c r="C267" i="33"/>
  <c r="F267" i="32"/>
  <c r="C270" i="39"/>
  <c r="C270" i="12"/>
  <c r="F270" i="32"/>
  <c r="G270" i="32" s="1"/>
  <c r="C270" i="33"/>
  <c r="C285" i="39"/>
  <c r="C285" i="12"/>
  <c r="C285" i="33"/>
  <c r="F285" i="32"/>
  <c r="C257" i="39"/>
  <c r="C257" i="12"/>
  <c r="C257" i="33"/>
  <c r="F257" i="32"/>
  <c r="C309" i="33"/>
  <c r="E69" i="32"/>
  <c r="E85" i="32"/>
  <c r="C19" i="39"/>
  <c r="C19" i="12"/>
  <c r="C19" i="33"/>
  <c r="F19" i="32"/>
  <c r="C9" i="39"/>
  <c r="C9" i="12"/>
  <c r="F9" i="32"/>
  <c r="G9" i="32" s="1"/>
  <c r="C9" i="33"/>
  <c r="C46" i="12"/>
  <c r="C46" i="39"/>
  <c r="C46" i="33"/>
  <c r="F46" i="32"/>
  <c r="C26" i="12"/>
  <c r="C26" i="39"/>
  <c r="F26" i="32"/>
  <c r="C26" i="33"/>
  <c r="C37" i="39"/>
  <c r="C37" i="12"/>
  <c r="C37" i="33"/>
  <c r="F37" i="32"/>
  <c r="G37" i="32" s="1"/>
  <c r="C122" i="39"/>
  <c r="C122" i="12"/>
  <c r="C122" i="33"/>
  <c r="F122" i="32"/>
  <c r="G122" i="32" s="1"/>
  <c r="C183" i="39"/>
  <c r="C183" i="12"/>
  <c r="C183" i="33"/>
  <c r="F183" i="32"/>
  <c r="G183" i="32" s="1"/>
  <c r="C218" i="39"/>
  <c r="C218" i="12"/>
  <c r="C218" i="33"/>
  <c r="F218" i="32"/>
  <c r="C213" i="39"/>
  <c r="C213" i="12"/>
  <c r="F213" i="32"/>
  <c r="G213" i="32" s="1"/>
  <c r="C213" i="33"/>
  <c r="C159" i="39"/>
  <c r="C159" i="12"/>
  <c r="F159" i="32"/>
  <c r="C159" i="33"/>
  <c r="C179" i="39"/>
  <c r="C179" i="12"/>
  <c r="F179" i="32"/>
  <c r="G179" i="32" s="1"/>
  <c r="C179" i="33"/>
  <c r="C147" i="39"/>
  <c r="C147" i="12"/>
  <c r="C147" i="33"/>
  <c r="F147" i="32"/>
  <c r="C256" i="12"/>
  <c r="C256" i="39"/>
  <c r="F256" i="32"/>
  <c r="C256" i="33"/>
  <c r="C253" i="39"/>
  <c r="C253" i="12"/>
  <c r="C253" i="33"/>
  <c r="F253" i="32"/>
  <c r="C282" i="39"/>
  <c r="C282" i="12"/>
  <c r="C282" i="33"/>
  <c r="F282" i="32"/>
  <c r="C295" i="39"/>
  <c r="C294" i="39"/>
  <c r="C294" i="12"/>
  <c r="C294" i="33"/>
  <c r="F294" i="32"/>
  <c r="G294" i="32" s="1"/>
  <c r="C306" i="39"/>
  <c r="C306" i="12"/>
  <c r="C306" i="33"/>
  <c r="F306" i="32"/>
  <c r="C13" i="39"/>
  <c r="C13" i="12"/>
  <c r="F13" i="32"/>
  <c r="C13" i="33"/>
  <c r="C48" i="39"/>
  <c r="C48" i="12"/>
  <c r="F48" i="32"/>
  <c r="G48" i="32" s="1"/>
  <c r="C48" i="33"/>
  <c r="C12" i="39"/>
  <c r="C12" i="12"/>
  <c r="C12" i="33"/>
  <c r="F12" i="32"/>
  <c r="C30" i="12"/>
  <c r="C30" i="39"/>
  <c r="C30" i="33"/>
  <c r="F30" i="32"/>
  <c r="C47" i="12"/>
  <c r="C47" i="39"/>
  <c r="F47" i="32"/>
  <c r="C47" i="33"/>
  <c r="C80" i="12"/>
  <c r="C80" i="39"/>
  <c r="F80" i="32"/>
  <c r="G80" i="32" s="1"/>
  <c r="C80" i="33"/>
  <c r="C97" i="12"/>
  <c r="C97" i="39"/>
  <c r="C97" i="33"/>
  <c r="F97" i="32"/>
  <c r="C102" i="39"/>
  <c r="C102" i="12"/>
  <c r="C102" i="33"/>
  <c r="F102" i="32"/>
  <c r="C76" i="12"/>
  <c r="C76" i="39"/>
  <c r="F76" i="32"/>
  <c r="G76" i="32" s="1"/>
  <c r="C76" i="33"/>
  <c r="C55" i="12"/>
  <c r="C55" i="39"/>
  <c r="C55" i="33"/>
  <c r="F55" i="32"/>
  <c r="G55" i="32" s="1"/>
  <c r="C105" i="12"/>
  <c r="C105" i="39"/>
  <c r="F105" i="32"/>
  <c r="G105" i="32" s="1"/>
  <c r="C105" i="33"/>
  <c r="C113" i="12"/>
  <c r="C113" i="39"/>
  <c r="C113" i="33"/>
  <c r="F113" i="32"/>
  <c r="G113" i="32" s="1"/>
  <c r="C128" i="12"/>
  <c r="C128" i="39"/>
  <c r="F128" i="32"/>
  <c r="G128" i="32" s="1"/>
  <c r="C128" i="33"/>
  <c r="C138" i="39"/>
  <c r="C138" i="12"/>
  <c r="F138" i="32"/>
  <c r="C138" i="33"/>
  <c r="C145" i="12"/>
  <c r="C145" i="33"/>
  <c r="C145" i="39"/>
  <c r="F145" i="32"/>
  <c r="G145" i="32" s="1"/>
  <c r="C38" i="12"/>
  <c r="C38" i="39"/>
  <c r="F38" i="32"/>
  <c r="C38" i="33"/>
  <c r="C32" i="39"/>
  <c r="C32" i="12"/>
  <c r="C32" i="33"/>
  <c r="F32" i="32"/>
  <c r="G32" i="32" s="1"/>
  <c r="C35" i="39"/>
  <c r="C35" i="12"/>
  <c r="C35" i="33"/>
  <c r="F35" i="32"/>
  <c r="F14" i="32"/>
  <c r="C25" i="39"/>
  <c r="C25" i="12"/>
  <c r="F25" i="32"/>
  <c r="C25" i="33"/>
  <c r="C44" i="39"/>
  <c r="C44" i="12"/>
  <c r="C44" i="33"/>
  <c r="F44" i="32"/>
  <c r="G44" i="32" s="1"/>
  <c r="E58" i="32"/>
  <c r="C10" i="12"/>
  <c r="C10" i="39"/>
  <c r="F10" i="32"/>
  <c r="C10" i="33"/>
  <c r="C24" i="39"/>
  <c r="C24" i="12"/>
  <c r="C24" i="33"/>
  <c r="F24" i="32"/>
  <c r="G24" i="32" s="1"/>
  <c r="C40" i="39"/>
  <c r="C40" i="12"/>
  <c r="C40" i="33"/>
  <c r="F40" i="32"/>
  <c r="G40" i="32" s="1"/>
  <c r="C56" i="39"/>
  <c r="C56" i="12"/>
  <c r="C56" i="33"/>
  <c r="F56" i="32"/>
  <c r="G56" i="32" s="1"/>
  <c r="C20" i="39"/>
  <c r="C20" i="12"/>
  <c r="C20" i="33"/>
  <c r="F20" i="32"/>
  <c r="G20" i="32" s="1"/>
  <c r="C36" i="39"/>
  <c r="C36" i="12"/>
  <c r="F36" i="32"/>
  <c r="C36" i="33"/>
  <c r="C52" i="39"/>
  <c r="C52" i="12"/>
  <c r="F52" i="32"/>
  <c r="G52" i="32" s="1"/>
  <c r="C52" i="33"/>
  <c r="C64" i="39"/>
  <c r="C64" i="12"/>
  <c r="F64" i="32"/>
  <c r="G64" i="32" s="1"/>
  <c r="C64" i="33"/>
  <c r="C70" i="39"/>
  <c r="C70" i="12"/>
  <c r="F70" i="32"/>
  <c r="C70" i="33"/>
  <c r="C73" i="33"/>
  <c r="C93" i="39"/>
  <c r="C93" i="12"/>
  <c r="C93" i="33"/>
  <c r="F93" i="32"/>
  <c r="G93" i="32" s="1"/>
  <c r="C68" i="39"/>
  <c r="C68" i="12"/>
  <c r="F68" i="32"/>
  <c r="C68" i="33"/>
  <c r="C54" i="12"/>
  <c r="C54" i="39"/>
  <c r="C54" i="33"/>
  <c r="F54" i="32"/>
  <c r="C61" i="39"/>
  <c r="C61" i="33"/>
  <c r="C61" i="12"/>
  <c r="F61" i="32"/>
  <c r="G61" i="32" s="1"/>
  <c r="E168" i="32"/>
  <c r="G168" i="32" s="1"/>
  <c r="C83" i="33"/>
  <c r="C108" i="12"/>
  <c r="C108" i="39"/>
  <c r="C108" i="33"/>
  <c r="F108" i="32"/>
  <c r="C118" i="39"/>
  <c r="C118" i="12"/>
  <c r="C118" i="33"/>
  <c r="F118" i="32"/>
  <c r="C125" i="39"/>
  <c r="C125" i="12"/>
  <c r="C125" i="33"/>
  <c r="F125" i="32"/>
  <c r="C140" i="12"/>
  <c r="C140" i="39"/>
  <c r="C140" i="33"/>
  <c r="F140" i="32"/>
  <c r="G140" i="32" s="1"/>
  <c r="C150" i="39"/>
  <c r="C150" i="12"/>
  <c r="F150" i="32"/>
  <c r="C150" i="33"/>
  <c r="C23" i="39"/>
  <c r="C23" i="12"/>
  <c r="C23" i="33"/>
  <c r="F23" i="32"/>
  <c r="G23" i="32" s="1"/>
  <c r="E136" i="32"/>
  <c r="C153" i="12"/>
  <c r="C153" i="39"/>
  <c r="C153" i="33"/>
  <c r="F153" i="32"/>
  <c r="G153" i="32" s="1"/>
  <c r="C126" i="39"/>
  <c r="C126" i="12"/>
  <c r="C126" i="33"/>
  <c r="F126" i="32"/>
  <c r="G126" i="32" s="1"/>
  <c r="E253" i="32"/>
  <c r="F187" i="32"/>
  <c r="G187" i="32" s="1"/>
  <c r="C187" i="33"/>
  <c r="C133" i="39"/>
  <c r="C133" i="12"/>
  <c r="C133" i="33"/>
  <c r="F133" i="32"/>
  <c r="G133" i="32" s="1"/>
  <c r="E178" i="32"/>
  <c r="C192" i="39"/>
  <c r="C192" i="12"/>
  <c r="C192" i="33"/>
  <c r="F192" i="32"/>
  <c r="G192" i="32" s="1"/>
  <c r="C211" i="12"/>
  <c r="C211" i="39"/>
  <c r="C211" i="33"/>
  <c r="F211" i="32"/>
  <c r="C224" i="12"/>
  <c r="C224" i="39"/>
  <c r="C224" i="33"/>
  <c r="F224" i="32"/>
  <c r="G224" i="32" s="1"/>
  <c r="C243" i="12"/>
  <c r="C243" i="33"/>
  <c r="C243" i="39"/>
  <c r="F243" i="32"/>
  <c r="C248" i="39"/>
  <c r="C248" i="12"/>
  <c r="C248" i="33"/>
  <c r="F248" i="32"/>
  <c r="E256" i="32"/>
  <c r="G256" i="32" s="1"/>
  <c r="C165" i="39"/>
  <c r="C165" i="12"/>
  <c r="C165" i="33"/>
  <c r="F165" i="32"/>
  <c r="C104" i="12"/>
  <c r="C104" i="39"/>
  <c r="C104" i="33"/>
  <c r="F104" i="32"/>
  <c r="G104" i="32" s="1"/>
  <c r="C191" i="39"/>
  <c r="C191" i="12"/>
  <c r="C191" i="33"/>
  <c r="F191" i="32"/>
  <c r="C220" i="39"/>
  <c r="C220" i="12"/>
  <c r="C220" i="33"/>
  <c r="F220" i="32"/>
  <c r="C241" i="39"/>
  <c r="C241" i="12"/>
  <c r="C241" i="33"/>
  <c r="F241" i="32"/>
  <c r="C110" i="39"/>
  <c r="C110" i="12"/>
  <c r="C110" i="33"/>
  <c r="F110" i="32"/>
  <c r="G110" i="32" s="1"/>
  <c r="C160" i="12"/>
  <c r="C160" i="39"/>
  <c r="C160" i="33"/>
  <c r="F160" i="32"/>
  <c r="C7" i="12"/>
  <c r="F7" i="32"/>
  <c r="G7" i="32" s="1"/>
  <c r="C7" i="39"/>
  <c r="C7" i="33"/>
  <c r="C263" i="39"/>
  <c r="C263" i="12"/>
  <c r="C263" i="33"/>
  <c r="F263" i="32"/>
  <c r="C273" i="39"/>
  <c r="C273" i="12"/>
  <c r="C273" i="33"/>
  <c r="F273" i="32"/>
  <c r="G273" i="32" s="1"/>
  <c r="C289" i="39"/>
  <c r="C289" i="12"/>
  <c r="C289" i="33"/>
  <c r="F289" i="32"/>
  <c r="C307" i="12"/>
  <c r="C307" i="39"/>
  <c r="C269" i="39"/>
  <c r="C269" i="12"/>
  <c r="C269" i="33"/>
  <c r="F269" i="32"/>
  <c r="G269" i="32" s="1"/>
  <c r="C288" i="12"/>
  <c r="C288" i="39"/>
  <c r="F288" i="32"/>
  <c r="G288" i="32" s="1"/>
  <c r="C288" i="33"/>
  <c r="C275" i="39"/>
  <c r="C275" i="12"/>
  <c r="C275" i="33"/>
  <c r="F275" i="32"/>
  <c r="C189" i="39"/>
  <c r="C189" i="12"/>
  <c r="C189" i="33"/>
  <c r="F189" i="32"/>
  <c r="G189" i="32" s="1"/>
  <c r="C268" i="39"/>
  <c r="C268" i="12"/>
  <c r="F268" i="32"/>
  <c r="C268" i="33"/>
  <c r="C312" i="39"/>
  <c r="C312" i="12"/>
  <c r="F312" i="32"/>
  <c r="C312" i="33"/>
  <c r="C300" i="39"/>
  <c r="C300" i="33"/>
  <c r="F300" i="32"/>
  <c r="G300" i="32" s="1"/>
  <c r="C300" i="12"/>
  <c r="G57" i="32"/>
  <c r="E89" i="32"/>
  <c r="G15" i="32"/>
  <c r="G16" i="32"/>
  <c r="G97" i="32"/>
  <c r="G205" i="32"/>
  <c r="G282" i="32"/>
  <c r="G298" i="32"/>
  <c r="G109" i="32"/>
  <c r="G125" i="32"/>
  <c r="G196" i="32"/>
  <c r="G212" i="32"/>
  <c r="G173" i="32"/>
  <c r="G36" i="32"/>
  <c r="G156" i="32"/>
  <c r="G209" i="32"/>
  <c r="G241" i="32"/>
  <c r="G177" i="32"/>
  <c r="G257" i="32"/>
  <c r="G244" i="32"/>
  <c r="G286" i="32"/>
  <c r="G302" i="32"/>
  <c r="C232" i="39"/>
  <c r="C232" i="12"/>
  <c r="F232" i="32"/>
  <c r="G232" i="32" s="1"/>
  <c r="C232" i="33"/>
  <c r="G149" i="32"/>
  <c r="G165" i="32"/>
  <c r="G181" i="32"/>
  <c r="G245" i="32"/>
  <c r="G220" i="32"/>
  <c r="G274" i="32"/>
  <c r="G290" i="32"/>
  <c r="G306" i="32"/>
  <c r="G208" i="32"/>
  <c r="G228" i="32"/>
  <c r="G12" i="32"/>
  <c r="G117" i="32"/>
  <c r="G169" i="32"/>
  <c r="G248" i="32"/>
  <c r="G262" i="32"/>
  <c r="G278" i="32"/>
  <c r="G112" i="32"/>
  <c r="E19" i="32"/>
  <c r="G19" i="32" s="1"/>
  <c r="C33" i="39"/>
  <c r="C33" i="12"/>
  <c r="C33" i="33"/>
  <c r="F33" i="32"/>
  <c r="G33" i="32" s="1"/>
  <c r="R44" i="19"/>
  <c r="U44" i="19" s="1"/>
  <c r="T44" i="19"/>
  <c r="E50" i="32"/>
  <c r="G50" i="32" s="1"/>
  <c r="G96" i="32"/>
  <c r="E171" i="32"/>
  <c r="E176" i="32"/>
  <c r="C226" i="39"/>
  <c r="C226" i="12"/>
  <c r="C226" i="33"/>
  <c r="F226" i="32"/>
  <c r="G226" i="32" s="1"/>
  <c r="E242" i="32"/>
  <c r="E277" i="32"/>
  <c r="G277" i="32" s="1"/>
  <c r="E293" i="32"/>
  <c r="G293" i="32" s="1"/>
  <c r="E311" i="32"/>
  <c r="C139" i="39"/>
  <c r="C139" i="12"/>
  <c r="C139" i="33"/>
  <c r="F139" i="32"/>
  <c r="G139" i="32" s="1"/>
  <c r="E167" i="32"/>
  <c r="E190" i="32"/>
  <c r="E47" i="32"/>
  <c r="E119" i="32"/>
  <c r="E214" i="32"/>
  <c r="G214" i="32" s="1"/>
  <c r="E272" i="32"/>
  <c r="G272" i="32" s="1"/>
  <c r="E280" i="32"/>
  <c r="C127" i="39"/>
  <c r="C127" i="12"/>
  <c r="C127" i="33"/>
  <c r="F127" i="32"/>
  <c r="G127" i="32" s="1"/>
  <c r="C216" i="39"/>
  <c r="C216" i="12"/>
  <c r="C216" i="33"/>
  <c r="F216" i="32"/>
  <c r="G216" i="32" s="1"/>
  <c r="G227" i="32"/>
  <c r="C151" i="39"/>
  <c r="C151" i="12"/>
  <c r="C151" i="33"/>
  <c r="F151" i="32"/>
  <c r="E163" i="32"/>
  <c r="E106" i="32"/>
  <c r="E115" i="32"/>
  <c r="G115" i="32" s="1"/>
  <c r="E135" i="32"/>
  <c r="E160" i="32"/>
  <c r="G160" i="32" s="1"/>
  <c r="R211" i="19"/>
  <c r="U211" i="19" s="1"/>
  <c r="T211" i="19"/>
  <c r="C238" i="39"/>
  <c r="C238" i="12"/>
  <c r="C238" i="33"/>
  <c r="F238" i="32"/>
  <c r="E247" i="32"/>
  <c r="E264" i="32"/>
  <c r="G264" i="32" s="1"/>
  <c r="C155" i="39"/>
  <c r="C155" i="12"/>
  <c r="F155" i="32"/>
  <c r="G155" i="32" s="1"/>
  <c r="C155" i="33"/>
  <c r="E182" i="32"/>
  <c r="G182" i="32" s="1"/>
  <c r="E42" i="32"/>
  <c r="G42" i="32" s="1"/>
  <c r="E118" i="32"/>
  <c r="E198" i="32"/>
  <c r="E62" i="32"/>
  <c r="E250" i="32"/>
  <c r="G250" i="32" s="1"/>
  <c r="E313" i="32"/>
  <c r="E13" i="32"/>
  <c r="G13" i="32" s="1"/>
  <c r="E53" i="32"/>
  <c r="E100" i="32"/>
  <c r="E151" i="32"/>
  <c r="E210" i="32"/>
  <c r="C222" i="39"/>
  <c r="C222" i="12"/>
  <c r="F222" i="32"/>
  <c r="C222" i="33"/>
  <c r="E285" i="32"/>
  <c r="G285" i="32" s="1"/>
  <c r="E301" i="32"/>
  <c r="G301" i="32" s="1"/>
  <c r="E308" i="32"/>
  <c r="G308" i="32" s="1"/>
  <c r="E218" i="32"/>
  <c r="G218" i="32" s="1"/>
  <c r="E275" i="32"/>
  <c r="G275" i="32" s="1"/>
  <c r="C184" i="39"/>
  <c r="C184" i="12"/>
  <c r="C184" i="33"/>
  <c r="F184" i="32"/>
  <c r="G184" i="32" s="1"/>
  <c r="E195" i="32"/>
  <c r="G195" i="32" s="1"/>
  <c r="E312" i="32"/>
  <c r="E49" i="32"/>
  <c r="E54" i="32"/>
  <c r="C95" i="39"/>
  <c r="C95" i="12"/>
  <c r="F95" i="32"/>
  <c r="C95" i="33"/>
  <c r="E111" i="32"/>
  <c r="C119" i="39"/>
  <c r="C119" i="33"/>
  <c r="F119" i="32"/>
  <c r="C119" i="12"/>
  <c r="C176" i="39"/>
  <c r="C176" i="12"/>
  <c r="C176" i="33"/>
  <c r="F176" i="32"/>
  <c r="C200" i="39"/>
  <c r="C200" i="12"/>
  <c r="C200" i="33"/>
  <c r="F200" i="32"/>
  <c r="G200" i="32" s="1"/>
  <c r="R243" i="19"/>
  <c r="U243" i="19" s="1"/>
  <c r="T243" i="19"/>
  <c r="E259" i="32"/>
  <c r="G259" i="32" s="1"/>
  <c r="E267" i="32"/>
  <c r="G267" i="32" s="1"/>
  <c r="R28" i="19"/>
  <c r="U28" i="19" s="1"/>
  <c r="T28" i="19"/>
  <c r="E34" i="32"/>
  <c r="G34" i="32" s="1"/>
  <c r="E25" i="32"/>
  <c r="G25" i="32" s="1"/>
  <c r="C49" i="39"/>
  <c r="C49" i="12"/>
  <c r="F49" i="32"/>
  <c r="C49" i="33"/>
  <c r="C135" i="39"/>
  <c r="C135" i="12"/>
  <c r="C135" i="33"/>
  <c r="F135" i="32"/>
  <c r="G116" i="32"/>
  <c r="E281" i="32"/>
  <c r="G281" i="32" s="1"/>
  <c r="E287" i="32"/>
  <c r="G287" i="32" s="1"/>
  <c r="E17" i="32"/>
  <c r="G22" i="32"/>
  <c r="C111" i="39"/>
  <c r="C111" i="12"/>
  <c r="F111" i="32"/>
  <c r="C111" i="33"/>
  <c r="E202" i="32"/>
  <c r="G90" i="32"/>
  <c r="G159" i="32"/>
  <c r="E166" i="32"/>
  <c r="G243" i="32"/>
  <c r="E271" i="32"/>
  <c r="G271" i="32" s="1"/>
  <c r="E138" i="32"/>
  <c r="G138" i="32" s="1"/>
  <c r="R179" i="19"/>
  <c r="U179" i="19" s="1"/>
  <c r="R191" i="19"/>
  <c r="U191" i="19" s="1"/>
  <c r="E238" i="32"/>
  <c r="E307" i="32"/>
  <c r="G131" i="32"/>
  <c r="G35" i="32"/>
  <c r="E99" i="32"/>
  <c r="E222" i="32"/>
  <c r="G108" i="32"/>
  <c r="G191" i="32"/>
  <c r="E206" i="32"/>
  <c r="C79" i="39"/>
  <c r="C79" i="12"/>
  <c r="C79" i="33"/>
  <c r="F79" i="32"/>
  <c r="C143" i="39"/>
  <c r="C143" i="12"/>
  <c r="F143" i="32"/>
  <c r="C143" i="33"/>
  <c r="G268" i="32"/>
  <c r="G46" i="32"/>
  <c r="E18" i="32"/>
  <c r="G18" i="32" s="1"/>
  <c r="R163" i="19"/>
  <c r="U163" i="19" s="1"/>
  <c r="E180" i="32"/>
  <c r="R195" i="19"/>
  <c r="U195" i="19" s="1"/>
  <c r="T195" i="19"/>
  <c r="G215" i="32"/>
  <c r="E299" i="32"/>
  <c r="G299" i="32" s="1"/>
  <c r="E79" i="32"/>
  <c r="G289" i="32"/>
  <c r="G211" i="32"/>
  <c r="G175" i="32"/>
  <c r="G231" i="32"/>
  <c r="G103" i="32"/>
  <c r="G276" i="32"/>
  <c r="G260" i="32"/>
  <c r="R12" i="19"/>
  <c r="U12" i="19" s="1"/>
  <c r="T12" i="19"/>
  <c r="E26" i="32"/>
  <c r="G26" i="32" s="1"/>
  <c r="E98" i="32"/>
  <c r="E114" i="32"/>
  <c r="E170" i="32"/>
  <c r="G219" i="32"/>
  <c r="E234" i="32"/>
  <c r="E296" i="32"/>
  <c r="G296" i="32" s="1"/>
  <c r="G148" i="32"/>
  <c r="G142" i="32"/>
  <c r="G147" i="32"/>
  <c r="G303" i="32"/>
  <c r="G283" i="32"/>
  <c r="G305" i="32"/>
  <c r="C17" i="39"/>
  <c r="C17" i="12"/>
  <c r="C17" i="33"/>
  <c r="F17" i="32"/>
  <c r="E38" i="32"/>
  <c r="G38" i="32" s="1"/>
  <c r="E95" i="32"/>
  <c r="E174" i="32"/>
  <c r="E246" i="32"/>
  <c r="G246" i="32" s="1"/>
  <c r="E265" i="32"/>
  <c r="G143" i="32"/>
  <c r="C123" i="39"/>
  <c r="C123" i="12"/>
  <c r="C123" i="33"/>
  <c r="F123" i="32"/>
  <c r="G123" i="32" s="1"/>
  <c r="G186" i="32"/>
  <c r="E94" i="32"/>
  <c r="E292" i="32"/>
  <c r="G292" i="32" s="1"/>
  <c r="E21" i="32"/>
  <c r="E102" i="32"/>
  <c r="G102" i="32" s="1"/>
  <c r="T159" i="19"/>
  <c r="R159" i="19"/>
  <c r="U159" i="19" s="1"/>
  <c r="G199" i="32"/>
  <c r="E230" i="32"/>
  <c r="G284" i="32"/>
  <c r="G30" i="32"/>
  <c r="G70" i="32"/>
  <c r="C157" i="33"/>
  <c r="F157" i="32"/>
  <c r="C157" i="39"/>
  <c r="C157" i="12"/>
  <c r="E71" i="33"/>
  <c r="D71" i="37" s="1"/>
  <c r="C71" i="11"/>
  <c r="F71" i="11" s="1"/>
  <c r="C81" i="34"/>
  <c r="R87" i="19"/>
  <c r="U87" i="19" s="1"/>
  <c r="T87" i="19"/>
  <c r="R75" i="19"/>
  <c r="U75" i="19" s="1"/>
  <c r="T75" i="19"/>
  <c r="R115" i="19"/>
  <c r="U115" i="19" s="1"/>
  <c r="T115" i="19"/>
  <c r="T64" i="19"/>
  <c r="R64" i="19"/>
  <c r="U64" i="19" s="1"/>
  <c r="R67" i="19"/>
  <c r="U67" i="19" s="1"/>
  <c r="T67" i="19"/>
  <c r="T76" i="19"/>
  <c r="R76" i="19"/>
  <c r="U76" i="19" s="1"/>
  <c r="T61" i="19"/>
  <c r="R61" i="19"/>
  <c r="U61" i="19" s="1"/>
  <c r="T171" i="19"/>
  <c r="R171" i="19"/>
  <c r="U171" i="19" s="1"/>
  <c r="T248" i="19"/>
  <c r="R248" i="19"/>
  <c r="U248" i="19" s="1"/>
  <c r="T68" i="19"/>
  <c r="R68" i="19"/>
  <c r="U68" i="19" s="1"/>
  <c r="R99" i="19"/>
  <c r="U99" i="19" s="1"/>
  <c r="T99" i="19"/>
  <c r="T167" i="19"/>
  <c r="R167" i="19"/>
  <c r="U167" i="19" s="1"/>
  <c r="R147" i="19"/>
  <c r="U147" i="19" s="1"/>
  <c r="T147" i="19"/>
  <c r="T256" i="19"/>
  <c r="R256" i="19"/>
  <c r="U256" i="19" s="1"/>
  <c r="R107" i="19"/>
  <c r="U107" i="19" s="1"/>
  <c r="T107" i="19"/>
  <c r="R83" i="19"/>
  <c r="U83" i="19" s="1"/>
  <c r="T83" i="19"/>
  <c r="R131" i="19"/>
  <c r="U131" i="19" s="1"/>
  <c r="T131" i="19"/>
  <c r="T252" i="19"/>
  <c r="R252" i="19"/>
  <c r="U252" i="19" s="1"/>
  <c r="C101" i="34" l="1"/>
  <c r="F265" i="32"/>
  <c r="G265" i="32" s="1"/>
  <c r="C187" i="12"/>
  <c r="C73" i="39"/>
  <c r="C14" i="33"/>
  <c r="C309" i="39"/>
  <c r="C239" i="39"/>
  <c r="F279" i="32"/>
  <c r="G279" i="32" s="1"/>
  <c r="C236" i="33"/>
  <c r="F132" i="32"/>
  <c r="G132" i="32" s="1"/>
  <c r="F261" i="32"/>
  <c r="G261" i="32" s="1"/>
  <c r="C164" i="39"/>
  <c r="C65" i="12"/>
  <c r="C29" i="33"/>
  <c r="C137" i="39"/>
  <c r="C144" i="39"/>
  <c r="C51" i="39"/>
  <c r="G94" i="32"/>
  <c r="C91" i="11"/>
  <c r="F91" i="11" s="1"/>
  <c r="G100" i="32"/>
  <c r="C265" i="33"/>
  <c r="C73" i="12"/>
  <c r="C14" i="39"/>
  <c r="C291" i="33"/>
  <c r="F236" i="32"/>
  <c r="G236" i="32" s="1"/>
  <c r="C132" i="33"/>
  <c r="C132" i="11" s="1"/>
  <c r="F132" i="11" s="1"/>
  <c r="C31" i="33"/>
  <c r="C261" i="33"/>
  <c r="E261" i="33" s="1"/>
  <c r="D261" i="37" s="1"/>
  <c r="F240" i="32"/>
  <c r="G240" i="32" s="1"/>
  <c r="C77" i="33"/>
  <c r="F29" i="32"/>
  <c r="G29" i="32" s="1"/>
  <c r="C280" i="39"/>
  <c r="C265" i="12"/>
  <c r="F291" i="32"/>
  <c r="G291" i="32" s="1"/>
  <c r="F204" i="32"/>
  <c r="G204" i="32" s="1"/>
  <c r="F167" i="32"/>
  <c r="G167" i="32" s="1"/>
  <c r="C236" i="12"/>
  <c r="C132" i="39"/>
  <c r="F31" i="32"/>
  <c r="G31" i="32" s="1"/>
  <c r="C240" i="33"/>
  <c r="F72" i="32"/>
  <c r="G72" i="32" s="1"/>
  <c r="F81" i="32"/>
  <c r="G81" i="32" s="1"/>
  <c r="F101" i="32"/>
  <c r="G101" i="32" s="1"/>
  <c r="G174" i="32"/>
  <c r="G53" i="32"/>
  <c r="G163" i="32"/>
  <c r="G136" i="32"/>
  <c r="F295" i="32"/>
  <c r="G295" i="32" s="1"/>
  <c r="G85" i="32"/>
  <c r="C291" i="39"/>
  <c r="C204" i="33"/>
  <c r="C204" i="11" s="1"/>
  <c r="F204" i="11" s="1"/>
  <c r="C167" i="33"/>
  <c r="C116" i="33"/>
  <c r="C31" i="39"/>
  <c r="C240" i="12"/>
  <c r="C156" i="33"/>
  <c r="C77" i="12"/>
  <c r="C72" i="33"/>
  <c r="C81" i="33"/>
  <c r="C81" i="11" s="1"/>
  <c r="F81" i="11" s="1"/>
  <c r="C101" i="33"/>
  <c r="F62" i="32"/>
  <c r="G62" i="32" s="1"/>
  <c r="C309" i="12"/>
  <c r="G313" i="32"/>
  <c r="F307" i="32"/>
  <c r="G307" i="32" s="1"/>
  <c r="C295" i="33"/>
  <c r="C305" i="34" s="1"/>
  <c r="C204" i="12"/>
  <c r="C167" i="12"/>
  <c r="C51" i="33"/>
  <c r="F198" i="32"/>
  <c r="F311" i="32"/>
  <c r="F280" i="32"/>
  <c r="G280" i="32" s="1"/>
  <c r="C304" i="33"/>
  <c r="C72" i="39"/>
  <c r="C81" i="39"/>
  <c r="C101" i="12"/>
  <c r="F254" i="32"/>
  <c r="G254" i="32" s="1"/>
  <c r="G99" i="32"/>
  <c r="G311" i="32"/>
  <c r="G54" i="32"/>
  <c r="G171" i="32"/>
  <c r="C83" i="12"/>
  <c r="C225" i="12"/>
  <c r="F78" i="32"/>
  <c r="G78" i="32" s="1"/>
  <c r="C83" i="39"/>
  <c r="C225" i="39"/>
  <c r="C78" i="33"/>
  <c r="G312" i="32"/>
  <c r="C78" i="12"/>
  <c r="F58" i="32"/>
  <c r="G58" i="32" s="1"/>
  <c r="F206" i="32"/>
  <c r="G206" i="32" s="1"/>
  <c r="C58" i="33"/>
  <c r="C58" i="11" s="1"/>
  <c r="F58" i="11" s="1"/>
  <c r="C206" i="33"/>
  <c r="C188" i="33"/>
  <c r="F121" i="32"/>
  <c r="G121" i="32" s="1"/>
  <c r="F21" i="32"/>
  <c r="G21" i="32" s="1"/>
  <c r="C254" i="33"/>
  <c r="C58" i="12"/>
  <c r="C206" i="12"/>
  <c r="F188" i="32"/>
  <c r="G188" i="32" s="1"/>
  <c r="C121" i="33"/>
  <c r="G118" i="32"/>
  <c r="G253" i="32"/>
  <c r="G92" i="32"/>
  <c r="C112" i="39"/>
  <c r="F304" i="32"/>
  <c r="G304" i="32" s="1"/>
  <c r="C112" i="12"/>
  <c r="G230" i="32"/>
  <c r="G79" i="32"/>
  <c r="G152" i="32"/>
  <c r="C304" i="12"/>
  <c r="C84" i="33"/>
  <c r="G69" i="32"/>
  <c r="G202" i="32"/>
  <c r="G49" i="32"/>
  <c r="G198" i="32"/>
  <c r="G47" i="32"/>
  <c r="G89" i="32"/>
  <c r="G238" i="32"/>
  <c r="G95" i="32"/>
  <c r="C251" i="39"/>
  <c r="C251" i="12"/>
  <c r="F251" i="32"/>
  <c r="G251" i="32" s="1"/>
  <c r="C251" i="33"/>
  <c r="C166" i="39"/>
  <c r="C166" i="12"/>
  <c r="C166" i="33"/>
  <c r="F166" i="32"/>
  <c r="C170" i="39"/>
  <c r="C170" i="12"/>
  <c r="C170" i="33"/>
  <c r="F170" i="32"/>
  <c r="G170" i="32" s="1"/>
  <c r="C75" i="39"/>
  <c r="C75" i="12"/>
  <c r="F75" i="32"/>
  <c r="G75" i="32" s="1"/>
  <c r="C75" i="33"/>
  <c r="C82" i="39"/>
  <c r="C82" i="12"/>
  <c r="C82" i="33"/>
  <c r="F82" i="32"/>
  <c r="G82" i="32" s="1"/>
  <c r="C74" i="39"/>
  <c r="C74" i="12"/>
  <c r="F74" i="32"/>
  <c r="G74" i="32" s="1"/>
  <c r="C74" i="33"/>
  <c r="C123" i="11"/>
  <c r="F123" i="11" s="1"/>
  <c r="C133" i="34"/>
  <c r="E123" i="33"/>
  <c r="D123" i="37" s="1"/>
  <c r="C11" i="39"/>
  <c r="C11" i="12"/>
  <c r="F11" i="32"/>
  <c r="G11" i="32" s="1"/>
  <c r="C11" i="33"/>
  <c r="C162" i="39"/>
  <c r="C162" i="12"/>
  <c r="C162" i="33"/>
  <c r="F162" i="32"/>
  <c r="C190" i="39"/>
  <c r="C190" i="12"/>
  <c r="C190" i="33"/>
  <c r="F190" i="32"/>
  <c r="G17" i="32"/>
  <c r="C135" i="11"/>
  <c r="F135" i="11" s="1"/>
  <c r="C145" i="34"/>
  <c r="E135" i="33"/>
  <c r="D135" i="37" s="1"/>
  <c r="C242" i="39"/>
  <c r="C242" i="12"/>
  <c r="C242" i="33"/>
  <c r="F242" i="32"/>
  <c r="C119" i="11"/>
  <c r="F119" i="11" s="1"/>
  <c r="C129" i="34"/>
  <c r="E119" i="33"/>
  <c r="D119" i="37" s="1"/>
  <c r="E95" i="33"/>
  <c r="D95" i="37" s="1"/>
  <c r="C95" i="11"/>
  <c r="F95" i="11" s="1"/>
  <c r="C105" i="34"/>
  <c r="E222" i="33"/>
  <c r="D222" i="37" s="1"/>
  <c r="C222" i="11"/>
  <c r="F222" i="11" s="1"/>
  <c r="C232" i="34"/>
  <c r="G135" i="32"/>
  <c r="G119" i="32"/>
  <c r="C258" i="34"/>
  <c r="C248" i="11"/>
  <c r="F248" i="11" s="1"/>
  <c r="E248" i="33"/>
  <c r="D248" i="37" s="1"/>
  <c r="C234" i="34"/>
  <c r="C224" i="11"/>
  <c r="F224" i="11" s="1"/>
  <c r="E224" i="33"/>
  <c r="D224" i="37" s="1"/>
  <c r="E211" i="33"/>
  <c r="D211" i="37" s="1"/>
  <c r="C211" i="11"/>
  <c r="F211" i="11" s="1"/>
  <c r="C221" i="34"/>
  <c r="C202" i="34"/>
  <c r="C192" i="11"/>
  <c r="F192" i="11" s="1"/>
  <c r="E192" i="33"/>
  <c r="D192" i="37" s="1"/>
  <c r="E126" i="33"/>
  <c r="D126" i="37" s="1"/>
  <c r="C126" i="11"/>
  <c r="F126" i="11" s="1"/>
  <c r="C136" i="34"/>
  <c r="C153" i="11"/>
  <c r="F153" i="11" s="1"/>
  <c r="C163" i="34"/>
  <c r="E153" i="33"/>
  <c r="D153" i="37" s="1"/>
  <c r="C54" i="11"/>
  <c r="F54" i="11" s="1"/>
  <c r="C64" i="34"/>
  <c r="E54" i="33"/>
  <c r="D54" i="37" s="1"/>
  <c r="C93" i="11"/>
  <c r="F93" i="11" s="1"/>
  <c r="C103" i="34"/>
  <c r="E93" i="33"/>
  <c r="D93" i="37" s="1"/>
  <c r="E20" i="33"/>
  <c r="D20" i="37" s="1"/>
  <c r="C30" i="34"/>
  <c r="C20" i="11"/>
  <c r="F20" i="11" s="1"/>
  <c r="E56" i="33"/>
  <c r="D56" i="37" s="1"/>
  <c r="C56" i="11"/>
  <c r="F56" i="11" s="1"/>
  <c r="C66" i="34"/>
  <c r="E40" i="33"/>
  <c r="D40" i="37" s="1"/>
  <c r="C40" i="11"/>
  <c r="F40" i="11" s="1"/>
  <c r="C50" i="34"/>
  <c r="E24" i="33"/>
  <c r="D24" i="37" s="1"/>
  <c r="C24" i="11"/>
  <c r="F24" i="11" s="1"/>
  <c r="C34" i="34"/>
  <c r="C145" i="11"/>
  <c r="F145" i="11" s="1"/>
  <c r="C155" i="34"/>
  <c r="E145" i="33"/>
  <c r="D145" i="37" s="1"/>
  <c r="C80" i="11"/>
  <c r="F80" i="11" s="1"/>
  <c r="C90" i="34"/>
  <c r="E80" i="33"/>
  <c r="D80" i="37" s="1"/>
  <c r="E47" i="33"/>
  <c r="D47" i="37" s="1"/>
  <c r="C47" i="11"/>
  <c r="F47" i="11" s="1"/>
  <c r="C57" i="34"/>
  <c r="E48" i="33"/>
  <c r="D48" i="37" s="1"/>
  <c r="C48" i="11"/>
  <c r="F48" i="11" s="1"/>
  <c r="C58" i="34"/>
  <c r="C13" i="11"/>
  <c r="F13" i="11" s="1"/>
  <c r="C23" i="34"/>
  <c r="E13" i="33"/>
  <c r="D13" i="37" s="1"/>
  <c r="C256" i="11"/>
  <c r="F256" i="11" s="1"/>
  <c r="C266" i="34"/>
  <c r="E256" i="33"/>
  <c r="D256" i="37" s="1"/>
  <c r="E179" i="33"/>
  <c r="D179" i="37" s="1"/>
  <c r="C179" i="11"/>
  <c r="F179" i="11" s="1"/>
  <c r="C189" i="34"/>
  <c r="E159" i="33"/>
  <c r="D159" i="37" s="1"/>
  <c r="C159" i="11"/>
  <c r="F159" i="11" s="1"/>
  <c r="C169" i="34"/>
  <c r="C223" i="34"/>
  <c r="C213" i="11"/>
  <c r="F213" i="11" s="1"/>
  <c r="E213" i="33"/>
  <c r="D213" i="37" s="1"/>
  <c r="E309" i="33"/>
  <c r="D309" i="37" s="1"/>
  <c r="C319" i="34"/>
  <c r="C309" i="11"/>
  <c r="F309" i="11" s="1"/>
  <c r="E257" i="33"/>
  <c r="D257" i="37" s="1"/>
  <c r="C267" i="34"/>
  <c r="C257" i="11"/>
  <c r="F257" i="11" s="1"/>
  <c r="E285" i="33"/>
  <c r="D285" i="37" s="1"/>
  <c r="C285" i="11"/>
  <c r="F285" i="11" s="1"/>
  <c r="C295" i="34"/>
  <c r="C267" i="11"/>
  <c r="F267" i="11" s="1"/>
  <c r="C277" i="34"/>
  <c r="E267" i="33"/>
  <c r="D267" i="37" s="1"/>
  <c r="E249" i="33"/>
  <c r="D249" i="37" s="1"/>
  <c r="C249" i="11"/>
  <c r="F249" i="11" s="1"/>
  <c r="C259" i="34"/>
  <c r="E278" i="33"/>
  <c r="D278" i="37" s="1"/>
  <c r="C278" i="11"/>
  <c r="F278" i="11" s="1"/>
  <c r="C288" i="34"/>
  <c r="C303" i="11"/>
  <c r="F303" i="11" s="1"/>
  <c r="E303" i="33"/>
  <c r="D303" i="37" s="1"/>
  <c r="C313" i="34"/>
  <c r="E290" i="33"/>
  <c r="D290" i="37" s="1"/>
  <c r="C290" i="11"/>
  <c r="F290" i="11" s="1"/>
  <c r="C300" i="34"/>
  <c r="C287" i="11"/>
  <c r="F287" i="11" s="1"/>
  <c r="C297" i="34"/>
  <c r="E287" i="33"/>
  <c r="D287" i="37" s="1"/>
  <c r="E274" i="33"/>
  <c r="D274" i="37" s="1"/>
  <c r="C284" i="34"/>
  <c r="C274" i="11"/>
  <c r="F274" i="11" s="1"/>
  <c r="C271" i="11"/>
  <c r="F271" i="11" s="1"/>
  <c r="C281" i="34"/>
  <c r="E271" i="33"/>
  <c r="D271" i="37" s="1"/>
  <c r="C215" i="34"/>
  <c r="C205" i="11"/>
  <c r="F205" i="11" s="1"/>
  <c r="E205" i="33"/>
  <c r="D205" i="37" s="1"/>
  <c r="E239" i="33"/>
  <c r="D239" i="37" s="1"/>
  <c r="C239" i="11"/>
  <c r="F239" i="11" s="1"/>
  <c r="C249" i="34"/>
  <c r="C225" i="11"/>
  <c r="F225" i="11" s="1"/>
  <c r="C235" i="34"/>
  <c r="E225" i="33"/>
  <c r="D225" i="37" s="1"/>
  <c r="C214" i="34"/>
  <c r="E167" i="33"/>
  <c r="D167" i="37" s="1"/>
  <c r="C167" i="11"/>
  <c r="F167" i="11" s="1"/>
  <c r="C177" i="34"/>
  <c r="E163" i="33"/>
  <c r="D163" i="37" s="1"/>
  <c r="C163" i="11"/>
  <c r="F163" i="11" s="1"/>
  <c r="C173" i="34"/>
  <c r="C148" i="11"/>
  <c r="F148" i="11" s="1"/>
  <c r="C158" i="34"/>
  <c r="E148" i="33"/>
  <c r="D148" i="37" s="1"/>
  <c r="C231" i="34"/>
  <c r="C221" i="11"/>
  <c r="F221" i="11" s="1"/>
  <c r="E221" i="33"/>
  <c r="D221" i="37" s="1"/>
  <c r="E246" i="33"/>
  <c r="D246" i="37" s="1"/>
  <c r="C246" i="11"/>
  <c r="F246" i="11" s="1"/>
  <c r="C256" i="34"/>
  <c r="C239" i="34"/>
  <c r="C229" i="11"/>
  <c r="F229" i="11" s="1"/>
  <c r="E229" i="33"/>
  <c r="D229" i="37" s="1"/>
  <c r="C207" i="34"/>
  <c r="C197" i="11"/>
  <c r="F197" i="11" s="1"/>
  <c r="E197" i="33"/>
  <c r="D197" i="37" s="1"/>
  <c r="E182" i="33"/>
  <c r="D182" i="37" s="1"/>
  <c r="C182" i="11"/>
  <c r="F182" i="11" s="1"/>
  <c r="C192" i="34"/>
  <c r="E174" i="33"/>
  <c r="D174" i="37" s="1"/>
  <c r="C174" i="11"/>
  <c r="F174" i="11" s="1"/>
  <c r="C184" i="34"/>
  <c r="E115" i="33"/>
  <c r="D115" i="37" s="1"/>
  <c r="C115" i="11"/>
  <c r="F115" i="11" s="1"/>
  <c r="C125" i="34"/>
  <c r="E244" i="33"/>
  <c r="D244" i="37" s="1"/>
  <c r="C254" i="34"/>
  <c r="C244" i="11"/>
  <c r="F244" i="11" s="1"/>
  <c r="C233" i="11"/>
  <c r="F233" i="11" s="1"/>
  <c r="C243" i="34"/>
  <c r="E233" i="33"/>
  <c r="D233" i="37" s="1"/>
  <c r="C217" i="11"/>
  <c r="F217" i="11" s="1"/>
  <c r="C227" i="34"/>
  <c r="E217" i="33"/>
  <c r="D217" i="37" s="1"/>
  <c r="C222" i="34"/>
  <c r="C212" i="11"/>
  <c r="F212" i="11" s="1"/>
  <c r="E212" i="33"/>
  <c r="D212" i="37" s="1"/>
  <c r="C190" i="34"/>
  <c r="C180" i="11"/>
  <c r="F180" i="11" s="1"/>
  <c r="E180" i="33"/>
  <c r="D180" i="37" s="1"/>
  <c r="C161" i="11"/>
  <c r="F161" i="11" s="1"/>
  <c r="C171" i="34"/>
  <c r="E161" i="33"/>
  <c r="D161" i="37" s="1"/>
  <c r="C116" i="11"/>
  <c r="F116" i="11" s="1"/>
  <c r="C126" i="34"/>
  <c r="E116" i="33"/>
  <c r="D116" i="37" s="1"/>
  <c r="C57" i="11"/>
  <c r="F57" i="11" s="1"/>
  <c r="C67" i="34"/>
  <c r="E57" i="33"/>
  <c r="D57" i="37" s="1"/>
  <c r="E90" i="33"/>
  <c r="D90" i="37" s="1"/>
  <c r="C90" i="11"/>
  <c r="F90" i="11" s="1"/>
  <c r="C100" i="34"/>
  <c r="C18" i="11"/>
  <c r="F18" i="11" s="1"/>
  <c r="C28" i="34"/>
  <c r="E18" i="33"/>
  <c r="D18" i="37" s="1"/>
  <c r="E298" i="33"/>
  <c r="D298" i="37" s="1"/>
  <c r="C298" i="11"/>
  <c r="F298" i="11" s="1"/>
  <c r="C308" i="34"/>
  <c r="C279" i="11"/>
  <c r="F279" i="11" s="1"/>
  <c r="C289" i="34"/>
  <c r="E279" i="33"/>
  <c r="D279" i="37" s="1"/>
  <c r="E266" i="33"/>
  <c r="D266" i="37" s="1"/>
  <c r="C266" i="11"/>
  <c r="F266" i="11" s="1"/>
  <c r="C276" i="34"/>
  <c r="C131" i="11"/>
  <c r="F131" i="11" s="1"/>
  <c r="C141" i="34"/>
  <c r="E131" i="33"/>
  <c r="D131" i="37" s="1"/>
  <c r="C255" i="34"/>
  <c r="C245" i="11"/>
  <c r="F245" i="11" s="1"/>
  <c r="E245" i="33"/>
  <c r="D245" i="37" s="1"/>
  <c r="E198" i="33"/>
  <c r="D198" i="37" s="1"/>
  <c r="C198" i="11"/>
  <c r="F198" i="11" s="1"/>
  <c r="C208" i="34"/>
  <c r="C100" i="11"/>
  <c r="F100" i="11" s="1"/>
  <c r="C110" i="34"/>
  <c r="E100" i="33"/>
  <c r="D100" i="37" s="1"/>
  <c r="C84" i="11"/>
  <c r="F84" i="11" s="1"/>
  <c r="C94" i="34"/>
  <c r="E84" i="33"/>
  <c r="D84" i="37" s="1"/>
  <c r="G68" i="32"/>
  <c r="G14" i="32"/>
  <c r="G154" i="32"/>
  <c r="C91" i="34"/>
  <c r="C53" i="11"/>
  <c r="F53" i="11" s="1"/>
  <c r="C63" i="34"/>
  <c r="E53" i="33"/>
  <c r="D53" i="37" s="1"/>
  <c r="C42" i="11"/>
  <c r="F42" i="11" s="1"/>
  <c r="C52" i="34"/>
  <c r="E42" i="33"/>
  <c r="D42" i="37" s="1"/>
  <c r="C45" i="11"/>
  <c r="F45" i="11" s="1"/>
  <c r="C55" i="34"/>
  <c r="E45" i="33"/>
  <c r="D45" i="37" s="1"/>
  <c r="E16" i="33"/>
  <c r="D16" i="37" s="1"/>
  <c r="C16" i="11"/>
  <c r="F16" i="11" s="1"/>
  <c r="C26" i="34"/>
  <c r="E310" i="33"/>
  <c r="D310" i="37" s="1"/>
  <c r="C310" i="11"/>
  <c r="F310" i="11" s="1"/>
  <c r="C320" i="34"/>
  <c r="E193" i="33"/>
  <c r="D193" i="37" s="1"/>
  <c r="C193" i="11"/>
  <c r="F193" i="11" s="1"/>
  <c r="C203" i="34"/>
  <c r="C191" i="34"/>
  <c r="C181" i="11"/>
  <c r="F181" i="11" s="1"/>
  <c r="E181" i="33"/>
  <c r="D181" i="37" s="1"/>
  <c r="C199" i="11"/>
  <c r="F199" i="11" s="1"/>
  <c r="C209" i="34"/>
  <c r="E199" i="33"/>
  <c r="D199" i="37" s="1"/>
  <c r="C137" i="11"/>
  <c r="F137" i="11" s="1"/>
  <c r="C147" i="34"/>
  <c r="E137" i="33"/>
  <c r="D137" i="37" s="1"/>
  <c r="C144" i="11"/>
  <c r="F144" i="11" s="1"/>
  <c r="C154" i="34"/>
  <c r="E144" i="33"/>
  <c r="D144" i="37" s="1"/>
  <c r="C111" i="34"/>
  <c r="C101" i="11"/>
  <c r="F101" i="11" s="1"/>
  <c r="E101" i="33"/>
  <c r="D101" i="37" s="1"/>
  <c r="C89" i="11"/>
  <c r="F89" i="11" s="1"/>
  <c r="C99" i="34"/>
  <c r="E89" i="33"/>
  <c r="D89" i="37" s="1"/>
  <c r="C21" i="11"/>
  <c r="F21" i="11" s="1"/>
  <c r="C31" i="34"/>
  <c r="E21" i="33"/>
  <c r="D21" i="37" s="1"/>
  <c r="C50" i="11"/>
  <c r="F50" i="11" s="1"/>
  <c r="C60" i="34"/>
  <c r="E50" i="33"/>
  <c r="D50" i="37" s="1"/>
  <c r="C247" i="39"/>
  <c r="C247" i="12"/>
  <c r="C247" i="33"/>
  <c r="F247" i="32"/>
  <c r="C194" i="39"/>
  <c r="C194" i="12"/>
  <c r="F194" i="32"/>
  <c r="G194" i="32" s="1"/>
  <c r="C194" i="33"/>
  <c r="E143" i="33"/>
  <c r="D143" i="37" s="1"/>
  <c r="C143" i="11"/>
  <c r="F143" i="11" s="1"/>
  <c r="C153" i="34"/>
  <c r="C178" i="39"/>
  <c r="C178" i="12"/>
  <c r="F178" i="32"/>
  <c r="C178" i="33"/>
  <c r="E111" i="33"/>
  <c r="D111" i="37" s="1"/>
  <c r="C111" i="11"/>
  <c r="F111" i="11" s="1"/>
  <c r="C121" i="34"/>
  <c r="C27" i="39"/>
  <c r="C27" i="12"/>
  <c r="C27" i="33"/>
  <c r="F27" i="32"/>
  <c r="G27" i="32" s="1"/>
  <c r="C194" i="34"/>
  <c r="C184" i="11"/>
  <c r="F184" i="11" s="1"/>
  <c r="E184" i="33"/>
  <c r="D184" i="37" s="1"/>
  <c r="E155" i="33"/>
  <c r="D155" i="37" s="1"/>
  <c r="C155" i="11"/>
  <c r="F155" i="11" s="1"/>
  <c r="C165" i="34"/>
  <c r="G190" i="32"/>
  <c r="C43" i="39"/>
  <c r="C43" i="12"/>
  <c r="C43" i="33"/>
  <c r="F43" i="32"/>
  <c r="G43" i="32" s="1"/>
  <c r="C322" i="34"/>
  <c r="C312" i="11"/>
  <c r="F312" i="11" s="1"/>
  <c r="E312" i="33"/>
  <c r="D312" i="37" s="1"/>
  <c r="C278" i="34"/>
  <c r="C268" i="11"/>
  <c r="F268" i="11" s="1"/>
  <c r="E268" i="33"/>
  <c r="D268" i="37" s="1"/>
  <c r="C288" i="11"/>
  <c r="F288" i="11" s="1"/>
  <c r="C298" i="34"/>
  <c r="E288" i="33"/>
  <c r="D288" i="37" s="1"/>
  <c r="G263" i="32"/>
  <c r="C17" i="34"/>
  <c r="C7" i="11"/>
  <c r="F7" i="11" s="1"/>
  <c r="E7" i="33"/>
  <c r="D7" i="37" s="1"/>
  <c r="E243" i="33"/>
  <c r="D243" i="37" s="1"/>
  <c r="C243" i="11"/>
  <c r="F243" i="11" s="1"/>
  <c r="C253" i="34"/>
  <c r="C187" i="11"/>
  <c r="F187" i="11" s="1"/>
  <c r="C197" i="34"/>
  <c r="E187" i="33"/>
  <c r="D187" i="37" s="1"/>
  <c r="E150" i="33"/>
  <c r="D150" i="37" s="1"/>
  <c r="C160" i="34"/>
  <c r="C150" i="11"/>
  <c r="F150" i="11" s="1"/>
  <c r="E61" i="33"/>
  <c r="D61" i="37" s="1"/>
  <c r="C61" i="11"/>
  <c r="F61" i="11" s="1"/>
  <c r="C71" i="34"/>
  <c r="C25" i="11"/>
  <c r="F25" i="11" s="1"/>
  <c r="C35" i="34"/>
  <c r="E25" i="33"/>
  <c r="D25" i="37" s="1"/>
  <c r="C97" i="11"/>
  <c r="F97" i="11" s="1"/>
  <c r="C107" i="34"/>
  <c r="E97" i="33"/>
  <c r="D97" i="37" s="1"/>
  <c r="C30" i="11"/>
  <c r="C40" i="34"/>
  <c r="E30" i="33"/>
  <c r="D30" i="37" s="1"/>
  <c r="E12" i="33"/>
  <c r="D12" i="37" s="1"/>
  <c r="C12" i="11"/>
  <c r="F12" i="11" s="1"/>
  <c r="C22" i="34"/>
  <c r="E306" i="33"/>
  <c r="D306" i="37" s="1"/>
  <c r="C316" i="34"/>
  <c r="C306" i="11"/>
  <c r="F306" i="11" s="1"/>
  <c r="E294" i="33"/>
  <c r="D294" i="37" s="1"/>
  <c r="C294" i="11"/>
  <c r="F294" i="11" s="1"/>
  <c r="C304" i="34"/>
  <c r="C295" i="11"/>
  <c r="F295" i="11" s="1"/>
  <c r="E295" i="33"/>
  <c r="D295" i="37" s="1"/>
  <c r="E282" i="33"/>
  <c r="D282" i="37" s="1"/>
  <c r="C282" i="11"/>
  <c r="F282" i="11" s="1"/>
  <c r="C292" i="34"/>
  <c r="E253" i="33"/>
  <c r="D253" i="37" s="1"/>
  <c r="C253" i="11"/>
  <c r="F253" i="11" s="1"/>
  <c r="C263" i="34"/>
  <c r="E147" i="33"/>
  <c r="D147" i="37" s="1"/>
  <c r="C147" i="11"/>
  <c r="F147" i="11" s="1"/>
  <c r="C157" i="34"/>
  <c r="E218" i="33"/>
  <c r="D218" i="37" s="1"/>
  <c r="C218" i="11"/>
  <c r="F218" i="11" s="1"/>
  <c r="C228" i="34"/>
  <c r="E183" i="33"/>
  <c r="D183" i="37" s="1"/>
  <c r="C183" i="11"/>
  <c r="F183" i="11" s="1"/>
  <c r="C193" i="34"/>
  <c r="E122" i="33"/>
  <c r="D122" i="37" s="1"/>
  <c r="C122" i="11"/>
  <c r="F122" i="11" s="1"/>
  <c r="C132" i="34"/>
  <c r="C26" i="11"/>
  <c r="F26" i="11" s="1"/>
  <c r="C36" i="34"/>
  <c r="E26" i="33"/>
  <c r="D26" i="37" s="1"/>
  <c r="C9" i="11"/>
  <c r="F9" i="11" s="1"/>
  <c r="C19" i="34"/>
  <c r="E9" i="33"/>
  <c r="D9" i="37" s="1"/>
  <c r="C238" i="34"/>
  <c r="C228" i="11"/>
  <c r="F228" i="11" s="1"/>
  <c r="E228" i="33"/>
  <c r="D228" i="37" s="1"/>
  <c r="E107" i="33"/>
  <c r="D107" i="37" s="1"/>
  <c r="C107" i="11"/>
  <c r="F107" i="11" s="1"/>
  <c r="C117" i="34"/>
  <c r="C15" i="11"/>
  <c r="F15" i="11" s="1"/>
  <c r="C25" i="34"/>
  <c r="E15" i="33"/>
  <c r="D15" i="37" s="1"/>
  <c r="C95" i="34"/>
  <c r="E85" i="33"/>
  <c r="D85" i="37" s="1"/>
  <c r="C85" i="11"/>
  <c r="F85" i="11" s="1"/>
  <c r="C294" i="34"/>
  <c r="C284" i="11"/>
  <c r="F284" i="11" s="1"/>
  <c r="E284" i="33"/>
  <c r="D284" i="37" s="1"/>
  <c r="C306" i="34"/>
  <c r="C296" i="11"/>
  <c r="F296" i="11" s="1"/>
  <c r="E296" i="33"/>
  <c r="D296" i="37" s="1"/>
  <c r="C169" i="11"/>
  <c r="F169" i="11" s="1"/>
  <c r="C179" i="34"/>
  <c r="E169" i="33"/>
  <c r="D169" i="37" s="1"/>
  <c r="E223" i="33"/>
  <c r="D223" i="37" s="1"/>
  <c r="C223" i="11"/>
  <c r="F223" i="11" s="1"/>
  <c r="C233" i="34"/>
  <c r="C198" i="34"/>
  <c r="C188" i="11"/>
  <c r="F188" i="11" s="1"/>
  <c r="E188" i="33"/>
  <c r="D188" i="37" s="1"/>
  <c r="C182" i="34"/>
  <c r="C172" i="11"/>
  <c r="F172" i="11" s="1"/>
  <c r="E172" i="33"/>
  <c r="D172" i="37" s="1"/>
  <c r="C174" i="34"/>
  <c r="C164" i="11"/>
  <c r="F164" i="11" s="1"/>
  <c r="E164" i="33"/>
  <c r="D164" i="37" s="1"/>
  <c r="C262" i="34"/>
  <c r="C252" i="11"/>
  <c r="F252" i="11" s="1"/>
  <c r="E252" i="33"/>
  <c r="D252" i="37" s="1"/>
  <c r="C218" i="34"/>
  <c r="C208" i="11"/>
  <c r="F208" i="11" s="1"/>
  <c r="E208" i="33"/>
  <c r="D208" i="37" s="1"/>
  <c r="E142" i="33"/>
  <c r="D142" i="37" s="1"/>
  <c r="C142" i="11"/>
  <c r="F142" i="11" s="1"/>
  <c r="C152" i="34"/>
  <c r="E203" i="33"/>
  <c r="D203" i="37" s="1"/>
  <c r="C203" i="11"/>
  <c r="F203" i="11" s="1"/>
  <c r="C213" i="34"/>
  <c r="C136" i="11"/>
  <c r="F136" i="11" s="1"/>
  <c r="C146" i="34"/>
  <c r="E136" i="33"/>
  <c r="D136" i="37" s="1"/>
  <c r="E134" i="33"/>
  <c r="D134" i="37" s="1"/>
  <c r="C144" i="34"/>
  <c r="C134" i="11"/>
  <c r="F134" i="11" s="1"/>
  <c r="C39" i="11"/>
  <c r="F39" i="11" s="1"/>
  <c r="C49" i="34"/>
  <c r="E39" i="33"/>
  <c r="D39" i="37" s="1"/>
  <c r="G172" i="32"/>
  <c r="E87" i="33"/>
  <c r="D87" i="37" s="1"/>
  <c r="C87" i="11"/>
  <c r="F87" i="11" s="1"/>
  <c r="C97" i="34"/>
  <c r="C41" i="11"/>
  <c r="F41" i="11" s="1"/>
  <c r="C51" i="34"/>
  <c r="E41" i="33"/>
  <c r="D41" i="37" s="1"/>
  <c r="E28" i="33"/>
  <c r="D28" i="37" s="1"/>
  <c r="C28" i="11"/>
  <c r="F28" i="11" s="1"/>
  <c r="C38" i="34"/>
  <c r="E305" i="33"/>
  <c r="D305" i="37" s="1"/>
  <c r="C315" i="34"/>
  <c r="C305" i="11"/>
  <c r="F305" i="11" s="1"/>
  <c r="E230" i="33"/>
  <c r="D230" i="37" s="1"/>
  <c r="C230" i="11"/>
  <c r="F230" i="11" s="1"/>
  <c r="C240" i="34"/>
  <c r="E250" i="33"/>
  <c r="D250" i="37" s="1"/>
  <c r="C250" i="11"/>
  <c r="F250" i="11" s="1"/>
  <c r="C260" i="34"/>
  <c r="E186" i="33"/>
  <c r="D186" i="37" s="1"/>
  <c r="C186" i="11"/>
  <c r="F186" i="11" s="1"/>
  <c r="C196" i="34"/>
  <c r="G120" i="32"/>
  <c r="C78" i="11"/>
  <c r="F78" i="11" s="1"/>
  <c r="C88" i="34"/>
  <c r="E78" i="33"/>
  <c r="D78" i="37" s="1"/>
  <c r="C60" i="39"/>
  <c r="C60" i="12"/>
  <c r="C60" i="33"/>
  <c r="F60" i="32"/>
  <c r="G60" i="32" s="1"/>
  <c r="C130" i="39"/>
  <c r="C130" i="12"/>
  <c r="C130" i="33"/>
  <c r="F130" i="32"/>
  <c r="G130" i="32" s="1"/>
  <c r="C106" i="39"/>
  <c r="C106" i="12"/>
  <c r="C106" i="33"/>
  <c r="F106" i="32"/>
  <c r="G106" i="32" s="1"/>
  <c r="C146" i="39"/>
  <c r="C146" i="12"/>
  <c r="C146" i="33"/>
  <c r="F146" i="32"/>
  <c r="C98" i="39"/>
  <c r="C98" i="12"/>
  <c r="F98" i="32"/>
  <c r="G98" i="32" s="1"/>
  <c r="C98" i="33"/>
  <c r="C66" i="39"/>
  <c r="C66" i="12"/>
  <c r="C66" i="33"/>
  <c r="F66" i="32"/>
  <c r="G66" i="32" s="1"/>
  <c r="C114" i="39"/>
  <c r="C114" i="12"/>
  <c r="C114" i="33"/>
  <c r="F114" i="32"/>
  <c r="G114" i="32" s="1"/>
  <c r="C86" i="39"/>
  <c r="C86" i="12"/>
  <c r="F86" i="32"/>
  <c r="G86" i="32" s="1"/>
  <c r="C86" i="33"/>
  <c r="C158" i="39"/>
  <c r="C158" i="12"/>
  <c r="C158" i="33"/>
  <c r="F158" i="32"/>
  <c r="E79" i="33"/>
  <c r="D79" i="37" s="1"/>
  <c r="C79" i="11"/>
  <c r="F79" i="11" s="1"/>
  <c r="C89" i="34"/>
  <c r="G222" i="32"/>
  <c r="G111" i="32"/>
  <c r="G151" i="32"/>
  <c r="E238" i="33"/>
  <c r="D238" i="37" s="1"/>
  <c r="C238" i="11"/>
  <c r="F238" i="11" s="1"/>
  <c r="C248" i="34"/>
  <c r="C210" i="39"/>
  <c r="C210" i="12"/>
  <c r="C210" i="33"/>
  <c r="F210" i="32"/>
  <c r="G210" i="32" s="1"/>
  <c r="E151" i="33"/>
  <c r="D151" i="37" s="1"/>
  <c r="C151" i="11"/>
  <c r="F151" i="11" s="1"/>
  <c r="C161" i="34"/>
  <c r="E139" i="33"/>
  <c r="D139" i="37" s="1"/>
  <c r="C139" i="11"/>
  <c r="F139" i="11" s="1"/>
  <c r="C149" i="34"/>
  <c r="E226" i="33"/>
  <c r="D226" i="37" s="1"/>
  <c r="C226" i="11"/>
  <c r="F226" i="11" s="1"/>
  <c r="C236" i="34"/>
  <c r="G176" i="32"/>
  <c r="C242" i="34"/>
  <c r="C232" i="11"/>
  <c r="F232" i="11" s="1"/>
  <c r="E232" i="33"/>
  <c r="D232" i="37" s="1"/>
  <c r="E265" i="33"/>
  <c r="D265" i="37" s="1"/>
  <c r="C265" i="11"/>
  <c r="F265" i="11" s="1"/>
  <c r="C275" i="34"/>
  <c r="C199" i="34"/>
  <c r="C189" i="11"/>
  <c r="F189" i="11" s="1"/>
  <c r="E189" i="33"/>
  <c r="D189" i="37" s="1"/>
  <c r="C275" i="11"/>
  <c r="F275" i="11" s="1"/>
  <c r="C285" i="34"/>
  <c r="E275" i="33"/>
  <c r="D275" i="37" s="1"/>
  <c r="E269" i="33"/>
  <c r="D269" i="37" s="1"/>
  <c r="C269" i="11"/>
  <c r="F269" i="11" s="1"/>
  <c r="C279" i="34"/>
  <c r="C307" i="11"/>
  <c r="F307" i="11" s="1"/>
  <c r="C317" i="34"/>
  <c r="E307" i="33"/>
  <c r="D307" i="37" s="1"/>
  <c r="E289" i="33"/>
  <c r="D289" i="37" s="1"/>
  <c r="C299" i="34"/>
  <c r="C289" i="11"/>
  <c r="F289" i="11" s="1"/>
  <c r="E273" i="33"/>
  <c r="D273" i="37" s="1"/>
  <c r="C283" i="34"/>
  <c r="C273" i="11"/>
  <c r="F273" i="11" s="1"/>
  <c r="C263" i="11"/>
  <c r="F263" i="11" s="1"/>
  <c r="C273" i="34"/>
  <c r="E263" i="33"/>
  <c r="D263" i="37" s="1"/>
  <c r="C170" i="34"/>
  <c r="C160" i="11"/>
  <c r="F160" i="11" s="1"/>
  <c r="E160" i="33"/>
  <c r="D160" i="37" s="1"/>
  <c r="C110" i="11"/>
  <c r="F110" i="11" s="1"/>
  <c r="C120" i="34"/>
  <c r="E110" i="33"/>
  <c r="D110" i="37" s="1"/>
  <c r="C241" i="11"/>
  <c r="F241" i="11" s="1"/>
  <c r="C251" i="34"/>
  <c r="E241" i="33"/>
  <c r="D241" i="37" s="1"/>
  <c r="C230" i="34"/>
  <c r="C220" i="11"/>
  <c r="F220" i="11" s="1"/>
  <c r="E220" i="33"/>
  <c r="D220" i="37" s="1"/>
  <c r="C191" i="11"/>
  <c r="F191" i="11" s="1"/>
  <c r="C201" i="34"/>
  <c r="E191" i="33"/>
  <c r="D191" i="37" s="1"/>
  <c r="C104" i="11"/>
  <c r="F104" i="11" s="1"/>
  <c r="C114" i="34"/>
  <c r="E104" i="33"/>
  <c r="D104" i="37" s="1"/>
  <c r="C175" i="34"/>
  <c r="C165" i="11"/>
  <c r="F165" i="11" s="1"/>
  <c r="E165" i="33"/>
  <c r="D165" i="37" s="1"/>
  <c r="C143" i="34"/>
  <c r="C133" i="11"/>
  <c r="F133" i="11" s="1"/>
  <c r="E133" i="33"/>
  <c r="D133" i="37" s="1"/>
  <c r="E23" i="33"/>
  <c r="D23" i="37" s="1"/>
  <c r="C23" i="11"/>
  <c r="F23" i="11" s="1"/>
  <c r="C33" i="34"/>
  <c r="G150" i="32"/>
  <c r="C140" i="11"/>
  <c r="F140" i="11" s="1"/>
  <c r="C150" i="34"/>
  <c r="E140" i="33"/>
  <c r="D140" i="37" s="1"/>
  <c r="E125" i="33"/>
  <c r="D125" i="37" s="1"/>
  <c r="C125" i="11"/>
  <c r="F125" i="11" s="1"/>
  <c r="C135" i="34"/>
  <c r="C128" i="34"/>
  <c r="E118" i="33"/>
  <c r="D118" i="37" s="1"/>
  <c r="C118" i="11"/>
  <c r="F118" i="11" s="1"/>
  <c r="C108" i="11"/>
  <c r="F108" i="11" s="1"/>
  <c r="C118" i="34"/>
  <c r="E108" i="33"/>
  <c r="D108" i="37" s="1"/>
  <c r="E83" i="33"/>
  <c r="D83" i="37" s="1"/>
  <c r="C83" i="11"/>
  <c r="F83" i="11" s="1"/>
  <c r="C93" i="34"/>
  <c r="C44" i="11"/>
  <c r="F44" i="11" s="1"/>
  <c r="C54" i="34"/>
  <c r="E44" i="33"/>
  <c r="D44" i="37" s="1"/>
  <c r="C14" i="11"/>
  <c r="F14" i="11" s="1"/>
  <c r="C24" i="34"/>
  <c r="E14" i="33"/>
  <c r="D14" i="37" s="1"/>
  <c r="C38" i="11"/>
  <c r="F38" i="11" s="1"/>
  <c r="C48" i="34"/>
  <c r="E38" i="33"/>
  <c r="D38" i="37" s="1"/>
  <c r="E138" i="33"/>
  <c r="D138" i="37" s="1"/>
  <c r="C138" i="11"/>
  <c r="F138" i="11" s="1"/>
  <c r="C148" i="34"/>
  <c r="C128" i="11"/>
  <c r="F128" i="11" s="1"/>
  <c r="C138" i="34"/>
  <c r="E128" i="33"/>
  <c r="D128" i="37" s="1"/>
  <c r="C105" i="11"/>
  <c r="F105" i="11" s="1"/>
  <c r="C115" i="34"/>
  <c r="E105" i="33"/>
  <c r="D105" i="37" s="1"/>
  <c r="C76" i="11"/>
  <c r="F76" i="11" s="1"/>
  <c r="C86" i="34"/>
  <c r="E76" i="33"/>
  <c r="D76" i="37" s="1"/>
  <c r="C37" i="11"/>
  <c r="F37" i="11" s="1"/>
  <c r="C47" i="34"/>
  <c r="E37" i="33"/>
  <c r="D37" i="37" s="1"/>
  <c r="C46" i="11"/>
  <c r="F46" i="11" s="1"/>
  <c r="C56" i="34"/>
  <c r="E46" i="33"/>
  <c r="D46" i="37" s="1"/>
  <c r="E19" i="33"/>
  <c r="D19" i="37" s="1"/>
  <c r="C29" i="34"/>
  <c r="C19" i="11"/>
  <c r="F19" i="11" s="1"/>
  <c r="C120" i="11"/>
  <c r="F120" i="11" s="1"/>
  <c r="C130" i="34"/>
  <c r="E120" i="33"/>
  <c r="D120" i="37" s="1"/>
  <c r="C69" i="11"/>
  <c r="F69" i="11" s="1"/>
  <c r="C79" i="34"/>
  <c r="E69" i="33"/>
  <c r="D69" i="37" s="1"/>
  <c r="E202" i="33"/>
  <c r="D202" i="37" s="1"/>
  <c r="C202" i="11"/>
  <c r="F202" i="11" s="1"/>
  <c r="C212" i="34"/>
  <c r="E175" i="33"/>
  <c r="D175" i="37" s="1"/>
  <c r="C175" i="11"/>
  <c r="F175" i="11" s="1"/>
  <c r="C185" i="34"/>
  <c r="C152" i="11"/>
  <c r="F152" i="11" s="1"/>
  <c r="C162" i="34"/>
  <c r="E152" i="33"/>
  <c r="D152" i="37" s="1"/>
  <c r="E103" i="33"/>
  <c r="D103" i="37" s="1"/>
  <c r="C103" i="11"/>
  <c r="F103" i="11" s="1"/>
  <c r="C113" i="34"/>
  <c r="C129" i="11"/>
  <c r="F129" i="11" s="1"/>
  <c r="C139" i="34"/>
  <c r="E129" i="33"/>
  <c r="D129" i="37" s="1"/>
  <c r="E31" i="33"/>
  <c r="D31" i="37" s="1"/>
  <c r="C31" i="11"/>
  <c r="F31" i="11" s="1"/>
  <c r="C41" i="34"/>
  <c r="C311" i="11"/>
  <c r="F311" i="11" s="1"/>
  <c r="C321" i="34"/>
  <c r="E311" i="33"/>
  <c r="D311" i="37" s="1"/>
  <c r="E301" i="33"/>
  <c r="D301" i="37" s="1"/>
  <c r="C301" i="11"/>
  <c r="F301" i="11" s="1"/>
  <c r="C311" i="34"/>
  <c r="C270" i="34"/>
  <c r="C260" i="11"/>
  <c r="F260" i="11" s="1"/>
  <c r="E260" i="33"/>
  <c r="D260" i="37" s="1"/>
  <c r="C177" i="11"/>
  <c r="F177" i="11" s="1"/>
  <c r="C187" i="34"/>
  <c r="E177" i="33"/>
  <c r="D177" i="37" s="1"/>
  <c r="C292" i="11"/>
  <c r="F292" i="11" s="1"/>
  <c r="C302" i="34"/>
  <c r="E292" i="33"/>
  <c r="D292" i="37" s="1"/>
  <c r="C290" i="34"/>
  <c r="C280" i="11"/>
  <c r="F280" i="11" s="1"/>
  <c r="E280" i="33"/>
  <c r="D280" i="37" s="1"/>
  <c r="C286" i="34"/>
  <c r="C276" i="11"/>
  <c r="F276" i="11" s="1"/>
  <c r="E276" i="33"/>
  <c r="D276" i="37" s="1"/>
  <c r="C318" i="34"/>
  <c r="C308" i="11"/>
  <c r="F308" i="11" s="1"/>
  <c r="E308" i="33"/>
  <c r="D308" i="37" s="1"/>
  <c r="E281" i="33"/>
  <c r="D281" i="37" s="1"/>
  <c r="C281" i="11"/>
  <c r="F281" i="11" s="1"/>
  <c r="C291" i="34"/>
  <c r="C274" i="34"/>
  <c r="C264" i="11"/>
  <c r="F264" i="11" s="1"/>
  <c r="E264" i="33"/>
  <c r="D264" i="37" s="1"/>
  <c r="E219" i="33"/>
  <c r="D219" i="37" s="1"/>
  <c r="C219" i="11"/>
  <c r="F219" i="11" s="1"/>
  <c r="C229" i="34"/>
  <c r="C304" i="11"/>
  <c r="F304" i="11" s="1"/>
  <c r="C314" i="34"/>
  <c r="E304" i="33"/>
  <c r="D304" i="37" s="1"/>
  <c r="C209" i="11"/>
  <c r="F209" i="11" s="1"/>
  <c r="C219" i="34"/>
  <c r="E209" i="33"/>
  <c r="D209" i="37" s="1"/>
  <c r="C178" i="34"/>
  <c r="C168" i="11"/>
  <c r="F168" i="11" s="1"/>
  <c r="E168" i="33"/>
  <c r="D168" i="37" s="1"/>
  <c r="C159" i="34"/>
  <c r="C149" i="11"/>
  <c r="F149" i="11" s="1"/>
  <c r="E149" i="33"/>
  <c r="D149" i="37" s="1"/>
  <c r="E235" i="33"/>
  <c r="D235" i="37" s="1"/>
  <c r="C235" i="11"/>
  <c r="F235" i="11" s="1"/>
  <c r="C245" i="34"/>
  <c r="C183" i="34"/>
  <c r="C173" i="11"/>
  <c r="F173" i="11" s="1"/>
  <c r="E173" i="33"/>
  <c r="D173" i="37" s="1"/>
  <c r="C250" i="34"/>
  <c r="C240" i="11"/>
  <c r="F240" i="11" s="1"/>
  <c r="E240" i="33"/>
  <c r="D240" i="37" s="1"/>
  <c r="E227" i="33"/>
  <c r="D227" i="37" s="1"/>
  <c r="C227" i="11"/>
  <c r="F227" i="11" s="1"/>
  <c r="C237" i="34"/>
  <c r="C195" i="11"/>
  <c r="F195" i="11" s="1"/>
  <c r="C205" i="34"/>
  <c r="E195" i="33"/>
  <c r="D195" i="37" s="1"/>
  <c r="C127" i="34"/>
  <c r="E117" i="33"/>
  <c r="D117" i="37" s="1"/>
  <c r="C117" i="11"/>
  <c r="F117" i="11" s="1"/>
  <c r="C121" i="11"/>
  <c r="F121" i="11" s="1"/>
  <c r="C131" i="34"/>
  <c r="E121" i="33"/>
  <c r="D121" i="37" s="1"/>
  <c r="C156" i="11"/>
  <c r="F156" i="11" s="1"/>
  <c r="C166" i="34"/>
  <c r="E156" i="33"/>
  <c r="D156" i="37" s="1"/>
  <c r="C141" i="11"/>
  <c r="F141" i="11" s="1"/>
  <c r="C151" i="34"/>
  <c r="E141" i="33"/>
  <c r="D141" i="37" s="1"/>
  <c r="C124" i="11"/>
  <c r="F124" i="11" s="1"/>
  <c r="C134" i="34"/>
  <c r="E124" i="33"/>
  <c r="D124" i="37" s="1"/>
  <c r="C109" i="11"/>
  <c r="F109" i="11" s="1"/>
  <c r="C119" i="34"/>
  <c r="E109" i="33"/>
  <c r="D109" i="37" s="1"/>
  <c r="E99" i="33"/>
  <c r="D99" i="37" s="1"/>
  <c r="C99" i="11"/>
  <c r="F99" i="11" s="1"/>
  <c r="C109" i="34"/>
  <c r="C65" i="11"/>
  <c r="F65" i="11" s="1"/>
  <c r="C75" i="34"/>
  <c r="E65" i="33"/>
  <c r="D65" i="37" s="1"/>
  <c r="C34" i="11"/>
  <c r="F34" i="11" s="1"/>
  <c r="C44" i="34"/>
  <c r="E34" i="33"/>
  <c r="D34" i="37" s="1"/>
  <c r="C29" i="11"/>
  <c r="F29" i="11" s="1"/>
  <c r="C39" i="34"/>
  <c r="E29" i="33"/>
  <c r="D29" i="37" s="1"/>
  <c r="E293" i="33"/>
  <c r="D293" i="37" s="1"/>
  <c r="C303" i="34"/>
  <c r="C293" i="11"/>
  <c r="F293" i="11" s="1"/>
  <c r="E277" i="33"/>
  <c r="D277" i="37" s="1"/>
  <c r="C287" i="34"/>
  <c r="C277" i="11"/>
  <c r="F277" i="11" s="1"/>
  <c r="E262" i="33"/>
  <c r="D262" i="37" s="1"/>
  <c r="C262" i="11"/>
  <c r="F262" i="11" s="1"/>
  <c r="C272" i="34"/>
  <c r="C259" i="11"/>
  <c r="F259" i="11" s="1"/>
  <c r="C269" i="34"/>
  <c r="E259" i="33"/>
  <c r="D259" i="37" s="1"/>
  <c r="E302" i="33"/>
  <c r="D302" i="37" s="1"/>
  <c r="C302" i="11"/>
  <c r="F302" i="11" s="1"/>
  <c r="C312" i="34"/>
  <c r="E286" i="33"/>
  <c r="D286" i="37" s="1"/>
  <c r="C296" i="34"/>
  <c r="C286" i="11"/>
  <c r="F286" i="11" s="1"/>
  <c r="C283" i="11"/>
  <c r="F283" i="11" s="1"/>
  <c r="C293" i="34"/>
  <c r="E283" i="33"/>
  <c r="D283" i="37" s="1"/>
  <c r="E207" i="33"/>
  <c r="D207" i="37" s="1"/>
  <c r="C207" i="11"/>
  <c r="F207" i="11" s="1"/>
  <c r="C217" i="34"/>
  <c r="E215" i="33"/>
  <c r="D215" i="37" s="1"/>
  <c r="C215" i="11"/>
  <c r="F215" i="11" s="1"/>
  <c r="C225" i="34"/>
  <c r="C255" i="39"/>
  <c r="C255" i="12"/>
  <c r="F255" i="32"/>
  <c r="G255" i="32" s="1"/>
  <c r="C255" i="33"/>
  <c r="C67" i="39"/>
  <c r="C67" i="12"/>
  <c r="C67" i="33"/>
  <c r="F67" i="32"/>
  <c r="G67" i="32" s="1"/>
  <c r="C63" i="39"/>
  <c r="C63" i="12"/>
  <c r="F63" i="32"/>
  <c r="G63" i="32" s="1"/>
  <c r="C63" i="33"/>
  <c r="C17" i="11"/>
  <c r="F17" i="11" s="1"/>
  <c r="C27" i="34"/>
  <c r="E17" i="33"/>
  <c r="D17" i="37" s="1"/>
  <c r="C49" i="11"/>
  <c r="F49" i="11" s="1"/>
  <c r="C59" i="34"/>
  <c r="E49" i="33"/>
  <c r="D49" i="37" s="1"/>
  <c r="E206" i="33"/>
  <c r="D206" i="37" s="1"/>
  <c r="C206" i="11"/>
  <c r="F206" i="11" s="1"/>
  <c r="C216" i="34"/>
  <c r="C210" i="34"/>
  <c r="C200" i="11"/>
  <c r="F200" i="11" s="1"/>
  <c r="E200" i="33"/>
  <c r="D200" i="37" s="1"/>
  <c r="C186" i="34"/>
  <c r="C176" i="11"/>
  <c r="F176" i="11" s="1"/>
  <c r="E176" i="33"/>
  <c r="D176" i="37" s="1"/>
  <c r="G247" i="32"/>
  <c r="C226" i="34"/>
  <c r="C216" i="11"/>
  <c r="F216" i="11" s="1"/>
  <c r="E216" i="33"/>
  <c r="D216" i="37" s="1"/>
  <c r="C127" i="11"/>
  <c r="F127" i="11" s="1"/>
  <c r="C137" i="34"/>
  <c r="E127" i="33"/>
  <c r="D127" i="37" s="1"/>
  <c r="G242" i="32"/>
  <c r="C33" i="11"/>
  <c r="F33" i="11" s="1"/>
  <c r="C43" i="34"/>
  <c r="E33" i="33"/>
  <c r="D33" i="37" s="1"/>
  <c r="C300" i="11"/>
  <c r="F300" i="11" s="1"/>
  <c r="C310" i="34"/>
  <c r="E300" i="33"/>
  <c r="D300" i="37" s="1"/>
  <c r="C68" i="11"/>
  <c r="F68" i="11" s="1"/>
  <c r="C78" i="34"/>
  <c r="E68" i="33"/>
  <c r="D68" i="37" s="1"/>
  <c r="C73" i="11"/>
  <c r="F73" i="11" s="1"/>
  <c r="C83" i="34"/>
  <c r="E73" i="33"/>
  <c r="D73" i="37" s="1"/>
  <c r="C80" i="34"/>
  <c r="C70" i="11"/>
  <c r="F70" i="11" s="1"/>
  <c r="E70" i="33"/>
  <c r="D70" i="37" s="1"/>
  <c r="C64" i="11"/>
  <c r="F64" i="11" s="1"/>
  <c r="C74" i="34"/>
  <c r="E64" i="33"/>
  <c r="D64" i="37" s="1"/>
  <c r="E52" i="33"/>
  <c r="D52" i="37" s="1"/>
  <c r="C62" i="34"/>
  <c r="C52" i="11"/>
  <c r="F52" i="11" s="1"/>
  <c r="E36" i="33"/>
  <c r="D36" i="37" s="1"/>
  <c r="C46" i="34"/>
  <c r="C36" i="11"/>
  <c r="F36" i="11" s="1"/>
  <c r="C10" i="11"/>
  <c r="F10" i="11" s="1"/>
  <c r="C20" i="34"/>
  <c r="E10" i="33"/>
  <c r="D10" i="37" s="1"/>
  <c r="E35" i="33"/>
  <c r="D35" i="37" s="1"/>
  <c r="C45" i="34"/>
  <c r="C35" i="11"/>
  <c r="F35" i="11" s="1"/>
  <c r="E32" i="33"/>
  <c r="D32" i="37" s="1"/>
  <c r="C32" i="11"/>
  <c r="F32" i="11" s="1"/>
  <c r="C42" i="34"/>
  <c r="C113" i="11"/>
  <c r="F113" i="11" s="1"/>
  <c r="C123" i="34"/>
  <c r="E113" i="33"/>
  <c r="D113" i="37" s="1"/>
  <c r="E55" i="33"/>
  <c r="D55" i="37" s="1"/>
  <c r="C55" i="11"/>
  <c r="F55" i="11" s="1"/>
  <c r="C65" i="34"/>
  <c r="C112" i="34"/>
  <c r="C102" i="11"/>
  <c r="F102" i="11" s="1"/>
  <c r="E102" i="33"/>
  <c r="D102" i="37" s="1"/>
  <c r="E270" i="33"/>
  <c r="D270" i="37" s="1"/>
  <c r="C270" i="11"/>
  <c r="F270" i="11" s="1"/>
  <c r="C280" i="34"/>
  <c r="C299" i="11"/>
  <c r="F299" i="11" s="1"/>
  <c r="C309" i="34"/>
  <c r="E299" i="33"/>
  <c r="D299" i="37" s="1"/>
  <c r="E313" i="33"/>
  <c r="D313" i="37" s="1"/>
  <c r="C313" i="11"/>
  <c r="F313" i="11" s="1"/>
  <c r="C323" i="34"/>
  <c r="C291" i="11"/>
  <c r="F291" i="11" s="1"/>
  <c r="C301" i="34"/>
  <c r="E291" i="33"/>
  <c r="D291" i="37" s="1"/>
  <c r="E297" i="33"/>
  <c r="D297" i="37" s="1"/>
  <c r="C297" i="11"/>
  <c r="F297" i="11" s="1"/>
  <c r="C307" i="34"/>
  <c r="E258" i="33"/>
  <c r="D258" i="37" s="1"/>
  <c r="C258" i="11"/>
  <c r="F258" i="11" s="1"/>
  <c r="C268" i="34"/>
  <c r="E171" i="33"/>
  <c r="D171" i="37" s="1"/>
  <c r="C171" i="11"/>
  <c r="F171" i="11" s="1"/>
  <c r="C181" i="34"/>
  <c r="E214" i="33"/>
  <c r="D214" i="37" s="1"/>
  <c r="C214" i="11"/>
  <c r="F214" i="11" s="1"/>
  <c r="C224" i="34"/>
  <c r="C247" i="34"/>
  <c r="C237" i="11"/>
  <c r="F237" i="11" s="1"/>
  <c r="E237" i="33"/>
  <c r="D237" i="37" s="1"/>
  <c r="C201" i="11"/>
  <c r="F201" i="11" s="1"/>
  <c r="C211" i="34"/>
  <c r="E201" i="33"/>
  <c r="D201" i="37" s="1"/>
  <c r="C206" i="34"/>
  <c r="C196" i="11"/>
  <c r="F196" i="11" s="1"/>
  <c r="E196" i="33"/>
  <c r="D196" i="37" s="1"/>
  <c r="C185" i="11"/>
  <c r="F185" i="11" s="1"/>
  <c r="C195" i="34"/>
  <c r="E185" i="33"/>
  <c r="D185" i="37" s="1"/>
  <c r="G180" i="32"/>
  <c r="E8" i="33"/>
  <c r="D8" i="37" s="1"/>
  <c r="C8" i="11"/>
  <c r="F8" i="11" s="1"/>
  <c r="C18" i="34"/>
  <c r="C61" i="34"/>
  <c r="C51" i="11"/>
  <c r="F51" i="11" s="1"/>
  <c r="E51" i="33"/>
  <c r="D51" i="37" s="1"/>
  <c r="C246" i="34"/>
  <c r="C236" i="11"/>
  <c r="F236" i="11" s="1"/>
  <c r="E236" i="33"/>
  <c r="D236" i="37" s="1"/>
  <c r="G249" i="32"/>
  <c r="C92" i="11"/>
  <c r="F92" i="11" s="1"/>
  <c r="C102" i="34"/>
  <c r="E92" i="33"/>
  <c r="D92" i="37" s="1"/>
  <c r="C96" i="11"/>
  <c r="F96" i="11" s="1"/>
  <c r="C106" i="34"/>
  <c r="E96" i="33"/>
  <c r="D96" i="37" s="1"/>
  <c r="C69" i="34"/>
  <c r="C59" i="11"/>
  <c r="F59" i="11" s="1"/>
  <c r="E59" i="33"/>
  <c r="D59" i="37" s="1"/>
  <c r="C88" i="11"/>
  <c r="F88" i="11" s="1"/>
  <c r="C98" i="34"/>
  <c r="E88" i="33"/>
  <c r="D88" i="37" s="1"/>
  <c r="C77" i="11"/>
  <c r="F77" i="11" s="1"/>
  <c r="C87" i="34"/>
  <c r="E77" i="33"/>
  <c r="D77" i="37" s="1"/>
  <c r="C72" i="11"/>
  <c r="F72" i="11" s="1"/>
  <c r="C82" i="34"/>
  <c r="E72" i="33"/>
  <c r="D72" i="37" s="1"/>
  <c r="G10" i="32"/>
  <c r="E154" i="33"/>
  <c r="D154" i="37" s="1"/>
  <c r="C154" i="11"/>
  <c r="F154" i="11" s="1"/>
  <c r="C164" i="34"/>
  <c r="C112" i="11"/>
  <c r="F112" i="11" s="1"/>
  <c r="C122" i="34"/>
  <c r="E112" i="33"/>
  <c r="D112" i="37" s="1"/>
  <c r="C94" i="11"/>
  <c r="F94" i="11" s="1"/>
  <c r="C104" i="34"/>
  <c r="E94" i="33"/>
  <c r="D94" i="37" s="1"/>
  <c r="C272" i="11"/>
  <c r="F272" i="11" s="1"/>
  <c r="C282" i="34"/>
  <c r="E272" i="33"/>
  <c r="D272" i="37" s="1"/>
  <c r="E231" i="33"/>
  <c r="D231" i="37" s="1"/>
  <c r="C231" i="11"/>
  <c r="F231" i="11" s="1"/>
  <c r="C241" i="34"/>
  <c r="C22" i="11"/>
  <c r="F22" i="11" s="1"/>
  <c r="C32" i="34"/>
  <c r="E22" i="33"/>
  <c r="D22" i="37" s="1"/>
  <c r="C72" i="34"/>
  <c r="C62" i="11"/>
  <c r="F62" i="11" s="1"/>
  <c r="E62" i="33"/>
  <c r="D62" i="37" s="1"/>
  <c r="E254" i="33"/>
  <c r="D254" i="37" s="1"/>
  <c r="C264" i="34"/>
  <c r="C254" i="11"/>
  <c r="F254" i="11" s="1"/>
  <c r="G157" i="32"/>
  <c r="C157" i="11"/>
  <c r="F157" i="11" s="1"/>
  <c r="C167" i="34"/>
  <c r="E157" i="33"/>
  <c r="D157" i="37" s="1"/>
  <c r="E81" i="33" l="1"/>
  <c r="D81" i="37" s="1"/>
  <c r="E58" i="33"/>
  <c r="D58" i="37" s="1"/>
  <c r="C261" i="11"/>
  <c r="F261" i="11" s="1"/>
  <c r="C271" i="34"/>
  <c r="E132" i="33"/>
  <c r="D132" i="37" s="1"/>
  <c r="C142" i="34"/>
  <c r="E204" i="33"/>
  <c r="D204" i="37" s="1"/>
  <c r="C68" i="34"/>
  <c r="E242" i="33"/>
  <c r="D242" i="37" s="1"/>
  <c r="C242" i="11"/>
  <c r="F242" i="11" s="1"/>
  <c r="C252" i="34"/>
  <c r="G162" i="32"/>
  <c r="E11" i="33"/>
  <c r="D11" i="37" s="1"/>
  <c r="C11" i="11"/>
  <c r="F11" i="11" s="1"/>
  <c r="C21" i="34"/>
  <c r="E74" i="33"/>
  <c r="D74" i="37" s="1"/>
  <c r="C74" i="11"/>
  <c r="F74" i="11" s="1"/>
  <c r="C84" i="34"/>
  <c r="E75" i="33"/>
  <c r="D75" i="37" s="1"/>
  <c r="C75" i="11"/>
  <c r="F75" i="11" s="1"/>
  <c r="C85" i="34"/>
  <c r="C251" i="11"/>
  <c r="F251" i="11" s="1"/>
  <c r="C261" i="34"/>
  <c r="E251" i="33"/>
  <c r="D251" i="37" s="1"/>
  <c r="C63" i="11"/>
  <c r="F63" i="11" s="1"/>
  <c r="C73" i="34"/>
  <c r="E63" i="33"/>
  <c r="D63" i="37" s="1"/>
  <c r="C255" i="11"/>
  <c r="F255" i="11" s="1"/>
  <c r="C265" i="34"/>
  <c r="E255" i="33"/>
  <c r="D255" i="37" s="1"/>
  <c r="G158" i="32"/>
  <c r="C96" i="34"/>
  <c r="C86" i="11"/>
  <c r="F86" i="11" s="1"/>
  <c r="E86" i="33"/>
  <c r="D86" i="37" s="1"/>
  <c r="E98" i="33"/>
  <c r="D98" i="37" s="1"/>
  <c r="C98" i="11"/>
  <c r="F98" i="11" s="1"/>
  <c r="C108" i="34"/>
  <c r="G146" i="32"/>
  <c r="E27" i="33"/>
  <c r="D27" i="37" s="1"/>
  <c r="C27" i="11"/>
  <c r="F27" i="11" s="1"/>
  <c r="C37" i="34"/>
  <c r="G178" i="32"/>
  <c r="E190" i="33"/>
  <c r="D190" i="37" s="1"/>
  <c r="C190" i="11"/>
  <c r="F190" i="11" s="1"/>
  <c r="C200" i="34"/>
  <c r="E162" i="33"/>
  <c r="D162" i="37" s="1"/>
  <c r="C162" i="11"/>
  <c r="F162" i="11" s="1"/>
  <c r="C172" i="34"/>
  <c r="E82" i="33"/>
  <c r="D82" i="37" s="1"/>
  <c r="C82" i="11"/>
  <c r="F82" i="11" s="1"/>
  <c r="C92" i="34"/>
  <c r="E170" i="33"/>
  <c r="D170" i="37" s="1"/>
  <c r="C170" i="11"/>
  <c r="F170" i="11" s="1"/>
  <c r="C180" i="34"/>
  <c r="E166" i="33"/>
  <c r="D166" i="37" s="1"/>
  <c r="C166" i="11"/>
  <c r="F166" i="11" s="1"/>
  <c r="C176" i="34"/>
  <c r="E67" i="33"/>
  <c r="D67" i="37" s="1"/>
  <c r="C77" i="34"/>
  <c r="C67" i="11"/>
  <c r="F67" i="11" s="1"/>
  <c r="E158" i="33"/>
  <c r="D158" i="37" s="1"/>
  <c r="C158" i="11"/>
  <c r="F158" i="11" s="1"/>
  <c r="C168" i="34"/>
  <c r="E114" i="33"/>
  <c r="D114" i="37" s="1"/>
  <c r="C114" i="11"/>
  <c r="F114" i="11" s="1"/>
  <c r="C124" i="34"/>
  <c r="E66" i="33"/>
  <c r="D66" i="37" s="1"/>
  <c r="C66" i="11"/>
  <c r="F66" i="11" s="1"/>
  <c r="C76" i="34"/>
  <c r="E146" i="33"/>
  <c r="D146" i="37" s="1"/>
  <c r="C146" i="11"/>
  <c r="F146" i="11" s="1"/>
  <c r="C156" i="34"/>
  <c r="E106" i="33"/>
  <c r="D106" i="37" s="1"/>
  <c r="C106" i="11"/>
  <c r="F106" i="11" s="1"/>
  <c r="C116" i="34"/>
  <c r="E130" i="33"/>
  <c r="D130" i="37" s="1"/>
  <c r="C130" i="11"/>
  <c r="F130" i="11" s="1"/>
  <c r="C140" i="34"/>
  <c r="E43" i="33"/>
  <c r="D43" i="37" s="1"/>
  <c r="C43" i="11"/>
  <c r="F43" i="11" s="1"/>
  <c r="C53" i="34"/>
  <c r="E194" i="33"/>
  <c r="D194" i="37" s="1"/>
  <c r="C194" i="11"/>
  <c r="F194" i="11" s="1"/>
  <c r="C204" i="34"/>
  <c r="E210" i="33"/>
  <c r="D210" i="37" s="1"/>
  <c r="C210" i="11"/>
  <c r="F210" i="11" s="1"/>
  <c r="C220" i="34"/>
  <c r="E60" i="33"/>
  <c r="D60" i="37" s="1"/>
  <c r="C60" i="11"/>
  <c r="F60" i="11" s="1"/>
  <c r="C70" i="34"/>
  <c r="E178" i="33"/>
  <c r="D178" i="37" s="1"/>
  <c r="C178" i="11"/>
  <c r="F178" i="11" s="1"/>
  <c r="C188" i="34"/>
  <c r="C247" i="11"/>
  <c r="F247" i="11" s="1"/>
  <c r="C257" i="34"/>
  <c r="E247" i="33"/>
  <c r="D247" i="37" s="1"/>
  <c r="G166" i="32"/>
  <c r="G30" i="11" l="1"/>
  <c r="J30" i="11" l="1"/>
  <c r="E30" i="11"/>
  <c r="F30" i="11" s="1"/>
  <c r="O171" i="11"/>
  <c r="D32" i="55" l="1"/>
  <c r="D34" i="55"/>
  <c r="D39" i="55"/>
  <c r="D40" i="55"/>
  <c r="D38" i="55"/>
  <c r="D33" i="55"/>
  <c r="D27" i="55"/>
  <c r="D26" i="55"/>
  <c r="D25" i="55"/>
  <c r="D24" i="55"/>
  <c r="D23" i="55"/>
  <c r="D22" i="55"/>
  <c r="D19" i="55"/>
  <c r="D18" i="55"/>
  <c r="D17" i="55"/>
  <c r="D16" i="55"/>
  <c r="D15" i="55"/>
  <c r="D14" i="55"/>
  <c r="D13" i="55"/>
  <c r="D12" i="55"/>
  <c r="D11" i="55"/>
  <c r="B46" i="55"/>
  <c r="B7" i="55"/>
  <c r="B45" i="55" s="1"/>
  <c r="D28" i="55" l="1"/>
  <c r="E8" i="55"/>
  <c r="C235" i="42" l="1"/>
  <c r="C235" i="19" s="1"/>
  <c r="G235" i="19" s="1"/>
  <c r="T235" i="19" l="1"/>
  <c r="R235" i="19"/>
  <c r="U235" i="19" s="1"/>
  <c r="A2" i="42"/>
  <c r="F314" i="54"/>
  <c r="C234" i="39" l="1"/>
  <c r="C234" i="12"/>
  <c r="F234" i="32"/>
  <c r="G234" i="32" s="1"/>
  <c r="C234" i="33"/>
  <c r="A2" i="13"/>
  <c r="A2" i="39"/>
  <c r="A2" i="12"/>
  <c r="A2" i="11"/>
  <c r="A2" i="34"/>
  <c r="A2" i="37"/>
  <c r="A2" i="36"/>
  <c r="A2" i="9"/>
  <c r="A2" i="33"/>
  <c r="A2" i="32"/>
  <c r="A2" i="19"/>
  <c r="E234" i="33" l="1"/>
  <c r="D234" i="37" s="1"/>
  <c r="C234" i="11"/>
  <c r="F234" i="11" s="1"/>
  <c r="C244" i="34"/>
  <c r="B52" i="40"/>
  <c r="I314" i="54" l="1"/>
  <c r="C314" i="54"/>
  <c r="A7" i="12" l="1"/>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306" i="12"/>
  <c r="B306" i="12"/>
  <c r="A307" i="12"/>
  <c r="B307" i="12"/>
  <c r="A308" i="12"/>
  <c r="B308" i="12"/>
  <c r="A309" i="12"/>
  <c r="B309" i="12"/>
  <c r="A310" i="12"/>
  <c r="B310" i="12"/>
  <c r="A311" i="12"/>
  <c r="B311" i="12"/>
  <c r="A312" i="12"/>
  <c r="B312" i="12"/>
  <c r="A313" i="12"/>
  <c r="B313" i="12"/>
  <c r="H245" i="13" l="1"/>
  <c r="K245" i="13" s="1"/>
  <c r="H7" i="13" l="1"/>
  <c r="H8" i="13"/>
  <c r="K8" i="13" s="1"/>
  <c r="H9" i="13"/>
  <c r="K9" i="13" s="1"/>
  <c r="H10" i="13"/>
  <c r="K10" i="13" s="1"/>
  <c r="H11" i="13"/>
  <c r="K11" i="13" s="1"/>
  <c r="H12" i="13"/>
  <c r="K12" i="13" s="1"/>
  <c r="H13" i="13"/>
  <c r="K13" i="13" s="1"/>
  <c r="H14" i="13"/>
  <c r="K14" i="13" s="1"/>
  <c r="H15" i="13"/>
  <c r="K15" i="13" s="1"/>
  <c r="H16" i="13"/>
  <c r="K16" i="13" s="1"/>
  <c r="H17" i="13"/>
  <c r="K17" i="13" s="1"/>
  <c r="H18" i="13"/>
  <c r="K18" i="13" s="1"/>
  <c r="H19" i="13"/>
  <c r="K19" i="13" s="1"/>
  <c r="H20" i="13"/>
  <c r="K20" i="13" s="1"/>
  <c r="H21" i="13"/>
  <c r="K21" i="13" s="1"/>
  <c r="H22" i="13"/>
  <c r="K22" i="13" s="1"/>
  <c r="H23" i="13"/>
  <c r="K23" i="13" s="1"/>
  <c r="H24" i="13"/>
  <c r="K24" i="13" s="1"/>
  <c r="H25" i="13"/>
  <c r="K25" i="13" s="1"/>
  <c r="H26" i="13"/>
  <c r="K26" i="13" s="1"/>
  <c r="H27" i="13"/>
  <c r="K27" i="13" s="1"/>
  <c r="H28" i="13"/>
  <c r="K28" i="13" s="1"/>
  <c r="H29" i="13"/>
  <c r="K29" i="13" s="1"/>
  <c r="H30" i="13"/>
  <c r="K30" i="13" s="1"/>
  <c r="H31" i="13"/>
  <c r="K31" i="13" s="1"/>
  <c r="H32" i="13"/>
  <c r="K32" i="13" s="1"/>
  <c r="H33" i="13"/>
  <c r="K33" i="13" s="1"/>
  <c r="H34" i="13"/>
  <c r="K34" i="13" s="1"/>
  <c r="H35" i="13"/>
  <c r="K35" i="13" s="1"/>
  <c r="H36" i="13"/>
  <c r="K36" i="13" s="1"/>
  <c r="H37" i="13"/>
  <c r="K37" i="13" s="1"/>
  <c r="H38" i="13"/>
  <c r="K38" i="13" s="1"/>
  <c r="H39" i="13"/>
  <c r="K39" i="13" s="1"/>
  <c r="H40" i="13"/>
  <c r="K40" i="13" s="1"/>
  <c r="H41" i="13"/>
  <c r="K41" i="13" s="1"/>
  <c r="H42" i="13"/>
  <c r="K42" i="13" s="1"/>
  <c r="H43" i="13"/>
  <c r="K43" i="13" s="1"/>
  <c r="H44" i="13"/>
  <c r="K44" i="13" s="1"/>
  <c r="H45" i="13"/>
  <c r="K45" i="13" s="1"/>
  <c r="H46" i="13"/>
  <c r="K46" i="13" s="1"/>
  <c r="H47" i="13"/>
  <c r="K47" i="13" s="1"/>
  <c r="H48" i="13"/>
  <c r="K48" i="13" s="1"/>
  <c r="H49" i="13"/>
  <c r="K49" i="13" s="1"/>
  <c r="H50" i="13"/>
  <c r="K50" i="13" s="1"/>
  <c r="H51" i="13"/>
  <c r="K51" i="13" s="1"/>
  <c r="H52" i="13"/>
  <c r="K52" i="13" s="1"/>
  <c r="H53" i="13"/>
  <c r="K53" i="13" s="1"/>
  <c r="H54" i="13"/>
  <c r="K54" i="13" s="1"/>
  <c r="H55" i="13"/>
  <c r="K55" i="13" s="1"/>
  <c r="H56" i="13"/>
  <c r="K56" i="13" s="1"/>
  <c r="H57" i="13"/>
  <c r="K57" i="13" s="1"/>
  <c r="H58" i="13"/>
  <c r="K58" i="13" s="1"/>
  <c r="H59" i="13"/>
  <c r="K59" i="13" s="1"/>
  <c r="H60" i="13"/>
  <c r="K60" i="13" s="1"/>
  <c r="H61" i="13"/>
  <c r="K61" i="13" s="1"/>
  <c r="H62" i="13"/>
  <c r="K62" i="13" s="1"/>
  <c r="H63" i="13"/>
  <c r="K63" i="13" s="1"/>
  <c r="H64" i="13"/>
  <c r="K64" i="13" s="1"/>
  <c r="H65" i="13"/>
  <c r="K65" i="13" s="1"/>
  <c r="H66" i="13"/>
  <c r="K66" i="13" s="1"/>
  <c r="H67" i="13"/>
  <c r="K67" i="13" s="1"/>
  <c r="H68" i="13"/>
  <c r="K68" i="13" s="1"/>
  <c r="H69" i="13"/>
  <c r="K69" i="13" s="1"/>
  <c r="H70" i="13"/>
  <c r="K70" i="13" s="1"/>
  <c r="H71" i="13"/>
  <c r="K71" i="13" s="1"/>
  <c r="H72" i="13"/>
  <c r="K72" i="13" s="1"/>
  <c r="H73" i="13"/>
  <c r="K73" i="13" s="1"/>
  <c r="H74" i="13"/>
  <c r="K74" i="13" s="1"/>
  <c r="H75" i="13"/>
  <c r="K75" i="13" s="1"/>
  <c r="H76" i="13"/>
  <c r="K76" i="13" s="1"/>
  <c r="H77" i="13"/>
  <c r="K77" i="13" s="1"/>
  <c r="H78" i="13"/>
  <c r="K78" i="13" s="1"/>
  <c r="H79" i="13"/>
  <c r="K79" i="13" s="1"/>
  <c r="H80" i="13"/>
  <c r="K80" i="13" s="1"/>
  <c r="H81" i="13"/>
  <c r="K81" i="13" s="1"/>
  <c r="H82" i="13"/>
  <c r="K82" i="13" s="1"/>
  <c r="H83" i="13"/>
  <c r="K83" i="13" s="1"/>
  <c r="H84" i="13"/>
  <c r="K84" i="13" s="1"/>
  <c r="H85" i="13"/>
  <c r="K85" i="13" s="1"/>
  <c r="H86" i="13"/>
  <c r="K86" i="13" s="1"/>
  <c r="H87" i="13"/>
  <c r="K87" i="13" s="1"/>
  <c r="H88" i="13"/>
  <c r="K88" i="13" s="1"/>
  <c r="H89" i="13"/>
  <c r="K89" i="13" s="1"/>
  <c r="H90" i="13"/>
  <c r="K90" i="13" s="1"/>
  <c r="H91" i="13"/>
  <c r="K91" i="13" s="1"/>
  <c r="H92" i="13"/>
  <c r="K92" i="13" s="1"/>
  <c r="H93" i="13"/>
  <c r="K93" i="13" s="1"/>
  <c r="H94" i="13"/>
  <c r="K94" i="13" s="1"/>
  <c r="H95" i="13"/>
  <c r="K95" i="13" s="1"/>
  <c r="H96" i="13"/>
  <c r="K96" i="13" s="1"/>
  <c r="H97" i="13"/>
  <c r="K97" i="13" s="1"/>
  <c r="H98" i="13"/>
  <c r="K98" i="13" s="1"/>
  <c r="H99" i="13"/>
  <c r="K99" i="13" s="1"/>
  <c r="H100" i="13"/>
  <c r="K100" i="13" s="1"/>
  <c r="H101" i="13"/>
  <c r="K101" i="13" s="1"/>
  <c r="H102" i="13"/>
  <c r="K102" i="13" s="1"/>
  <c r="H103" i="13"/>
  <c r="K103" i="13" s="1"/>
  <c r="H104" i="13"/>
  <c r="K104" i="13" s="1"/>
  <c r="H105" i="13"/>
  <c r="K105" i="13" s="1"/>
  <c r="H106" i="13"/>
  <c r="K106" i="13" s="1"/>
  <c r="H107" i="13"/>
  <c r="K107" i="13" s="1"/>
  <c r="H108" i="13"/>
  <c r="K108" i="13" s="1"/>
  <c r="H109" i="13"/>
  <c r="K109" i="13" s="1"/>
  <c r="H110" i="13"/>
  <c r="K110" i="13" s="1"/>
  <c r="H111" i="13"/>
  <c r="K111" i="13" s="1"/>
  <c r="H112" i="13"/>
  <c r="K112" i="13" s="1"/>
  <c r="H113" i="13"/>
  <c r="K113" i="13" s="1"/>
  <c r="H114" i="13"/>
  <c r="K114" i="13" s="1"/>
  <c r="H115" i="13"/>
  <c r="K115" i="13" s="1"/>
  <c r="H116" i="13"/>
  <c r="K116" i="13" s="1"/>
  <c r="H117" i="13"/>
  <c r="K117" i="13" s="1"/>
  <c r="H118" i="13"/>
  <c r="K118" i="13" s="1"/>
  <c r="H119" i="13"/>
  <c r="K119" i="13" s="1"/>
  <c r="H120" i="13"/>
  <c r="K120" i="13" s="1"/>
  <c r="H121" i="13"/>
  <c r="K121" i="13" s="1"/>
  <c r="H122" i="13"/>
  <c r="K122" i="13" s="1"/>
  <c r="H123" i="13"/>
  <c r="K123" i="13" s="1"/>
  <c r="H124" i="13"/>
  <c r="K124" i="13" s="1"/>
  <c r="H125" i="13"/>
  <c r="K125" i="13" s="1"/>
  <c r="H126" i="13"/>
  <c r="K126" i="13" s="1"/>
  <c r="H127" i="13"/>
  <c r="K127" i="13" s="1"/>
  <c r="H128" i="13"/>
  <c r="K128" i="13" s="1"/>
  <c r="H129" i="13"/>
  <c r="K129" i="13" s="1"/>
  <c r="H130" i="13"/>
  <c r="K130" i="13" s="1"/>
  <c r="H131" i="13"/>
  <c r="K131" i="13" s="1"/>
  <c r="H132" i="13"/>
  <c r="K132" i="13" s="1"/>
  <c r="H133" i="13"/>
  <c r="K133" i="13" s="1"/>
  <c r="H134" i="13"/>
  <c r="K134" i="13" s="1"/>
  <c r="H135" i="13"/>
  <c r="K135" i="13" s="1"/>
  <c r="H136" i="13"/>
  <c r="K136" i="13" s="1"/>
  <c r="H137" i="13"/>
  <c r="K137" i="13" s="1"/>
  <c r="H138" i="13"/>
  <c r="K138" i="13" s="1"/>
  <c r="H139" i="13"/>
  <c r="K139" i="13" s="1"/>
  <c r="H140" i="13"/>
  <c r="K140" i="13" s="1"/>
  <c r="H141" i="13"/>
  <c r="K141" i="13" s="1"/>
  <c r="H142" i="13"/>
  <c r="K142" i="13" s="1"/>
  <c r="H143" i="13"/>
  <c r="K143" i="13" s="1"/>
  <c r="H144" i="13"/>
  <c r="K144" i="13" s="1"/>
  <c r="H145" i="13"/>
  <c r="K145" i="13" s="1"/>
  <c r="H146" i="13"/>
  <c r="K146" i="13" s="1"/>
  <c r="H147" i="13"/>
  <c r="K147" i="13" s="1"/>
  <c r="H148" i="13"/>
  <c r="K148" i="13" s="1"/>
  <c r="H149" i="13"/>
  <c r="K149" i="13" s="1"/>
  <c r="H150" i="13"/>
  <c r="K150" i="13" s="1"/>
  <c r="H151" i="13"/>
  <c r="K151" i="13" s="1"/>
  <c r="H152" i="13"/>
  <c r="K152" i="13" s="1"/>
  <c r="H153" i="13"/>
  <c r="K153" i="13" s="1"/>
  <c r="H154" i="13"/>
  <c r="K154" i="13" s="1"/>
  <c r="H155" i="13"/>
  <c r="K155" i="13" s="1"/>
  <c r="H156" i="13"/>
  <c r="K156" i="13" s="1"/>
  <c r="H157" i="13"/>
  <c r="K157" i="13" s="1"/>
  <c r="H158" i="13"/>
  <c r="K158" i="13" s="1"/>
  <c r="H159" i="13"/>
  <c r="K159" i="13" s="1"/>
  <c r="H160" i="13"/>
  <c r="K160" i="13" s="1"/>
  <c r="H161" i="13"/>
  <c r="K161" i="13" s="1"/>
  <c r="H162" i="13"/>
  <c r="K162" i="13" s="1"/>
  <c r="H163" i="13"/>
  <c r="K163" i="13" s="1"/>
  <c r="H164" i="13"/>
  <c r="K164" i="13" s="1"/>
  <c r="H165" i="13"/>
  <c r="K165" i="13" s="1"/>
  <c r="H166" i="13"/>
  <c r="K166" i="13" s="1"/>
  <c r="H167" i="13"/>
  <c r="K167" i="13" s="1"/>
  <c r="H168" i="13"/>
  <c r="K168" i="13" s="1"/>
  <c r="H169" i="13"/>
  <c r="K169" i="13" s="1"/>
  <c r="H170" i="13"/>
  <c r="K170" i="13" s="1"/>
  <c r="H171" i="13"/>
  <c r="K171" i="13" s="1"/>
  <c r="H172" i="13"/>
  <c r="K172" i="13" s="1"/>
  <c r="H173" i="13"/>
  <c r="K173" i="13" s="1"/>
  <c r="H174" i="13"/>
  <c r="K174" i="13" s="1"/>
  <c r="H175" i="13"/>
  <c r="K175" i="13" s="1"/>
  <c r="H176" i="13"/>
  <c r="K176" i="13" s="1"/>
  <c r="H177" i="13"/>
  <c r="K177" i="13" s="1"/>
  <c r="H178" i="13"/>
  <c r="K178" i="13" s="1"/>
  <c r="H179" i="13"/>
  <c r="K179" i="13" s="1"/>
  <c r="H180" i="13"/>
  <c r="K180" i="13" s="1"/>
  <c r="H181" i="13"/>
  <c r="K181" i="13" s="1"/>
  <c r="H182" i="13"/>
  <c r="K182" i="13" s="1"/>
  <c r="H183" i="13"/>
  <c r="K183" i="13" s="1"/>
  <c r="H184" i="13"/>
  <c r="K184" i="13" s="1"/>
  <c r="H185" i="13"/>
  <c r="K185" i="13" s="1"/>
  <c r="H186" i="13"/>
  <c r="K186" i="13" s="1"/>
  <c r="H187" i="13"/>
  <c r="K187" i="13" s="1"/>
  <c r="H188" i="13"/>
  <c r="K188" i="13" s="1"/>
  <c r="H189" i="13"/>
  <c r="K189" i="13" s="1"/>
  <c r="H190" i="13"/>
  <c r="K190" i="13" s="1"/>
  <c r="H191" i="13"/>
  <c r="K191" i="13" s="1"/>
  <c r="H192" i="13"/>
  <c r="K192" i="13" s="1"/>
  <c r="H193" i="13"/>
  <c r="K193" i="13" s="1"/>
  <c r="H194" i="13"/>
  <c r="K194" i="13" s="1"/>
  <c r="H195" i="13"/>
  <c r="K195" i="13" s="1"/>
  <c r="H196" i="13"/>
  <c r="K196" i="13" s="1"/>
  <c r="H197" i="13"/>
  <c r="K197" i="13" s="1"/>
  <c r="H198" i="13"/>
  <c r="K198" i="13" s="1"/>
  <c r="H199" i="13"/>
  <c r="K199" i="13" s="1"/>
  <c r="H200" i="13"/>
  <c r="K200" i="13" s="1"/>
  <c r="H201" i="13"/>
  <c r="K201" i="13" s="1"/>
  <c r="H202" i="13"/>
  <c r="K202" i="13" s="1"/>
  <c r="H203" i="13"/>
  <c r="K203" i="13" s="1"/>
  <c r="H204" i="13"/>
  <c r="K204" i="13" s="1"/>
  <c r="H205" i="13"/>
  <c r="K205" i="13" s="1"/>
  <c r="H206" i="13"/>
  <c r="K206" i="13" s="1"/>
  <c r="H207" i="13"/>
  <c r="K207" i="13" s="1"/>
  <c r="H208" i="13"/>
  <c r="K208" i="13" s="1"/>
  <c r="H209" i="13"/>
  <c r="K209" i="13" s="1"/>
  <c r="H210" i="13"/>
  <c r="K210" i="13" s="1"/>
  <c r="H211" i="13"/>
  <c r="K211" i="13" s="1"/>
  <c r="H212" i="13"/>
  <c r="K212" i="13" s="1"/>
  <c r="H213" i="13"/>
  <c r="K213" i="13" s="1"/>
  <c r="H214" i="13"/>
  <c r="K214" i="13" s="1"/>
  <c r="H215" i="13"/>
  <c r="K215" i="13" s="1"/>
  <c r="H216" i="13"/>
  <c r="K216" i="13" s="1"/>
  <c r="H217" i="13"/>
  <c r="K217" i="13" s="1"/>
  <c r="H218" i="13"/>
  <c r="K218" i="13" s="1"/>
  <c r="H219" i="13"/>
  <c r="K219" i="13" s="1"/>
  <c r="H220" i="13"/>
  <c r="K220" i="13" s="1"/>
  <c r="H221" i="13"/>
  <c r="K221" i="13" s="1"/>
  <c r="H222" i="13"/>
  <c r="K222" i="13" s="1"/>
  <c r="H223" i="13"/>
  <c r="K223" i="13" s="1"/>
  <c r="H224" i="13"/>
  <c r="K224" i="13" s="1"/>
  <c r="H225" i="13"/>
  <c r="K225" i="13" s="1"/>
  <c r="H226" i="13"/>
  <c r="K226" i="13" s="1"/>
  <c r="H227" i="13"/>
  <c r="K227" i="13" s="1"/>
  <c r="H228" i="13"/>
  <c r="K228" i="13" s="1"/>
  <c r="H229" i="13"/>
  <c r="K229" i="13" s="1"/>
  <c r="H230" i="13"/>
  <c r="K230" i="13" s="1"/>
  <c r="H231" i="13"/>
  <c r="K231" i="13" s="1"/>
  <c r="H232" i="13"/>
  <c r="K232" i="13" s="1"/>
  <c r="H233" i="13"/>
  <c r="K233" i="13" s="1"/>
  <c r="H234" i="13"/>
  <c r="K234" i="13" s="1"/>
  <c r="H235" i="13"/>
  <c r="K235" i="13" s="1"/>
  <c r="H236" i="13"/>
  <c r="K236" i="13" s="1"/>
  <c r="H237" i="13"/>
  <c r="K237" i="13" s="1"/>
  <c r="H238" i="13"/>
  <c r="K238" i="13" s="1"/>
  <c r="H239" i="13"/>
  <c r="K239" i="13" s="1"/>
  <c r="H240" i="13"/>
  <c r="K240" i="13" s="1"/>
  <c r="H241" i="13"/>
  <c r="K241" i="13" s="1"/>
  <c r="H242" i="13"/>
  <c r="K242" i="13" s="1"/>
  <c r="H243" i="13"/>
  <c r="K243" i="13" s="1"/>
  <c r="H244" i="13"/>
  <c r="K244" i="13" s="1"/>
  <c r="H246" i="13"/>
  <c r="K246" i="13" s="1"/>
  <c r="H247" i="13"/>
  <c r="K247" i="13" s="1"/>
  <c r="H248" i="13"/>
  <c r="K248" i="13" s="1"/>
  <c r="H249" i="13"/>
  <c r="K249" i="13" s="1"/>
  <c r="H250" i="13"/>
  <c r="K250" i="13" s="1"/>
  <c r="H251" i="13"/>
  <c r="K251" i="13" s="1"/>
  <c r="H252" i="13"/>
  <c r="K252" i="13" s="1"/>
  <c r="H253" i="13"/>
  <c r="K253" i="13" s="1"/>
  <c r="H254" i="13"/>
  <c r="K254" i="13" s="1"/>
  <c r="H255" i="13"/>
  <c r="K255" i="13" s="1"/>
  <c r="H256" i="13"/>
  <c r="K256" i="13" s="1"/>
  <c r="H257" i="13"/>
  <c r="K257" i="13" s="1"/>
  <c r="H258" i="13"/>
  <c r="K258" i="13" s="1"/>
  <c r="H259" i="13"/>
  <c r="K259" i="13" s="1"/>
  <c r="H260" i="13"/>
  <c r="K260" i="13" s="1"/>
  <c r="H261" i="13"/>
  <c r="K261" i="13" s="1"/>
  <c r="H262" i="13"/>
  <c r="K262" i="13" s="1"/>
  <c r="H263" i="13"/>
  <c r="K263" i="13" s="1"/>
  <c r="H264" i="13"/>
  <c r="K264" i="13" s="1"/>
  <c r="H265" i="13"/>
  <c r="K265" i="13" s="1"/>
  <c r="H266" i="13"/>
  <c r="K266" i="13" s="1"/>
  <c r="H267" i="13"/>
  <c r="K267" i="13" s="1"/>
  <c r="H268" i="13"/>
  <c r="K268" i="13" s="1"/>
  <c r="H269" i="13"/>
  <c r="K269" i="13" s="1"/>
  <c r="H270" i="13"/>
  <c r="K270" i="13" s="1"/>
  <c r="H271" i="13"/>
  <c r="K271" i="13" s="1"/>
  <c r="H272" i="13"/>
  <c r="K272" i="13" s="1"/>
  <c r="H273" i="13"/>
  <c r="K273" i="13" s="1"/>
  <c r="H274" i="13"/>
  <c r="K274" i="13" s="1"/>
  <c r="H275" i="13"/>
  <c r="K275" i="13" s="1"/>
  <c r="H276" i="13"/>
  <c r="K276" i="13" s="1"/>
  <c r="H277" i="13"/>
  <c r="K277" i="13" s="1"/>
  <c r="H278" i="13"/>
  <c r="K278" i="13" s="1"/>
  <c r="H279" i="13"/>
  <c r="K279" i="13" s="1"/>
  <c r="H280" i="13"/>
  <c r="K280" i="13" s="1"/>
  <c r="H281" i="13"/>
  <c r="K281" i="13" s="1"/>
  <c r="H282" i="13"/>
  <c r="K282" i="13" s="1"/>
  <c r="H283" i="13"/>
  <c r="K283" i="13" s="1"/>
  <c r="H284" i="13"/>
  <c r="K284" i="13" s="1"/>
  <c r="H285" i="13"/>
  <c r="K285" i="13" s="1"/>
  <c r="H286" i="13"/>
  <c r="K286" i="13" s="1"/>
  <c r="H287" i="13"/>
  <c r="K287" i="13" s="1"/>
  <c r="H288" i="13"/>
  <c r="K288" i="13" s="1"/>
  <c r="H289" i="13"/>
  <c r="K289" i="13" s="1"/>
  <c r="H290" i="13"/>
  <c r="K290" i="13" s="1"/>
  <c r="H291" i="13"/>
  <c r="K291" i="13" s="1"/>
  <c r="H292" i="13"/>
  <c r="K292" i="13" s="1"/>
  <c r="H293" i="13"/>
  <c r="K293" i="13" s="1"/>
  <c r="H294" i="13"/>
  <c r="K294" i="13" s="1"/>
  <c r="H295" i="13"/>
  <c r="K295" i="13" s="1"/>
  <c r="H296" i="13"/>
  <c r="K296" i="13" s="1"/>
  <c r="H297" i="13"/>
  <c r="K297" i="13" s="1"/>
  <c r="H298" i="13"/>
  <c r="K298" i="13" s="1"/>
  <c r="H299" i="13"/>
  <c r="K299" i="13" s="1"/>
  <c r="H300" i="13"/>
  <c r="K300" i="13" s="1"/>
  <c r="H301" i="13"/>
  <c r="K301" i="13" s="1"/>
  <c r="H302" i="13"/>
  <c r="K302" i="13" s="1"/>
  <c r="H303" i="13"/>
  <c r="K303" i="13" s="1"/>
  <c r="H304" i="13"/>
  <c r="K304" i="13" s="1"/>
  <c r="H305" i="13"/>
  <c r="K305" i="13" s="1"/>
  <c r="H306" i="13"/>
  <c r="K306" i="13" s="1"/>
  <c r="H307" i="13"/>
  <c r="K307" i="13" s="1"/>
  <c r="H308" i="13"/>
  <c r="K308" i="13" s="1"/>
  <c r="H309" i="13"/>
  <c r="K309" i="13" s="1"/>
  <c r="H310" i="13"/>
  <c r="K310" i="13" s="1"/>
  <c r="H311" i="13"/>
  <c r="K311" i="13" s="1"/>
  <c r="H312" i="13"/>
  <c r="K312" i="13" s="1"/>
  <c r="H313" i="13"/>
  <c r="K313" i="13" s="1"/>
  <c r="H314" i="13"/>
  <c r="K314" i="13" s="1"/>
  <c r="S315" i="42" l="1"/>
  <c r="H315" i="42"/>
  <c r="I315" i="42"/>
  <c r="J315" i="42"/>
  <c r="N315" i="42" l="1"/>
  <c r="I5" i="12" l="1"/>
  <c r="C4" i="13" l="1"/>
  <c r="G315" i="42" l="1"/>
  <c r="K315" i="42"/>
  <c r="L315" i="42"/>
  <c r="D315" i="42"/>
  <c r="E315" i="42"/>
  <c r="C315" i="42"/>
  <c r="J7" i="19" l="1"/>
  <c r="H5" i="33"/>
  <c r="I5" i="33"/>
  <c r="J5" i="33"/>
  <c r="K5" i="33"/>
  <c r="H4" i="33"/>
  <c r="I4" i="33"/>
  <c r="J4" i="33"/>
  <c r="K4" i="33"/>
  <c r="C315" i="13" l="1"/>
  <c r="T170" i="13" l="1"/>
  <c r="T219" i="13"/>
  <c r="T244" i="13"/>
  <c r="M169" i="42" l="1"/>
  <c r="T169" i="42" s="1"/>
  <c r="G6" i="37" l="1"/>
  <c r="S7" i="19"/>
  <c r="U6" i="42" l="1"/>
  <c r="V6" i="42"/>
  <c r="W315" i="42" l="1"/>
  <c r="X315" i="42"/>
  <c r="Y315" i="42"/>
  <c r="A242" i="49" l="1"/>
  <c r="A243" i="49"/>
  <c r="A244" i="49"/>
  <c r="A245" i="49"/>
  <c r="A246" i="49"/>
  <c r="A244" i="13" l="1"/>
  <c r="B244" i="13"/>
  <c r="B243" i="49"/>
  <c r="B6" i="11" l="1"/>
  <c r="A6" i="11"/>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D313" i="25" l="1"/>
  <c r="D307" i="25"/>
  <c r="D305" i="25"/>
  <c r="D301" i="25"/>
  <c r="D299" i="25"/>
  <c r="D297" i="25"/>
  <c r="D293" i="25"/>
  <c r="D291" i="25"/>
  <c r="D289" i="25"/>
  <c r="D285" i="25"/>
  <c r="D283" i="25"/>
  <c r="D281" i="25"/>
  <c r="D277" i="25"/>
  <c r="D275" i="25"/>
  <c r="D273" i="25"/>
  <c r="D269" i="25"/>
  <c r="D267" i="25"/>
  <c r="D265" i="25"/>
  <c r="D261" i="25"/>
  <c r="D259" i="25"/>
  <c r="D257" i="25"/>
  <c r="D253" i="25"/>
  <c r="D251" i="25"/>
  <c r="D249" i="25"/>
  <c r="D245" i="25"/>
  <c r="D243" i="25"/>
  <c r="D241" i="25"/>
  <c r="D237" i="25"/>
  <c r="D235" i="25"/>
  <c r="D233" i="25"/>
  <c r="D229" i="25"/>
  <c r="D227" i="25"/>
  <c r="D225" i="25"/>
  <c r="D221" i="25"/>
  <c r="D219" i="25"/>
  <c r="D217" i="25"/>
  <c r="D213" i="25"/>
  <c r="D211" i="25"/>
  <c r="D209" i="25"/>
  <c r="D205" i="25"/>
  <c r="D203" i="25"/>
  <c r="D201" i="25"/>
  <c r="D197" i="25"/>
  <c r="D195" i="25"/>
  <c r="D193" i="25"/>
  <c r="D189" i="25"/>
  <c r="D187" i="25"/>
  <c r="D185" i="25"/>
  <c r="D181" i="25"/>
  <c r="D179" i="25"/>
  <c r="D177" i="25"/>
  <c r="D173" i="25"/>
  <c r="D171" i="25"/>
  <c r="D169" i="25"/>
  <c r="D165" i="25"/>
  <c r="D163" i="25"/>
  <c r="D161" i="25"/>
  <c r="D157" i="25"/>
  <c r="D155" i="25"/>
  <c r="D153" i="25"/>
  <c r="D149" i="25"/>
  <c r="D141" i="25"/>
  <c r="D139" i="25"/>
  <c r="D137" i="25"/>
  <c r="D131" i="25"/>
  <c r="D129" i="25"/>
  <c r="D125" i="25"/>
  <c r="D123" i="25"/>
  <c r="D115" i="25"/>
  <c r="D111" i="25"/>
  <c r="D105" i="25"/>
  <c r="D103" i="25"/>
  <c r="D99" i="25"/>
  <c r="D97" i="25"/>
  <c r="D95" i="25"/>
  <c r="D89" i="25"/>
  <c r="D83" i="25"/>
  <c r="D79" i="25"/>
  <c r="D73" i="25"/>
  <c r="D71" i="25"/>
  <c r="D67" i="25"/>
  <c r="D65" i="25"/>
  <c r="D63" i="25"/>
  <c r="D59" i="25"/>
  <c r="D51" i="25"/>
  <c r="D47" i="25"/>
  <c r="D41" i="25"/>
  <c r="D35" i="25"/>
  <c r="D33" i="25"/>
  <c r="D28" i="25"/>
  <c r="D26" i="25"/>
  <c r="D20" i="25"/>
  <c r="D16" i="25"/>
  <c r="D10" i="25"/>
  <c r="D8" i="25"/>
  <c r="D298" i="25"/>
  <c r="D282" i="25"/>
  <c r="D266" i="25"/>
  <c r="D250" i="25"/>
  <c r="D242" i="25"/>
  <c r="D234" i="25"/>
  <c r="D218" i="25"/>
  <c r="D202" i="25"/>
  <c r="D194" i="25"/>
  <c r="D186" i="25"/>
  <c r="D170" i="25"/>
  <c r="D154" i="25"/>
  <c r="D138" i="25"/>
  <c r="D122" i="25"/>
  <c r="D102" i="25"/>
  <c r="D96" i="25"/>
  <c r="D70" i="25"/>
  <c r="D62" i="25"/>
  <c r="D58" i="25"/>
  <c r="D54" i="25"/>
  <c r="D50" i="25"/>
  <c r="D46" i="25"/>
  <c r="D42" i="25"/>
  <c r="D34" i="25"/>
  <c r="D31" i="25"/>
  <c r="D23" i="25"/>
  <c r="D19" i="25"/>
  <c r="D15" i="25"/>
  <c r="D11" i="25"/>
  <c r="A312" i="25"/>
  <c r="A306" i="25"/>
  <c r="A300" i="25"/>
  <c r="A296" i="25"/>
  <c r="A292" i="25"/>
  <c r="A288" i="25"/>
  <c r="A286" i="25"/>
  <c r="A282" i="25"/>
  <c r="A276" i="25"/>
  <c r="A272" i="25"/>
  <c r="A264" i="25"/>
  <c r="A260" i="25"/>
  <c r="A256" i="25"/>
  <c r="A252" i="25"/>
  <c r="A250" i="25"/>
  <c r="A244" i="25"/>
  <c r="A240" i="25"/>
  <c r="A236" i="25"/>
  <c r="A232" i="25"/>
  <c r="A228" i="25"/>
  <c r="A224" i="25"/>
  <c r="A220" i="25"/>
  <c r="A214" i="25"/>
  <c r="A210" i="25"/>
  <c r="A206" i="25"/>
  <c r="A202" i="25"/>
  <c r="A200" i="25"/>
  <c r="A196" i="25"/>
  <c r="A192" i="25"/>
  <c r="A190" i="25"/>
  <c r="A186" i="25"/>
  <c r="A182" i="25"/>
  <c r="A178" i="25"/>
  <c r="A174" i="25"/>
  <c r="A170" i="25"/>
  <c r="A166" i="25"/>
  <c r="A162" i="25"/>
  <c r="A156" i="25"/>
  <c r="A152" i="25"/>
  <c r="A148" i="25"/>
  <c r="A144" i="25"/>
  <c r="A140" i="25"/>
  <c r="A136" i="25"/>
  <c r="A132" i="25"/>
  <c r="A128" i="25"/>
  <c r="A124" i="25"/>
  <c r="A122" i="25"/>
  <c r="A118" i="25"/>
  <c r="A114" i="25"/>
  <c r="A110" i="25"/>
  <c r="A104" i="25"/>
  <c r="A100" i="25"/>
  <c r="A96" i="25"/>
  <c r="A92" i="25"/>
  <c r="A86" i="25"/>
  <c r="A82" i="25"/>
  <c r="A78" i="25"/>
  <c r="A74" i="25"/>
  <c r="A70" i="25"/>
  <c r="A68" i="25"/>
  <c r="A64" i="25"/>
  <c r="A60" i="25"/>
  <c r="A56" i="25"/>
  <c r="A52" i="25"/>
  <c r="A48" i="25"/>
  <c r="A42" i="25"/>
  <c r="A38" i="25"/>
  <c r="A34" i="25"/>
  <c r="A31" i="25"/>
  <c r="A27" i="25"/>
  <c r="A23" i="25"/>
  <c r="A19" i="25"/>
  <c r="A15" i="25"/>
  <c r="A11" i="25"/>
  <c r="B311" i="25"/>
  <c r="B307" i="25"/>
  <c r="B301" i="25"/>
  <c r="B297" i="25"/>
  <c r="B293" i="25"/>
  <c r="B291" i="25"/>
  <c r="B287" i="25"/>
  <c r="B281" i="25"/>
  <c r="B279" i="25"/>
  <c r="B275" i="25"/>
  <c r="B271" i="25"/>
  <c r="B267" i="25"/>
  <c r="B263" i="25"/>
  <c r="B259" i="25"/>
  <c r="B255" i="25"/>
  <c r="B251" i="25"/>
  <c r="B245" i="25"/>
  <c r="B241" i="25"/>
  <c r="B237" i="25"/>
  <c r="B233" i="25"/>
  <c r="B229" i="25"/>
  <c r="B225" i="25"/>
  <c r="B221" i="25"/>
  <c r="B217" i="25"/>
  <c r="B213" i="25"/>
  <c r="B211" i="25"/>
  <c r="B207" i="25"/>
  <c r="A311" i="25"/>
  <c r="A309" i="25"/>
  <c r="A305" i="25"/>
  <c r="A301" i="25"/>
  <c r="A299" i="25"/>
  <c r="A295" i="25"/>
  <c r="A293" i="25"/>
  <c r="A289" i="25"/>
  <c r="A287" i="25"/>
  <c r="A283" i="25"/>
  <c r="A281" i="25"/>
  <c r="A277" i="25"/>
  <c r="A275" i="25"/>
  <c r="A273" i="25"/>
  <c r="A269" i="25"/>
  <c r="A267" i="25"/>
  <c r="A263" i="25"/>
  <c r="A261" i="25"/>
  <c r="A257" i="25"/>
  <c r="A251" i="25"/>
  <c r="A247" i="25"/>
  <c r="A243" i="25"/>
  <c r="A241" i="25"/>
  <c r="A237" i="25"/>
  <c r="A231" i="25"/>
  <c r="A225" i="25"/>
  <c r="A221" i="25"/>
  <c r="A217" i="25"/>
  <c r="A213" i="25"/>
  <c r="A209" i="25"/>
  <c r="A205" i="25"/>
  <c r="A201" i="25"/>
  <c r="A199" i="25"/>
  <c r="A195" i="25"/>
  <c r="A189" i="25"/>
  <c r="A185" i="25"/>
  <c r="A181" i="25"/>
  <c r="A177" i="25"/>
  <c r="A173" i="25"/>
  <c r="A169" i="25"/>
  <c r="A165" i="25"/>
  <c r="A161" i="25"/>
  <c r="A157" i="25"/>
  <c r="A153" i="25"/>
  <c r="A149" i="25"/>
  <c r="A145" i="25"/>
  <c r="A143" i="25"/>
  <c r="A139" i="25"/>
  <c r="A135" i="25"/>
  <c r="A131" i="25"/>
  <c r="A127" i="25"/>
  <c r="A123" i="25"/>
  <c r="A119" i="25"/>
  <c r="A115" i="25"/>
  <c r="A111" i="25"/>
  <c r="A107" i="25"/>
  <c r="A103" i="25"/>
  <c r="A99" i="25"/>
  <c r="A95" i="25"/>
  <c r="A91" i="25"/>
  <c r="A87" i="25"/>
  <c r="A83" i="25"/>
  <c r="A79" i="25"/>
  <c r="A75" i="25"/>
  <c r="A71" i="25"/>
  <c r="A67" i="25"/>
  <c r="A63" i="25"/>
  <c r="A59" i="25"/>
  <c r="A55" i="25"/>
  <c r="A51" i="25"/>
  <c r="A49" i="25"/>
  <c r="A45" i="25"/>
  <c r="A43" i="25"/>
  <c r="A39" i="25"/>
  <c r="A35" i="25"/>
  <c r="A30" i="25"/>
  <c r="A26" i="25"/>
  <c r="A24" i="25"/>
  <c r="A20" i="25"/>
  <c r="A18" i="25"/>
  <c r="A14" i="25"/>
  <c r="A12" i="25"/>
  <c r="A8" i="25"/>
  <c r="B312" i="25"/>
  <c r="B310" i="25"/>
  <c r="B308" i="25"/>
  <c r="B306" i="25"/>
  <c r="B304" i="25"/>
  <c r="B302" i="25"/>
  <c r="B300" i="25"/>
  <c r="B298" i="25"/>
  <c r="B296" i="25"/>
  <c r="B294" i="25"/>
  <c r="B292" i="25"/>
  <c r="B290" i="25"/>
  <c r="B288" i="25"/>
  <c r="B286" i="25"/>
  <c r="B284" i="25"/>
  <c r="B282" i="25"/>
  <c r="B280" i="25"/>
  <c r="B278" i="25"/>
  <c r="B276" i="25"/>
  <c r="B274" i="25"/>
  <c r="B272" i="25"/>
  <c r="B270" i="25"/>
  <c r="B268" i="25"/>
  <c r="B266" i="25"/>
  <c r="B264" i="25"/>
  <c r="B262" i="25"/>
  <c r="B260" i="25"/>
  <c r="B258" i="25"/>
  <c r="B256" i="25"/>
  <c r="B254" i="25"/>
  <c r="B252" i="25"/>
  <c r="B250" i="25"/>
  <c r="B248" i="25"/>
  <c r="B246" i="25"/>
  <c r="B244" i="25"/>
  <c r="B242" i="25"/>
  <c r="B240" i="25"/>
  <c r="B238" i="25"/>
  <c r="B236" i="25"/>
  <c r="B234" i="25"/>
  <c r="B232" i="25"/>
  <c r="B230" i="25"/>
  <c r="B228" i="25"/>
  <c r="B226" i="25"/>
  <c r="B224" i="25"/>
  <c r="B222" i="25"/>
  <c r="B220" i="25"/>
  <c r="B218" i="25"/>
  <c r="B216" i="25"/>
  <c r="B214" i="25"/>
  <c r="B212" i="25"/>
  <c r="B210" i="25"/>
  <c r="B208" i="25"/>
  <c r="B206" i="25"/>
  <c r="B204" i="25"/>
  <c r="B202" i="25"/>
  <c r="B200" i="25"/>
  <c r="B198" i="25"/>
  <c r="B196" i="25"/>
  <c r="B194" i="25"/>
  <c r="B192" i="25"/>
  <c r="B190" i="25"/>
  <c r="B188" i="25"/>
  <c r="B186" i="25"/>
  <c r="B184" i="25"/>
  <c r="B182" i="25"/>
  <c r="B180" i="25"/>
  <c r="B178" i="25"/>
  <c r="B176" i="25"/>
  <c r="B174" i="25"/>
  <c r="B172" i="25"/>
  <c r="B170" i="25"/>
  <c r="B168" i="25"/>
  <c r="B166" i="25"/>
  <c r="B164" i="25"/>
  <c r="B162" i="25"/>
  <c r="B160" i="25"/>
  <c r="B158" i="25"/>
  <c r="B156" i="25"/>
  <c r="B154" i="25"/>
  <c r="B152" i="25"/>
  <c r="B150" i="25"/>
  <c r="B148" i="25"/>
  <c r="B146" i="25"/>
  <c r="B144" i="25"/>
  <c r="B142" i="25"/>
  <c r="B140" i="25"/>
  <c r="B138" i="25"/>
  <c r="B136" i="25"/>
  <c r="B134" i="25"/>
  <c r="B132" i="25"/>
  <c r="B130" i="25"/>
  <c r="B128" i="25"/>
  <c r="B126" i="25"/>
  <c r="B124" i="25"/>
  <c r="B122" i="25"/>
  <c r="B120" i="25"/>
  <c r="B118" i="25"/>
  <c r="B116" i="25"/>
  <c r="B114" i="25"/>
  <c r="B112" i="25"/>
  <c r="B110" i="25"/>
  <c r="B108" i="25"/>
  <c r="B106" i="25"/>
  <c r="B104" i="25"/>
  <c r="B102" i="25"/>
  <c r="B100" i="25"/>
  <c r="B98" i="25"/>
  <c r="B96" i="25"/>
  <c r="B94" i="25"/>
  <c r="B92" i="25"/>
  <c r="B90" i="25"/>
  <c r="B88" i="25"/>
  <c r="B86" i="25"/>
  <c r="B84" i="25"/>
  <c r="B82" i="25"/>
  <c r="B80" i="25"/>
  <c r="B78" i="25"/>
  <c r="B76" i="25"/>
  <c r="B74" i="25"/>
  <c r="B72" i="25"/>
  <c r="B70" i="25"/>
  <c r="B68" i="25"/>
  <c r="B66" i="25"/>
  <c r="B64" i="25"/>
  <c r="B62" i="25"/>
  <c r="B60" i="25"/>
  <c r="B58" i="25"/>
  <c r="B56" i="25"/>
  <c r="B54" i="25"/>
  <c r="B52" i="25"/>
  <c r="B50" i="25"/>
  <c r="B48" i="25"/>
  <c r="B46" i="25"/>
  <c r="B44" i="25"/>
  <c r="B42" i="25"/>
  <c r="B40" i="25"/>
  <c r="B38" i="25"/>
  <c r="B36" i="25"/>
  <c r="B34" i="25"/>
  <c r="B32" i="25"/>
  <c r="B31" i="25"/>
  <c r="B29" i="25"/>
  <c r="B27" i="25"/>
  <c r="B25" i="25"/>
  <c r="B23" i="25"/>
  <c r="B21" i="25"/>
  <c r="B19" i="25"/>
  <c r="B17" i="25"/>
  <c r="B15" i="25"/>
  <c r="B13" i="25"/>
  <c r="B11" i="25"/>
  <c r="B9" i="25"/>
  <c r="B7" i="25"/>
  <c r="A268" i="25"/>
  <c r="A88" i="25"/>
  <c r="B205" i="25"/>
  <c r="B203" i="25"/>
  <c r="B201" i="25"/>
  <c r="B199" i="25"/>
  <c r="B197" i="25"/>
  <c r="B195" i="25"/>
  <c r="B193" i="25"/>
  <c r="B191" i="25"/>
  <c r="B189" i="25"/>
  <c r="B187" i="25"/>
  <c r="B185" i="25"/>
  <c r="B183" i="25"/>
  <c r="B181" i="25"/>
  <c r="B179" i="25"/>
  <c r="B177" i="25"/>
  <c r="B175" i="25"/>
  <c r="B173" i="25"/>
  <c r="B171" i="25"/>
  <c r="B169" i="25"/>
  <c r="B167" i="25"/>
  <c r="B165" i="25"/>
  <c r="B163" i="25"/>
  <c r="B161" i="25"/>
  <c r="B159" i="25"/>
  <c r="B157" i="25"/>
  <c r="B155" i="25"/>
  <c r="B153" i="25"/>
  <c r="B151" i="25"/>
  <c r="B149" i="25"/>
  <c r="B147" i="25"/>
  <c r="B145" i="25"/>
  <c r="B143" i="25"/>
  <c r="B141" i="25"/>
  <c r="B139" i="25"/>
  <c r="B137" i="25"/>
  <c r="B135" i="25"/>
  <c r="B133" i="25"/>
  <c r="B131" i="25"/>
  <c r="B129" i="25"/>
  <c r="B127" i="25"/>
  <c r="B125" i="25"/>
  <c r="B123" i="25"/>
  <c r="B121" i="25"/>
  <c r="B119" i="25"/>
  <c r="B117" i="25"/>
  <c r="B115" i="25"/>
  <c r="B113" i="25"/>
  <c r="B111" i="25"/>
  <c r="B109" i="25"/>
  <c r="B107" i="25"/>
  <c r="B105" i="25"/>
  <c r="B103" i="25"/>
  <c r="B101" i="25"/>
  <c r="B99" i="25"/>
  <c r="B97" i="25"/>
  <c r="B95" i="25"/>
  <c r="B93" i="25"/>
  <c r="B91" i="25"/>
  <c r="B89" i="25"/>
  <c r="B87" i="25"/>
  <c r="B85" i="25"/>
  <c r="B83" i="25"/>
  <c r="B81" i="25"/>
  <c r="B79" i="25"/>
  <c r="B77" i="25"/>
  <c r="B75" i="25"/>
  <c r="B73" i="25"/>
  <c r="B71" i="25"/>
  <c r="B69" i="25"/>
  <c r="B67" i="25"/>
  <c r="B65" i="25"/>
  <c r="B63" i="25"/>
  <c r="B61" i="25"/>
  <c r="B59" i="25"/>
  <c r="B57" i="25"/>
  <c r="B55" i="25"/>
  <c r="B53" i="25"/>
  <c r="B51" i="25"/>
  <c r="B49" i="25"/>
  <c r="B47" i="25"/>
  <c r="B45" i="25"/>
  <c r="B43" i="25"/>
  <c r="B41" i="25"/>
  <c r="B39" i="25"/>
  <c r="B37" i="25"/>
  <c r="B35" i="25"/>
  <c r="B33" i="25"/>
  <c r="B30" i="25"/>
  <c r="B28" i="25"/>
  <c r="B26" i="25"/>
  <c r="B24" i="25"/>
  <c r="B22" i="25"/>
  <c r="B20" i="25"/>
  <c r="B18" i="25"/>
  <c r="B16" i="25"/>
  <c r="B14" i="25"/>
  <c r="B12" i="25"/>
  <c r="B10" i="25"/>
  <c r="B8" i="25"/>
  <c r="A310" i="25"/>
  <c r="A308" i="25"/>
  <c r="A304" i="25"/>
  <c r="A302" i="25"/>
  <c r="A298" i="25"/>
  <c r="A294" i="25"/>
  <c r="A290" i="25"/>
  <c r="A284" i="25"/>
  <c r="A280" i="25"/>
  <c r="A278" i="25"/>
  <c r="A274" i="25"/>
  <c r="A270" i="25"/>
  <c r="A266" i="25"/>
  <c r="A262" i="25"/>
  <c r="A258" i="25"/>
  <c r="A254" i="25"/>
  <c r="A248" i="25"/>
  <c r="A246" i="25"/>
  <c r="A242" i="25"/>
  <c r="A238" i="25"/>
  <c r="A234" i="25"/>
  <c r="A230" i="25"/>
  <c r="A226" i="25"/>
  <c r="A222" i="25"/>
  <c r="A218" i="25"/>
  <c r="A216" i="25"/>
  <c r="A212" i="25"/>
  <c r="A208" i="25"/>
  <c r="A204" i="25"/>
  <c r="A198" i="25"/>
  <c r="A194" i="25"/>
  <c r="A188" i="25"/>
  <c r="A184" i="25"/>
  <c r="A180" i="25"/>
  <c r="A176" i="25"/>
  <c r="A172" i="25"/>
  <c r="A168" i="25"/>
  <c r="A164" i="25"/>
  <c r="A160" i="25"/>
  <c r="A158" i="25"/>
  <c r="A154" i="25"/>
  <c r="A150" i="25"/>
  <c r="A146" i="25"/>
  <c r="A142" i="25"/>
  <c r="A138" i="25"/>
  <c r="A134" i="25"/>
  <c r="A130" i="25"/>
  <c r="A126" i="25"/>
  <c r="A120" i="25"/>
  <c r="A116" i="25"/>
  <c r="A112" i="25"/>
  <c r="A108" i="25"/>
  <c r="A106" i="25"/>
  <c r="A102" i="25"/>
  <c r="A98" i="25"/>
  <c r="A94" i="25"/>
  <c r="A90" i="25"/>
  <c r="A84" i="25"/>
  <c r="A80" i="25"/>
  <c r="A76" i="25"/>
  <c r="A72" i="25"/>
  <c r="A66" i="25"/>
  <c r="A62" i="25"/>
  <c r="A58" i="25"/>
  <c r="A54" i="25"/>
  <c r="A50" i="25"/>
  <c r="A46" i="25"/>
  <c r="A44" i="25"/>
  <c r="A40" i="25"/>
  <c r="A36" i="25"/>
  <c r="A32" i="25"/>
  <c r="A29" i="25"/>
  <c r="A25" i="25"/>
  <c r="A21" i="25"/>
  <c r="A17" i="25"/>
  <c r="A13" i="25"/>
  <c r="A9" i="25"/>
  <c r="A7" i="25"/>
  <c r="B313" i="25"/>
  <c r="B309" i="25"/>
  <c r="B305" i="25"/>
  <c r="B303" i="25"/>
  <c r="B299" i="25"/>
  <c r="B295" i="25"/>
  <c r="B289" i="25"/>
  <c r="B285" i="25"/>
  <c r="B283" i="25"/>
  <c r="B277" i="25"/>
  <c r="B273" i="25"/>
  <c r="B269" i="25"/>
  <c r="B265" i="25"/>
  <c r="B261" i="25"/>
  <c r="B257" i="25"/>
  <c r="B253" i="25"/>
  <c r="B249" i="25"/>
  <c r="B247" i="25"/>
  <c r="B243" i="25"/>
  <c r="B239" i="25"/>
  <c r="B235" i="25"/>
  <c r="B231" i="25"/>
  <c r="B227" i="25"/>
  <c r="B223" i="25"/>
  <c r="B219" i="25"/>
  <c r="B215" i="25"/>
  <c r="B209" i="25"/>
  <c r="A313" i="25"/>
  <c r="A307" i="25"/>
  <c r="A303" i="25"/>
  <c r="A297" i="25"/>
  <c r="A291" i="25"/>
  <c r="A285" i="25"/>
  <c r="A279" i="25"/>
  <c r="A271" i="25"/>
  <c r="A265" i="25"/>
  <c r="A259" i="25"/>
  <c r="A255" i="25"/>
  <c r="A253" i="25"/>
  <c r="A249" i="25"/>
  <c r="A245" i="25"/>
  <c r="A239" i="25"/>
  <c r="A235" i="25"/>
  <c r="A233" i="25"/>
  <c r="A229" i="25"/>
  <c r="A227" i="25"/>
  <c r="A223" i="25"/>
  <c r="A219" i="25"/>
  <c r="A215" i="25"/>
  <c r="A211" i="25"/>
  <c r="A207" i="25"/>
  <c r="A203" i="25"/>
  <c r="A197" i="25"/>
  <c r="A193" i="25"/>
  <c r="A191" i="25"/>
  <c r="A187" i="25"/>
  <c r="A183" i="25"/>
  <c r="A179" i="25"/>
  <c r="A175" i="25"/>
  <c r="A171" i="25"/>
  <c r="A167" i="25"/>
  <c r="A163" i="25"/>
  <c r="A159" i="25"/>
  <c r="A155" i="25"/>
  <c r="A151" i="25"/>
  <c r="A147" i="25"/>
  <c r="A141" i="25"/>
  <c r="A137" i="25"/>
  <c r="A133" i="25"/>
  <c r="A129" i="25"/>
  <c r="A125" i="25"/>
  <c r="A121" i="25"/>
  <c r="A117" i="25"/>
  <c r="A113" i="25"/>
  <c r="A109" i="25"/>
  <c r="A105" i="25"/>
  <c r="A101" i="25"/>
  <c r="A97" i="25"/>
  <c r="A93" i="25"/>
  <c r="A89" i="25"/>
  <c r="A85" i="25"/>
  <c r="A81" i="25"/>
  <c r="A77" i="25"/>
  <c r="A73" i="25"/>
  <c r="A69" i="25"/>
  <c r="A65" i="25"/>
  <c r="A61" i="25"/>
  <c r="A57" i="25"/>
  <c r="A53" i="25"/>
  <c r="A47" i="25"/>
  <c r="A41" i="25"/>
  <c r="A37" i="25"/>
  <c r="A33" i="25"/>
  <c r="A28" i="25"/>
  <c r="A22" i="25"/>
  <c r="A16" i="25"/>
  <c r="A10" i="25"/>
  <c r="D38" i="25"/>
  <c r="D27" i="25"/>
  <c r="D7" i="25"/>
  <c r="D306" i="25"/>
  <c r="D290" i="25"/>
  <c r="D274" i="25"/>
  <c r="D258" i="25"/>
  <c r="D226" i="25"/>
  <c r="D210" i="25"/>
  <c r="D178" i="25"/>
  <c r="D162" i="25"/>
  <c r="D146" i="25"/>
  <c r="D130" i="25"/>
  <c r="D90" i="25"/>
  <c r="D64" i="25"/>
  <c r="D32" i="25"/>
  <c r="D309" i="25"/>
  <c r="D147" i="25"/>
  <c r="D39" i="25"/>
  <c r="D91" i="25"/>
  <c r="D145" i="25"/>
  <c r="D133" i="25"/>
  <c r="D121" i="25"/>
  <c r="D57" i="25"/>
  <c r="D117" i="25"/>
  <c r="D113" i="25"/>
  <c r="D109" i="25"/>
  <c r="D101" i="25"/>
  <c r="D93" i="25"/>
  <c r="D85" i="25"/>
  <c r="D81" i="25"/>
  <c r="D77" i="25"/>
  <c r="D69" i="25"/>
  <c r="D61" i="25"/>
  <c r="D53" i="25"/>
  <c r="D49" i="25"/>
  <c r="D45" i="25"/>
  <c r="D37" i="25"/>
  <c r="D30" i="25"/>
  <c r="D22" i="25"/>
  <c r="D18" i="25"/>
  <c r="D14" i="25"/>
  <c r="D312" i="25"/>
  <c r="D308" i="25"/>
  <c r="D304" i="25"/>
  <c r="D300" i="25"/>
  <c r="D296" i="25"/>
  <c r="D292" i="25"/>
  <c r="D288" i="25"/>
  <c r="D284" i="25"/>
  <c r="D280" i="25"/>
  <c r="D276" i="25"/>
  <c r="D272" i="25"/>
  <c r="D268" i="25"/>
  <c r="D264" i="25"/>
  <c r="D260" i="25"/>
  <c r="D256" i="25"/>
  <c r="D252" i="25"/>
  <c r="D248" i="25"/>
  <c r="D244" i="25"/>
  <c r="D240" i="25"/>
  <c r="D236" i="25"/>
  <c r="D232" i="25"/>
  <c r="D228" i="25"/>
  <c r="D224" i="25"/>
  <c r="D220" i="25"/>
  <c r="D216" i="25"/>
  <c r="D212" i="25"/>
  <c r="D208" i="25"/>
  <c r="D204" i="25"/>
  <c r="D200" i="25"/>
  <c r="D196" i="25"/>
  <c r="D192" i="25"/>
  <c r="D188" i="25"/>
  <c r="D184" i="25"/>
  <c r="D180" i="25"/>
  <c r="D172" i="25"/>
  <c r="D168" i="25"/>
  <c r="D164" i="25"/>
  <c r="D160" i="25"/>
  <c r="D156" i="25"/>
  <c r="D152" i="25"/>
  <c r="D148" i="25"/>
  <c r="D144" i="25"/>
  <c r="D140" i="25"/>
  <c r="D136" i="25"/>
  <c r="D132" i="25"/>
  <c r="D128" i="25"/>
  <c r="D124" i="25"/>
  <c r="D120" i="25"/>
  <c r="D116" i="25"/>
  <c r="D112" i="25"/>
  <c r="D108" i="25"/>
  <c r="D104" i="25"/>
  <c r="D100" i="25"/>
  <c r="D92" i="25"/>
  <c r="D88" i="25"/>
  <c r="D84" i="25"/>
  <c r="D80" i="25"/>
  <c r="D76" i="25"/>
  <c r="D72" i="25"/>
  <c r="D68" i="25"/>
  <c r="D60" i="25"/>
  <c r="D56" i="25"/>
  <c r="D52" i="25"/>
  <c r="D48" i="25"/>
  <c r="D44" i="25"/>
  <c r="D40" i="25"/>
  <c r="D36" i="25"/>
  <c r="D29" i="25"/>
  <c r="D25" i="25"/>
  <c r="D21" i="25"/>
  <c r="D17" i="25"/>
  <c r="D13" i="25"/>
  <c r="D9" i="25"/>
  <c r="D311" i="25"/>
  <c r="D303" i="25"/>
  <c r="D295" i="25"/>
  <c r="D287" i="25"/>
  <c r="D279" i="25"/>
  <c r="D271" i="25"/>
  <c r="D263" i="25"/>
  <c r="D255" i="25"/>
  <c r="D247" i="25"/>
  <c r="D239" i="25"/>
  <c r="D231" i="25"/>
  <c r="D223" i="25"/>
  <c r="D215" i="25"/>
  <c r="D207" i="25"/>
  <c r="D199" i="25"/>
  <c r="D191" i="25"/>
  <c r="D183" i="25"/>
  <c r="D175" i="25"/>
  <c r="D167" i="25"/>
  <c r="D159" i="25"/>
  <c r="D151" i="25"/>
  <c r="D143" i="25"/>
  <c r="D135" i="25"/>
  <c r="D127" i="25"/>
  <c r="D119" i="25"/>
  <c r="D107" i="25"/>
  <c r="D87" i="25"/>
  <c r="D75" i="25"/>
  <c r="D55" i="25"/>
  <c r="D43" i="25"/>
  <c r="D24" i="25"/>
  <c r="D12" i="25"/>
  <c r="D310" i="25"/>
  <c r="D302" i="25"/>
  <c r="D294" i="25"/>
  <c r="D286" i="25"/>
  <c r="D278" i="25"/>
  <c r="D270" i="25"/>
  <c r="D262" i="25"/>
  <c r="D254" i="25"/>
  <c r="D246" i="25"/>
  <c r="D238" i="25"/>
  <c r="D230" i="25"/>
  <c r="D222" i="25"/>
  <c r="D214" i="25"/>
  <c r="D206" i="25"/>
  <c r="D198" i="25"/>
  <c r="D190" i="25"/>
  <c r="D182" i="25"/>
  <c r="D174" i="25"/>
  <c r="D166" i="25"/>
  <c r="D158" i="25"/>
  <c r="D150" i="25"/>
  <c r="D142" i="25"/>
  <c r="D134" i="25"/>
  <c r="D126" i="25"/>
  <c r="D118" i="25"/>
  <c r="D114" i="25"/>
  <c r="D110" i="25"/>
  <c r="D106" i="25"/>
  <c r="D98" i="25"/>
  <c r="D94" i="25"/>
  <c r="D86" i="25"/>
  <c r="D82" i="25"/>
  <c r="D78" i="25"/>
  <c r="D74" i="25"/>
  <c r="D66" i="25"/>
  <c r="D176" i="25"/>
  <c r="M244" i="42"/>
  <c r="T244" i="42" s="1"/>
  <c r="Z7" i="19" l="1"/>
  <c r="X7" i="19"/>
  <c r="W7" i="19"/>
  <c r="V7" i="19"/>
  <c r="P7" i="19"/>
  <c r="N7" i="19"/>
  <c r="M7" i="19"/>
  <c r="L7" i="19"/>
  <c r="K7" i="19"/>
  <c r="I7" i="19"/>
  <c r="H7" i="19"/>
  <c r="M238" i="42"/>
  <c r="T238" i="42" s="1"/>
  <c r="K302" i="49" l="1"/>
  <c r="M245" i="42" l="1"/>
  <c r="T245" i="42" s="1"/>
  <c r="M219" i="42"/>
  <c r="T219" i="42" s="1"/>
  <c r="M170" i="42"/>
  <c r="T170" i="42" s="1"/>
  <c r="L170" i="13" l="1"/>
  <c r="M170" i="13" s="1"/>
  <c r="E169" i="49"/>
  <c r="L219" i="13"/>
  <c r="M219" i="13" s="1"/>
  <c r="E218" i="49"/>
  <c r="E243" i="49"/>
  <c r="L244" i="13"/>
  <c r="M244" i="13" s="1"/>
  <c r="H169" i="49"/>
  <c r="D169" i="49"/>
  <c r="H218" i="49"/>
  <c r="D218" i="49"/>
  <c r="H243" i="49"/>
  <c r="D243" i="49"/>
  <c r="F169" i="49" l="1"/>
  <c r="F243" i="49"/>
  <c r="G218" i="49" l="1"/>
  <c r="F218" i="49"/>
  <c r="J219" i="13"/>
  <c r="A218" i="49"/>
  <c r="B218" i="49"/>
  <c r="A169" i="49"/>
  <c r="B169" i="49"/>
  <c r="A219" i="13"/>
  <c r="B219" i="13"/>
  <c r="A170" i="13"/>
  <c r="B170" i="13"/>
  <c r="E125" i="25" l="1"/>
  <c r="L125" i="49"/>
  <c r="E112" i="25"/>
  <c r="L112" i="49"/>
  <c r="E171" i="25"/>
  <c r="L171" i="49"/>
  <c r="E210" i="25"/>
  <c r="L210" i="49"/>
  <c r="E180" i="25"/>
  <c r="L180" i="49"/>
  <c r="E195" i="25"/>
  <c r="L195" i="49"/>
  <c r="E32" i="25"/>
  <c r="L32" i="49"/>
  <c r="E63" i="25"/>
  <c r="L63" i="49"/>
  <c r="E241" i="25"/>
  <c r="L241" i="49"/>
  <c r="E300" i="25"/>
  <c r="L300" i="49"/>
  <c r="E270" i="25"/>
  <c r="L270" i="49"/>
  <c r="E310" i="25"/>
  <c r="L310" i="49"/>
  <c r="E40" i="25"/>
  <c r="L40" i="49"/>
  <c r="E129" i="25"/>
  <c r="L129" i="49"/>
  <c r="E90" i="25"/>
  <c r="L90" i="49"/>
  <c r="E217" i="25"/>
  <c r="L217" i="49"/>
  <c r="E56" i="25"/>
  <c r="L56" i="49"/>
  <c r="L59" i="49"/>
  <c r="E59" i="25"/>
  <c r="L215" i="49"/>
  <c r="E215" i="25"/>
  <c r="L168" i="49"/>
  <c r="E168" i="25"/>
  <c r="L68" i="49"/>
  <c r="E68" i="25"/>
  <c r="E239" i="25"/>
  <c r="L239" i="49"/>
  <c r="L140" i="49"/>
  <c r="E140" i="25"/>
  <c r="E284" i="25"/>
  <c r="L284" i="49"/>
  <c r="L115" i="49"/>
  <c r="E115" i="25"/>
  <c r="L253" i="49"/>
  <c r="E253" i="25"/>
  <c r="L28" i="49"/>
  <c r="E28" i="25"/>
  <c r="E153" i="25"/>
  <c r="L153" i="49"/>
  <c r="L27" i="49"/>
  <c r="E27" i="25"/>
  <c r="E233" i="25"/>
  <c r="L233" i="49"/>
  <c r="L158" i="49"/>
  <c r="E158" i="25"/>
  <c r="L186" i="49"/>
  <c r="E186" i="25"/>
  <c r="E257" i="25"/>
  <c r="L257" i="49"/>
  <c r="E130" i="25"/>
  <c r="L130" i="49"/>
  <c r="L24" i="49"/>
  <c r="E24" i="25"/>
  <c r="E84" i="25"/>
  <c r="L84" i="49"/>
  <c r="E238" i="25"/>
  <c r="L238" i="49"/>
  <c r="E29" i="25"/>
  <c r="L29" i="49"/>
  <c r="E141" i="25"/>
  <c r="L141" i="49"/>
  <c r="E36" i="25"/>
  <c r="L36" i="49"/>
  <c r="L107" i="49"/>
  <c r="E107" i="25"/>
  <c r="L99" i="49"/>
  <c r="E99" i="25"/>
  <c r="E87" i="25"/>
  <c r="L87" i="49"/>
  <c r="L302" i="49"/>
  <c r="E302" i="25"/>
  <c r="L222" i="49"/>
  <c r="E222" i="25"/>
  <c r="E135" i="25"/>
  <c r="L135" i="49"/>
  <c r="L35" i="49"/>
  <c r="E35" i="25"/>
  <c r="E249" i="25"/>
  <c r="L249" i="49"/>
  <c r="E76" i="25"/>
  <c r="L76" i="49"/>
  <c r="E101" i="25"/>
  <c r="L101" i="49"/>
  <c r="L275" i="49"/>
  <c r="E275" i="25"/>
  <c r="L147" i="49"/>
  <c r="E147" i="25"/>
  <c r="E110" i="25"/>
  <c r="L110" i="49"/>
  <c r="E126" i="25"/>
  <c r="L126" i="49"/>
  <c r="E80" i="25"/>
  <c r="L80" i="49"/>
  <c r="L163" i="49"/>
  <c r="E163" i="25"/>
  <c r="L204" i="49"/>
  <c r="E204" i="25"/>
  <c r="E33" i="25"/>
  <c r="L33" i="49"/>
  <c r="E297" i="25"/>
  <c r="L297" i="49"/>
  <c r="E209" i="25"/>
  <c r="L209" i="49"/>
  <c r="E178" i="25"/>
  <c r="L178" i="49"/>
  <c r="L289" i="49"/>
  <c r="E289" i="25"/>
  <c r="E97" i="25"/>
  <c r="L97" i="49"/>
  <c r="E34" i="25"/>
  <c r="L34" i="49"/>
  <c r="L276" i="49"/>
  <c r="E276" i="25"/>
  <c r="E264" i="25"/>
  <c r="L264" i="49"/>
  <c r="E121" i="25"/>
  <c r="L121" i="49"/>
  <c r="E15" i="25"/>
  <c r="L15" i="49"/>
  <c r="E128" i="25"/>
  <c r="L128" i="49"/>
  <c r="L122" i="49"/>
  <c r="E122" i="25"/>
  <c r="L55" i="49"/>
  <c r="E55" i="25"/>
  <c r="E191" i="25"/>
  <c r="L191" i="49"/>
  <c r="L183" i="49"/>
  <c r="E183" i="25"/>
  <c r="E232" i="25"/>
  <c r="L232" i="49"/>
  <c r="E274" i="25"/>
  <c r="L274" i="49"/>
  <c r="L293" i="49"/>
  <c r="E293" i="25"/>
  <c r="L176" i="49"/>
  <c r="E176" i="25"/>
  <c r="E114" i="25"/>
  <c r="L114" i="49"/>
  <c r="E105" i="25"/>
  <c r="L105" i="49"/>
  <c r="L43" i="49"/>
  <c r="E43" i="25"/>
  <c r="L224" i="49"/>
  <c r="E224" i="25"/>
  <c r="L280" i="49"/>
  <c r="E280" i="25"/>
  <c r="E259" i="25"/>
  <c r="L259" i="49"/>
  <c r="L91" i="49"/>
  <c r="E91" i="25"/>
  <c r="E21" i="25"/>
  <c r="L21" i="49"/>
  <c r="L58" i="49"/>
  <c r="E58" i="25"/>
  <c r="E62" i="25"/>
  <c r="L62" i="49"/>
  <c r="L235" i="49"/>
  <c r="E235" i="25"/>
  <c r="L286" i="49"/>
  <c r="E286" i="25"/>
  <c r="E134" i="25"/>
  <c r="L134" i="49"/>
  <c r="L309" i="49"/>
  <c r="E309" i="25"/>
  <c r="L208" i="49"/>
  <c r="E208" i="25"/>
  <c r="L202" i="49"/>
  <c r="E202" i="25"/>
  <c r="E19" i="25"/>
  <c r="L19" i="49"/>
  <c r="L291" i="49"/>
  <c r="E291" i="25"/>
  <c r="E258" i="25"/>
  <c r="L258" i="49"/>
  <c r="E11" i="25"/>
  <c r="L11" i="49"/>
  <c r="L20" i="49"/>
  <c r="E20" i="25"/>
  <c r="E46" i="25"/>
  <c r="L46" i="49"/>
  <c r="E72" i="25"/>
  <c r="L72" i="49"/>
  <c r="E31" i="25"/>
  <c r="L31" i="49"/>
  <c r="E22" i="25"/>
  <c r="L22" i="49"/>
  <c r="E245" i="25"/>
  <c r="L245" i="49"/>
  <c r="L307" i="49"/>
  <c r="E307" i="25"/>
  <c r="L13" i="49"/>
  <c r="E13" i="25"/>
  <c r="L296" i="49"/>
  <c r="E296" i="25"/>
  <c r="E304" i="25"/>
  <c r="L304" i="49"/>
  <c r="E103" i="25"/>
  <c r="L103" i="49"/>
  <c r="E156" i="25"/>
  <c r="L156" i="49"/>
  <c r="L207" i="49"/>
  <c r="E207" i="25"/>
  <c r="L16" i="49"/>
  <c r="E16" i="25"/>
  <c r="E150" i="25"/>
  <c r="L150" i="49"/>
  <c r="E278" i="25"/>
  <c r="L278" i="49"/>
  <c r="E60" i="25"/>
  <c r="L60" i="49"/>
  <c r="L151" i="49"/>
  <c r="E151" i="25"/>
  <c r="E182" i="25"/>
  <c r="L182" i="49"/>
  <c r="E260" i="25"/>
  <c r="L260" i="49"/>
  <c r="L256" i="49"/>
  <c r="E256" i="25"/>
  <c r="L187" i="49"/>
  <c r="E187" i="25"/>
  <c r="E242" i="25"/>
  <c r="L242" i="49"/>
  <c r="E313" i="25"/>
  <c r="L313" i="49"/>
  <c r="E161" i="25"/>
  <c r="L161" i="49"/>
  <c r="E165" i="25"/>
  <c r="L165" i="49"/>
  <c r="E149" i="25"/>
  <c r="L149" i="49"/>
  <c r="L221" i="49"/>
  <c r="E221" i="25"/>
  <c r="E301" i="25"/>
  <c r="L301" i="49"/>
  <c r="E177" i="25"/>
  <c r="L177" i="49"/>
  <c r="E173" i="25"/>
  <c r="L173" i="49"/>
  <c r="E237" i="25"/>
  <c r="L237" i="49"/>
  <c r="E213" i="25"/>
  <c r="L213" i="49"/>
  <c r="E197" i="25"/>
  <c r="L197" i="49"/>
  <c r="E61" i="25"/>
  <c r="L61" i="49"/>
  <c r="E261" i="25"/>
  <c r="L261" i="49"/>
  <c r="E133" i="25"/>
  <c r="L133" i="49"/>
  <c r="E86" i="25"/>
  <c r="L86" i="49"/>
  <c r="L244" i="49"/>
  <c r="E244" i="25"/>
  <c r="L120" i="49"/>
  <c r="E120" i="25"/>
  <c r="E240" i="25"/>
  <c r="L240" i="49"/>
  <c r="E294" i="25"/>
  <c r="L294" i="49"/>
  <c r="E109" i="25"/>
  <c r="L109" i="49"/>
  <c r="E250" i="25"/>
  <c r="L250" i="49"/>
  <c r="E70" i="25"/>
  <c r="L70" i="49"/>
  <c r="E252" i="25"/>
  <c r="L252" i="49"/>
  <c r="E14" i="25"/>
  <c r="L14" i="49"/>
  <c r="L292" i="49"/>
  <c r="E292" i="25"/>
  <c r="E117" i="25"/>
  <c r="L117" i="49"/>
  <c r="E283" i="25"/>
  <c r="L283" i="49"/>
  <c r="L75" i="49"/>
  <c r="E75" i="25"/>
  <c r="E30" i="25"/>
  <c r="L30" i="49"/>
  <c r="E160" i="25"/>
  <c r="L160" i="49"/>
  <c r="L179" i="49"/>
  <c r="E179" i="25"/>
  <c r="L306" i="49"/>
  <c r="E306" i="25"/>
  <c r="E166" i="25"/>
  <c r="L166" i="49"/>
  <c r="E198" i="25"/>
  <c r="L198" i="49"/>
  <c r="L71" i="49"/>
  <c r="E71" i="25"/>
  <c r="E271" i="25"/>
  <c r="L271" i="49"/>
  <c r="L83" i="49"/>
  <c r="E83" i="25"/>
  <c r="E45" i="25"/>
  <c r="L45" i="49"/>
  <c r="L155" i="49"/>
  <c r="E155" i="25"/>
  <c r="E94" i="25"/>
  <c r="L94" i="49"/>
  <c r="E290" i="25"/>
  <c r="L290" i="49"/>
  <c r="E64" i="25"/>
  <c r="L64" i="49"/>
  <c r="E41" i="25"/>
  <c r="L41" i="49"/>
  <c r="L254" i="49"/>
  <c r="E254" i="25"/>
  <c r="L10" i="49"/>
  <c r="E10" i="25"/>
  <c r="E174" i="25"/>
  <c r="L174" i="49"/>
  <c r="L167" i="49"/>
  <c r="E167" i="25"/>
  <c r="E281" i="25"/>
  <c r="L281" i="49"/>
  <c r="E67" i="25"/>
  <c r="L67" i="49"/>
  <c r="L170" i="49"/>
  <c r="E170" i="25"/>
  <c r="L279" i="49"/>
  <c r="E279" i="25"/>
  <c r="L119" i="49"/>
  <c r="E119" i="25"/>
  <c r="E148" i="25"/>
  <c r="L148" i="49"/>
  <c r="E299" i="25"/>
  <c r="L299" i="49"/>
  <c r="L123" i="49"/>
  <c r="E123" i="25"/>
  <c r="E248" i="25"/>
  <c r="L248" i="49"/>
  <c r="E51" i="25"/>
  <c r="L51" i="49"/>
  <c r="E88" i="25"/>
  <c r="L88" i="49"/>
  <c r="E190" i="25"/>
  <c r="L190" i="49"/>
  <c r="E37" i="25"/>
  <c r="L37" i="49"/>
  <c r="L227" i="49"/>
  <c r="E227" i="25"/>
  <c r="E95" i="25"/>
  <c r="L95" i="49"/>
  <c r="L218" i="49"/>
  <c r="E218" i="25"/>
  <c r="E98" i="25"/>
  <c r="L98" i="49"/>
  <c r="E196" i="25"/>
  <c r="L196" i="49"/>
  <c r="L200" i="49"/>
  <c r="E200" i="25"/>
  <c r="L211" i="49"/>
  <c r="E211" i="25"/>
  <c r="E145" i="25"/>
  <c r="L145" i="49"/>
  <c r="E118" i="25"/>
  <c r="L118" i="49"/>
  <c r="E298" i="25"/>
  <c r="L298" i="49"/>
  <c r="L111" i="49"/>
  <c r="E111" i="25"/>
  <c r="E199" i="25"/>
  <c r="L199" i="49"/>
  <c r="E212" i="25"/>
  <c r="L212" i="49"/>
  <c r="L226" i="49"/>
  <c r="E226" i="25"/>
  <c r="L116" i="49"/>
  <c r="E116" i="25"/>
  <c r="L312" i="49"/>
  <c r="E312" i="25"/>
  <c r="E96" i="25"/>
  <c r="L96" i="49"/>
  <c r="L203" i="49"/>
  <c r="E203" i="25"/>
  <c r="E234" i="25"/>
  <c r="L234" i="49"/>
  <c r="E267" i="25"/>
  <c r="L267" i="49"/>
  <c r="L311" i="49"/>
  <c r="E311" i="25"/>
  <c r="E142" i="25"/>
  <c r="L142" i="49"/>
  <c r="L277" i="49"/>
  <c r="E277" i="25"/>
  <c r="E9" i="25"/>
  <c r="L9" i="49"/>
  <c r="L131" i="49"/>
  <c r="E131" i="25"/>
  <c r="L251" i="49"/>
  <c r="E251" i="25"/>
  <c r="L54" i="49"/>
  <c r="E54" i="25"/>
  <c r="E193" i="25"/>
  <c r="L193" i="49"/>
  <c r="E127" i="25"/>
  <c r="L127" i="49"/>
  <c r="E17" i="25"/>
  <c r="L17" i="49"/>
  <c r="L25" i="49"/>
  <c r="E25" i="25"/>
  <c r="E50" i="25"/>
  <c r="L50" i="49"/>
  <c r="L12" i="49"/>
  <c r="E12" i="25"/>
  <c r="E295" i="25"/>
  <c r="L295" i="49"/>
  <c r="E228" i="25"/>
  <c r="L228" i="49"/>
  <c r="E188" i="25"/>
  <c r="L188" i="49"/>
  <c r="E8" i="25"/>
  <c r="L8" i="49"/>
  <c r="E205" i="25"/>
  <c r="L205" i="49"/>
  <c r="L85" i="49"/>
  <c r="E85" i="25"/>
  <c r="E44" i="25"/>
  <c r="L44" i="49"/>
  <c r="L39" i="49"/>
  <c r="E39" i="25"/>
  <c r="E113" i="25"/>
  <c r="L113" i="49"/>
  <c r="L236" i="49"/>
  <c r="E236" i="25"/>
  <c r="E269" i="25"/>
  <c r="L269" i="49"/>
  <c r="L219" i="49"/>
  <c r="E219" i="25"/>
  <c r="E82" i="25"/>
  <c r="L82" i="49"/>
  <c r="E225" i="25"/>
  <c r="L225" i="49"/>
  <c r="E26" i="25"/>
  <c r="L26" i="49"/>
  <c r="E136" i="25"/>
  <c r="L136" i="49"/>
  <c r="E282" i="25"/>
  <c r="L282" i="49"/>
  <c r="E146" i="25"/>
  <c r="L146" i="49"/>
  <c r="E192" i="25"/>
  <c r="L192" i="49"/>
  <c r="E216" i="25"/>
  <c r="L216" i="49"/>
  <c r="L268" i="49"/>
  <c r="E268" i="25"/>
  <c r="L74" i="49"/>
  <c r="E74" i="25"/>
  <c r="E49" i="25"/>
  <c r="L49" i="49"/>
  <c r="L223" i="49"/>
  <c r="E223" i="25"/>
  <c r="L230" i="49"/>
  <c r="E230" i="25"/>
  <c r="L93" i="49"/>
  <c r="E93" i="25"/>
  <c r="E48" i="25"/>
  <c r="L48" i="49"/>
  <c r="L139" i="49"/>
  <c r="E139" i="25"/>
  <c r="L305" i="49"/>
  <c r="E305" i="25"/>
  <c r="L124" i="49"/>
  <c r="E124" i="25"/>
  <c r="L159" i="49"/>
  <c r="E159" i="25"/>
  <c r="E92" i="25"/>
  <c r="L92" i="49"/>
  <c r="E255" i="25"/>
  <c r="L255" i="49"/>
  <c r="E231" i="25"/>
  <c r="L231" i="49"/>
  <c r="E162" i="25"/>
  <c r="L162" i="49"/>
  <c r="L246" i="49"/>
  <c r="E246" i="25"/>
  <c r="E265" i="25"/>
  <c r="L265" i="49"/>
  <c r="L42" i="49"/>
  <c r="E42" i="25"/>
  <c r="E52" i="25"/>
  <c r="L52" i="49"/>
  <c r="L106" i="49"/>
  <c r="E106" i="25"/>
  <c r="E108" i="25"/>
  <c r="L108" i="49"/>
  <c r="L273" i="49"/>
  <c r="E273" i="25"/>
  <c r="L263" i="49"/>
  <c r="E263" i="25"/>
  <c r="E78" i="25"/>
  <c r="L78" i="49"/>
  <c r="L172" i="49"/>
  <c r="E172" i="25"/>
  <c r="E143" i="25"/>
  <c r="L143" i="49"/>
  <c r="E144" i="25"/>
  <c r="L144" i="49"/>
  <c r="E303" i="25"/>
  <c r="L303" i="49"/>
  <c r="E100" i="25"/>
  <c r="L100" i="49"/>
  <c r="E38" i="25"/>
  <c r="L38" i="49"/>
  <c r="E66" i="25"/>
  <c r="L66" i="49"/>
  <c r="E164" i="25"/>
  <c r="L164" i="49"/>
  <c r="E214" i="25"/>
  <c r="L214" i="49"/>
  <c r="E184" i="25"/>
  <c r="L184" i="49"/>
  <c r="E206" i="25"/>
  <c r="L206" i="49"/>
  <c r="L266" i="49"/>
  <c r="E266" i="25"/>
  <c r="E247" i="25"/>
  <c r="L247" i="49"/>
  <c r="L175" i="49"/>
  <c r="E175" i="25"/>
  <c r="L285" i="49"/>
  <c r="E285" i="25"/>
  <c r="L194" i="49"/>
  <c r="E194" i="25"/>
  <c r="E262" i="25"/>
  <c r="L262" i="49"/>
  <c r="E23" i="25"/>
  <c r="L23" i="49"/>
  <c r="L79" i="49"/>
  <c r="E79" i="25"/>
  <c r="E152" i="25"/>
  <c r="L152" i="49"/>
  <c r="L47" i="49"/>
  <c r="E47" i="25"/>
  <c r="L77" i="49"/>
  <c r="E77" i="25"/>
  <c r="E308" i="25"/>
  <c r="L308" i="49"/>
  <c r="L132" i="49"/>
  <c r="E132" i="25"/>
  <c r="E53" i="25"/>
  <c r="L53" i="49"/>
  <c r="E102" i="25"/>
  <c r="L102" i="49"/>
  <c r="E104" i="25"/>
  <c r="L104" i="49"/>
  <c r="E154" i="25"/>
  <c r="L154" i="49"/>
  <c r="E138" i="25"/>
  <c r="L138" i="49"/>
  <c r="E7" i="25"/>
  <c r="L7" i="49"/>
  <c r="L287" i="49"/>
  <c r="E287" i="25"/>
  <c r="L220" i="49"/>
  <c r="E220" i="25"/>
  <c r="L89" i="49"/>
  <c r="E89" i="25"/>
  <c r="E189" i="25"/>
  <c r="L189" i="49"/>
  <c r="E69" i="25"/>
  <c r="L69" i="49"/>
  <c r="L81" i="49"/>
  <c r="E81" i="25"/>
  <c r="E185" i="25"/>
  <c r="L185" i="49"/>
  <c r="E201" i="25"/>
  <c r="L201" i="49"/>
  <c r="E65" i="25"/>
  <c r="L65" i="49"/>
  <c r="E73" i="25"/>
  <c r="L73" i="49"/>
  <c r="E229" i="25"/>
  <c r="L229" i="49"/>
  <c r="E57" i="25"/>
  <c r="L57" i="49"/>
  <c r="E157" i="25"/>
  <c r="L157" i="49"/>
  <c r="L18" i="49"/>
  <c r="E18" i="25"/>
  <c r="L137" i="49"/>
  <c r="E137" i="25"/>
  <c r="E181" i="25"/>
  <c r="L181" i="49"/>
  <c r="E288" i="25"/>
  <c r="L288" i="49"/>
  <c r="J244" i="13"/>
  <c r="G243" i="49"/>
  <c r="J170" i="13"/>
  <c r="G169" i="49"/>
  <c r="R5" i="11"/>
  <c r="L5" i="11"/>
  <c r="K91" i="11" l="1"/>
  <c r="L91" i="11" s="1"/>
  <c r="K71" i="11"/>
  <c r="L71" i="11" s="1"/>
  <c r="K308" i="11"/>
  <c r="L308" i="11" s="1"/>
  <c r="K252" i="11"/>
  <c r="L252" i="11" s="1"/>
  <c r="K25" i="11"/>
  <c r="L25" i="11" s="1"/>
  <c r="K268" i="11"/>
  <c r="L268" i="11" s="1"/>
  <c r="K101" i="11"/>
  <c r="L101" i="11" s="1"/>
  <c r="K181" i="11"/>
  <c r="L181" i="11" s="1"/>
  <c r="K100" i="11"/>
  <c r="L100" i="11" s="1"/>
  <c r="K131" i="11"/>
  <c r="L131" i="11" s="1"/>
  <c r="K233" i="11"/>
  <c r="L233" i="11" s="1"/>
  <c r="K246" i="11"/>
  <c r="L246" i="11" s="1"/>
  <c r="K179" i="11"/>
  <c r="L179" i="11" s="1"/>
  <c r="K56" i="11"/>
  <c r="L56" i="11" s="1"/>
  <c r="K49" i="11"/>
  <c r="L49" i="11" s="1"/>
  <c r="K124" i="11"/>
  <c r="L124" i="11" s="1"/>
  <c r="K281" i="11"/>
  <c r="L281" i="11" s="1"/>
  <c r="K165" i="11"/>
  <c r="L165" i="11" s="1"/>
  <c r="K208" i="11"/>
  <c r="L208" i="11" s="1"/>
  <c r="K45" i="11"/>
  <c r="L45" i="11" s="1"/>
  <c r="K198" i="11"/>
  <c r="L198" i="11" s="1"/>
  <c r="K244" i="11"/>
  <c r="L244" i="11" s="1"/>
  <c r="K229" i="11"/>
  <c r="L229" i="11" s="1"/>
  <c r="K305" i="11"/>
  <c r="L305" i="11" s="1"/>
  <c r="K68" i="11"/>
  <c r="L68" i="11" s="1"/>
  <c r="K58" i="11"/>
  <c r="L58" i="11" s="1"/>
  <c r="K94" i="11"/>
  <c r="L94" i="11" s="1"/>
  <c r="K236" i="11"/>
  <c r="L236" i="11" s="1"/>
  <c r="K185" i="11"/>
  <c r="L185" i="11" s="1"/>
  <c r="K214" i="11"/>
  <c r="L214" i="11" s="1"/>
  <c r="K35" i="11"/>
  <c r="L35" i="11" s="1"/>
  <c r="K73" i="11"/>
  <c r="L73" i="11" s="1"/>
  <c r="K262" i="11"/>
  <c r="L262" i="11" s="1"/>
  <c r="K141" i="11"/>
  <c r="L141" i="11" s="1"/>
  <c r="K105" i="11"/>
  <c r="L105" i="11" s="1"/>
  <c r="K44" i="11"/>
  <c r="L44" i="11" s="1"/>
  <c r="K273" i="11"/>
  <c r="L273" i="11" s="1"/>
  <c r="K189" i="11"/>
  <c r="L189" i="11" s="1"/>
  <c r="K78" i="11"/>
  <c r="L78" i="11" s="1"/>
  <c r="K41" i="11"/>
  <c r="L41" i="11" s="1"/>
  <c r="K169" i="11"/>
  <c r="L169" i="11" s="1"/>
  <c r="K147" i="11"/>
  <c r="L147" i="11" s="1"/>
  <c r="K256" i="11"/>
  <c r="L256" i="11" s="1"/>
  <c r="K270" i="11"/>
  <c r="L270" i="11" s="1"/>
  <c r="K52" i="11"/>
  <c r="L52" i="11" s="1"/>
  <c r="K127" i="11"/>
  <c r="L127" i="11" s="1"/>
  <c r="K207" i="11"/>
  <c r="L207" i="11" s="1"/>
  <c r="K293" i="11"/>
  <c r="L293" i="11" s="1"/>
  <c r="K173" i="11"/>
  <c r="L173" i="11" s="1"/>
  <c r="K280" i="11"/>
  <c r="L280" i="11" s="1"/>
  <c r="K301" i="11"/>
  <c r="L301" i="11" s="1"/>
  <c r="K103" i="11"/>
  <c r="L103" i="11" s="1"/>
  <c r="K120" i="11"/>
  <c r="L120" i="11" s="1"/>
  <c r="K138" i="11"/>
  <c r="L138" i="11" s="1"/>
  <c r="K110" i="11"/>
  <c r="L110" i="11" s="1"/>
  <c r="K79" i="11"/>
  <c r="L79" i="11" s="1"/>
  <c r="K230" i="11"/>
  <c r="L230" i="11" s="1"/>
  <c r="K15" i="11"/>
  <c r="L15" i="11" s="1"/>
  <c r="K218" i="11"/>
  <c r="L218" i="11" s="1"/>
  <c r="K187" i="11"/>
  <c r="L187" i="11" s="1"/>
  <c r="K285" i="11"/>
  <c r="L285" i="11" s="1"/>
  <c r="K47" i="11"/>
  <c r="L47" i="11" s="1"/>
  <c r="K135" i="11"/>
  <c r="L135" i="11" s="1"/>
  <c r="K291" i="11"/>
  <c r="L291" i="11" s="1"/>
  <c r="K302" i="11"/>
  <c r="L302" i="11" s="1"/>
  <c r="K277" i="11"/>
  <c r="L277" i="11" s="1"/>
  <c r="K99" i="11"/>
  <c r="L99" i="11" s="1"/>
  <c r="K121" i="11"/>
  <c r="L121" i="11" s="1"/>
  <c r="K168" i="11"/>
  <c r="L168" i="11" s="1"/>
  <c r="K202" i="11"/>
  <c r="L202" i="11" s="1"/>
  <c r="K133" i="11"/>
  <c r="L133" i="11" s="1"/>
  <c r="K241" i="11"/>
  <c r="L241" i="11" s="1"/>
  <c r="K275" i="11"/>
  <c r="L275" i="11" s="1"/>
  <c r="K226" i="11"/>
  <c r="L226" i="11" s="1"/>
  <c r="K250" i="11"/>
  <c r="L250" i="11" s="1"/>
  <c r="K228" i="11"/>
  <c r="L228" i="11" s="1"/>
  <c r="K183" i="11"/>
  <c r="L183" i="11" s="1"/>
  <c r="K295" i="11"/>
  <c r="L295" i="11" s="1"/>
  <c r="K12" i="11"/>
  <c r="L12" i="11" s="1"/>
  <c r="K61" i="11"/>
  <c r="L61" i="11" s="1"/>
  <c r="K89" i="11"/>
  <c r="L89" i="11" s="1"/>
  <c r="K266" i="11"/>
  <c r="L266" i="11" s="1"/>
  <c r="K90" i="11"/>
  <c r="L90" i="11" s="1"/>
  <c r="K180" i="11"/>
  <c r="L180" i="11" s="1"/>
  <c r="K274" i="11"/>
  <c r="L274" i="11" s="1"/>
  <c r="K213" i="11"/>
  <c r="L213" i="11" s="1"/>
  <c r="K24" i="11"/>
  <c r="L24" i="11" s="1"/>
  <c r="K54" i="11"/>
  <c r="L54" i="11" s="1"/>
  <c r="K95" i="11"/>
  <c r="L95" i="11" s="1"/>
  <c r="K77" i="11"/>
  <c r="L77" i="11" s="1"/>
  <c r="K112" i="11"/>
  <c r="L112" i="11" s="1"/>
  <c r="K171" i="11"/>
  <c r="L171" i="11" s="1"/>
  <c r="K113" i="11"/>
  <c r="L113" i="11" s="1"/>
  <c r="K216" i="11"/>
  <c r="L216" i="11" s="1"/>
  <c r="K156" i="11"/>
  <c r="L156" i="11" s="1"/>
  <c r="K227" i="11"/>
  <c r="L227" i="11" s="1"/>
  <c r="K219" i="11"/>
  <c r="L219" i="11" s="1"/>
  <c r="K31" i="11"/>
  <c r="L31" i="11" s="1"/>
  <c r="K175" i="11"/>
  <c r="L175" i="11" s="1"/>
  <c r="K128" i="11"/>
  <c r="L128" i="11" s="1"/>
  <c r="K125" i="11"/>
  <c r="L125" i="11" s="1"/>
  <c r="K23" i="11"/>
  <c r="L23" i="11" s="1"/>
  <c r="K265" i="11"/>
  <c r="L265" i="11" s="1"/>
  <c r="K238" i="11"/>
  <c r="L238" i="11" s="1"/>
  <c r="K203" i="11"/>
  <c r="L203" i="11" s="1"/>
  <c r="K253" i="11"/>
  <c r="L253" i="11" s="1"/>
  <c r="K137" i="11"/>
  <c r="L137" i="11" s="1"/>
  <c r="K53" i="11"/>
  <c r="L53" i="11" s="1"/>
  <c r="K182" i="11"/>
  <c r="L182" i="11" s="1"/>
  <c r="K148" i="11"/>
  <c r="L148" i="11" s="1"/>
  <c r="K225" i="11"/>
  <c r="L225" i="11" s="1"/>
  <c r="K278" i="11"/>
  <c r="L278" i="11" s="1"/>
  <c r="K267" i="11"/>
  <c r="L267" i="11" s="1"/>
  <c r="K93" i="11"/>
  <c r="L93" i="11" s="1"/>
  <c r="K34" i="11"/>
  <c r="L34" i="11" s="1"/>
  <c r="K292" i="11"/>
  <c r="L292" i="11" s="1"/>
  <c r="K152" i="11"/>
  <c r="L152" i="11" s="1"/>
  <c r="K139" i="11"/>
  <c r="L139" i="11" s="1"/>
  <c r="K288" i="11"/>
  <c r="L288" i="11" s="1"/>
  <c r="K16" i="11"/>
  <c r="L16" i="11" s="1"/>
  <c r="K84" i="11"/>
  <c r="L84" i="11" s="1"/>
  <c r="K116" i="11"/>
  <c r="L116" i="11" s="1"/>
  <c r="K217" i="11"/>
  <c r="L217" i="11" s="1"/>
  <c r="K115" i="11"/>
  <c r="L115" i="11" s="1"/>
  <c r="K163" i="11"/>
  <c r="L163" i="11" s="1"/>
  <c r="K290" i="11"/>
  <c r="L290" i="11" s="1"/>
  <c r="K40" i="11"/>
  <c r="L40" i="11" s="1"/>
  <c r="K254" i="11"/>
  <c r="L254" i="11" s="1"/>
  <c r="K59" i="11"/>
  <c r="L59" i="11" s="1"/>
  <c r="K196" i="11"/>
  <c r="L196" i="11" s="1"/>
  <c r="K258" i="11"/>
  <c r="L258" i="11" s="1"/>
  <c r="K299" i="11"/>
  <c r="L299" i="11" s="1"/>
  <c r="K36" i="11"/>
  <c r="L36" i="11" s="1"/>
  <c r="K300" i="11"/>
  <c r="L300" i="11" s="1"/>
  <c r="K240" i="11"/>
  <c r="L240" i="11" s="1"/>
  <c r="K209" i="11"/>
  <c r="L209" i="11" s="1"/>
  <c r="K37" i="11"/>
  <c r="L37" i="11" s="1"/>
  <c r="K269" i="11"/>
  <c r="L269" i="11" s="1"/>
  <c r="K284" i="11"/>
  <c r="L284" i="11" s="1"/>
  <c r="K9" i="11"/>
  <c r="L9" i="11" s="1"/>
  <c r="K30" i="11"/>
  <c r="L30" i="11" s="1"/>
  <c r="K279" i="11"/>
  <c r="L279" i="11" s="1"/>
  <c r="K57" i="11"/>
  <c r="L57" i="11" s="1"/>
  <c r="K309" i="11"/>
  <c r="L309" i="11" s="1"/>
  <c r="K119" i="11"/>
  <c r="L119" i="11" s="1"/>
  <c r="K22" i="11"/>
  <c r="L22" i="11" s="1"/>
  <c r="K160" i="11"/>
  <c r="L160" i="11" s="1"/>
  <c r="K155" i="11"/>
  <c r="L155" i="11" s="1"/>
  <c r="K21" i="11"/>
  <c r="L21" i="11" s="1"/>
  <c r="K123" i="11"/>
  <c r="L123" i="11" s="1"/>
  <c r="K88" i="11"/>
  <c r="L88" i="11" s="1"/>
  <c r="K14" i="11"/>
  <c r="L14" i="11" s="1"/>
  <c r="K134" i="11"/>
  <c r="L134" i="11" s="1"/>
  <c r="K223" i="11"/>
  <c r="L223" i="11" s="1"/>
  <c r="K50" i="11"/>
  <c r="L50" i="11" s="1"/>
  <c r="K144" i="11"/>
  <c r="L144" i="11" s="1"/>
  <c r="K42" i="11"/>
  <c r="L42" i="11" s="1"/>
  <c r="K245" i="11"/>
  <c r="L245" i="11" s="1"/>
  <c r="K298" i="11"/>
  <c r="L298" i="11" s="1"/>
  <c r="K161" i="11"/>
  <c r="L161" i="11" s="1"/>
  <c r="K174" i="11"/>
  <c r="L174" i="11" s="1"/>
  <c r="K167" i="11"/>
  <c r="L167" i="11" s="1"/>
  <c r="K271" i="11"/>
  <c r="L271" i="11" s="1"/>
  <c r="K145" i="11"/>
  <c r="L145" i="11" s="1"/>
  <c r="K248" i="11"/>
  <c r="L248" i="11" s="1"/>
  <c r="K231" i="11"/>
  <c r="L231" i="11" s="1"/>
  <c r="K51" i="11"/>
  <c r="L51" i="11" s="1"/>
  <c r="K237" i="11"/>
  <c r="L237" i="11" s="1"/>
  <c r="K102" i="11"/>
  <c r="L102" i="11" s="1"/>
  <c r="K70" i="11"/>
  <c r="L70" i="11" s="1"/>
  <c r="K17" i="11"/>
  <c r="L17" i="11" s="1"/>
  <c r="K65" i="11"/>
  <c r="L65" i="11" s="1"/>
  <c r="K235" i="11"/>
  <c r="L235" i="11" s="1"/>
  <c r="K177" i="11"/>
  <c r="L177" i="11" s="1"/>
  <c r="K191" i="11"/>
  <c r="L191" i="11" s="1"/>
  <c r="K307" i="11"/>
  <c r="L307" i="11" s="1"/>
  <c r="K151" i="11"/>
  <c r="L151" i="11" s="1"/>
  <c r="K28" i="11"/>
  <c r="L28" i="11" s="1"/>
  <c r="K85" i="11"/>
  <c r="L85" i="11" s="1"/>
  <c r="K294" i="11"/>
  <c r="L294" i="11" s="1"/>
  <c r="K150" i="11"/>
  <c r="L150" i="11" s="1"/>
  <c r="K143" i="11"/>
  <c r="L143" i="11" s="1"/>
  <c r="K18" i="11"/>
  <c r="L18" i="11" s="1"/>
  <c r="K205" i="11"/>
  <c r="L205" i="11" s="1"/>
  <c r="K13" i="11"/>
  <c r="L13" i="11" s="1"/>
  <c r="K10" i="11"/>
  <c r="L10" i="11" s="1"/>
  <c r="K33" i="11"/>
  <c r="L33" i="11" s="1"/>
  <c r="K206" i="11"/>
  <c r="L206" i="11" s="1"/>
  <c r="K283" i="11"/>
  <c r="L283" i="11" s="1"/>
  <c r="K195" i="11"/>
  <c r="L195" i="11" s="1"/>
  <c r="K304" i="11"/>
  <c r="L304" i="11" s="1"/>
  <c r="K261" i="11"/>
  <c r="L261" i="11" s="1"/>
  <c r="K311" i="11"/>
  <c r="L311" i="11" s="1"/>
  <c r="K76" i="11"/>
  <c r="L76" i="11" s="1"/>
  <c r="K38" i="11"/>
  <c r="L38" i="11" s="1"/>
  <c r="K104" i="11"/>
  <c r="L104" i="11" s="1"/>
  <c r="K136" i="11"/>
  <c r="L136" i="11" s="1"/>
  <c r="K188" i="11"/>
  <c r="L188" i="11" s="1"/>
  <c r="K26" i="11"/>
  <c r="L26" i="11" s="1"/>
  <c r="K97" i="11"/>
  <c r="L97" i="11" s="1"/>
  <c r="K111" i="11"/>
  <c r="L111" i="11" s="1"/>
  <c r="K212" i="11"/>
  <c r="L212" i="11" s="1"/>
  <c r="K224" i="11"/>
  <c r="L224" i="11" s="1"/>
  <c r="K313" i="11"/>
  <c r="L313" i="11" s="1"/>
  <c r="K200" i="11"/>
  <c r="L200" i="11" s="1"/>
  <c r="K286" i="11"/>
  <c r="L286" i="11" s="1"/>
  <c r="K259" i="11"/>
  <c r="L259" i="11" s="1"/>
  <c r="K29" i="11"/>
  <c r="L29" i="11" s="1"/>
  <c r="K109" i="11"/>
  <c r="L109" i="11" s="1"/>
  <c r="K260" i="11"/>
  <c r="L260" i="11" s="1"/>
  <c r="K69" i="11"/>
  <c r="L69" i="11" s="1"/>
  <c r="K108" i="11"/>
  <c r="L108" i="11" s="1"/>
  <c r="K220" i="11"/>
  <c r="L220" i="11" s="1"/>
  <c r="K232" i="11"/>
  <c r="L232" i="11" s="1"/>
  <c r="K87" i="11"/>
  <c r="L87" i="11" s="1"/>
  <c r="K172" i="11"/>
  <c r="L172" i="11" s="1"/>
  <c r="K282" i="11"/>
  <c r="L282" i="11" s="1"/>
  <c r="K306" i="11"/>
  <c r="L306" i="11" s="1"/>
  <c r="K7" i="11"/>
  <c r="L7" i="11" s="1"/>
  <c r="K199" i="11"/>
  <c r="L199" i="11" s="1"/>
  <c r="K81" i="11"/>
  <c r="L81" i="11" s="1"/>
  <c r="K197" i="11"/>
  <c r="L197" i="11" s="1"/>
  <c r="K48" i="11"/>
  <c r="L48" i="11" s="1"/>
  <c r="K20" i="11"/>
  <c r="L20" i="11" s="1"/>
  <c r="K211" i="11"/>
  <c r="L211" i="11" s="1"/>
  <c r="K154" i="11"/>
  <c r="L154" i="11" s="1"/>
  <c r="K92" i="11"/>
  <c r="L92" i="11" s="1"/>
  <c r="K8" i="11"/>
  <c r="L8" i="11" s="1"/>
  <c r="K55" i="11"/>
  <c r="L55" i="11" s="1"/>
  <c r="K176" i="11"/>
  <c r="L176" i="11" s="1"/>
  <c r="K117" i="11"/>
  <c r="L117" i="11" s="1"/>
  <c r="K149" i="11"/>
  <c r="L149" i="11" s="1"/>
  <c r="K129" i="11"/>
  <c r="L129" i="11" s="1"/>
  <c r="K46" i="11"/>
  <c r="L46" i="11" s="1"/>
  <c r="K118" i="11"/>
  <c r="L118" i="11" s="1"/>
  <c r="K140" i="11"/>
  <c r="L140" i="11" s="1"/>
  <c r="K289" i="11"/>
  <c r="L289" i="11" s="1"/>
  <c r="K186" i="11"/>
  <c r="L186" i="11" s="1"/>
  <c r="K39" i="11"/>
  <c r="L39" i="11" s="1"/>
  <c r="K164" i="11"/>
  <c r="L164" i="11" s="1"/>
  <c r="K122" i="11"/>
  <c r="L122" i="11" s="1"/>
  <c r="K243" i="11"/>
  <c r="L243" i="11" s="1"/>
  <c r="K193" i="11"/>
  <c r="L193" i="11" s="1"/>
  <c r="K221" i="11"/>
  <c r="L221" i="11" s="1"/>
  <c r="K204" i="11"/>
  <c r="L204" i="11" s="1"/>
  <c r="K287" i="11"/>
  <c r="L287" i="11" s="1"/>
  <c r="K249" i="11"/>
  <c r="L249" i="11" s="1"/>
  <c r="K257" i="11"/>
  <c r="L257" i="11" s="1"/>
  <c r="K126" i="11"/>
  <c r="L126" i="11" s="1"/>
  <c r="K157" i="11"/>
  <c r="L157" i="11" s="1"/>
  <c r="K239" i="11"/>
  <c r="L239" i="11" s="1"/>
  <c r="K303" i="11"/>
  <c r="L303" i="11" s="1"/>
  <c r="K159" i="11"/>
  <c r="L159" i="11" s="1"/>
  <c r="K80" i="11"/>
  <c r="L80" i="11" s="1"/>
  <c r="K153" i="11"/>
  <c r="L153" i="11" s="1"/>
  <c r="K72" i="11"/>
  <c r="L72" i="11" s="1"/>
  <c r="K96" i="11"/>
  <c r="L96" i="11" s="1"/>
  <c r="K201" i="11"/>
  <c r="L201" i="11" s="1"/>
  <c r="K297" i="11"/>
  <c r="L297" i="11" s="1"/>
  <c r="K32" i="11"/>
  <c r="L32" i="11" s="1"/>
  <c r="K64" i="11"/>
  <c r="L64" i="11" s="1"/>
  <c r="K215" i="11"/>
  <c r="L215" i="11" s="1"/>
  <c r="K264" i="11"/>
  <c r="L264" i="11" s="1"/>
  <c r="K19" i="11"/>
  <c r="L19" i="11" s="1"/>
  <c r="K83" i="11"/>
  <c r="L83" i="11" s="1"/>
  <c r="K142" i="11"/>
  <c r="L142" i="11" s="1"/>
  <c r="K296" i="11"/>
  <c r="L296" i="11" s="1"/>
  <c r="K184" i="11"/>
  <c r="L184" i="11" s="1"/>
  <c r="K310" i="11"/>
  <c r="L310" i="11" s="1"/>
  <c r="K272" i="11"/>
  <c r="L272" i="11" s="1"/>
  <c r="K62" i="11"/>
  <c r="L62" i="11" s="1"/>
  <c r="K263" i="11"/>
  <c r="L263" i="11" s="1"/>
  <c r="K107" i="11"/>
  <c r="L107" i="11" s="1"/>
  <c r="K312" i="11"/>
  <c r="L312" i="11" s="1"/>
  <c r="K192" i="11"/>
  <c r="L192" i="11" s="1"/>
  <c r="K276" i="11"/>
  <c r="L276" i="11" s="1"/>
  <c r="K132" i="11"/>
  <c r="L132" i="11" s="1"/>
  <c r="K222" i="11"/>
  <c r="L222" i="11" s="1"/>
  <c r="K166" i="11"/>
  <c r="L166" i="11" s="1"/>
  <c r="K146" i="11"/>
  <c r="L146" i="11" s="1"/>
  <c r="K130" i="11"/>
  <c r="L130" i="11" s="1"/>
  <c r="K27" i="11"/>
  <c r="L27" i="11" s="1"/>
  <c r="K242" i="11"/>
  <c r="L242" i="11" s="1"/>
  <c r="K60" i="11"/>
  <c r="L60" i="11" s="1"/>
  <c r="K170" i="11"/>
  <c r="L170" i="11" s="1"/>
  <c r="K210" i="11"/>
  <c r="L210" i="11" s="1"/>
  <c r="K158" i="11"/>
  <c r="L158" i="11" s="1"/>
  <c r="K251" i="11"/>
  <c r="L251" i="11" s="1"/>
  <c r="K194" i="11"/>
  <c r="L194" i="11" s="1"/>
  <c r="K114" i="11"/>
  <c r="L114" i="11" s="1"/>
  <c r="K63" i="11"/>
  <c r="L63" i="11" s="1"/>
  <c r="K43" i="11"/>
  <c r="L43" i="11" s="1"/>
  <c r="K82" i="11"/>
  <c r="L82" i="11" s="1"/>
  <c r="K86" i="11"/>
  <c r="L86" i="11" s="1"/>
  <c r="K11" i="11"/>
  <c r="L11" i="11" s="1"/>
  <c r="K74" i="11"/>
  <c r="L74" i="11" s="1"/>
  <c r="K106" i="11"/>
  <c r="L106" i="11" s="1"/>
  <c r="K67" i="11"/>
  <c r="L67" i="11" s="1"/>
  <c r="K190" i="11"/>
  <c r="L190" i="11" s="1"/>
  <c r="K75" i="11"/>
  <c r="L75" i="11" s="1"/>
  <c r="K66" i="11"/>
  <c r="L66" i="11" s="1"/>
  <c r="K98" i="11"/>
  <c r="L98" i="11" s="1"/>
  <c r="K247" i="11"/>
  <c r="L247" i="11" s="1"/>
  <c r="K162" i="11"/>
  <c r="L162" i="11" s="1"/>
  <c r="K178" i="11"/>
  <c r="L178" i="11" s="1"/>
  <c r="K255" i="11"/>
  <c r="L255" i="11" s="1"/>
  <c r="K234" i="11"/>
  <c r="L234" i="11" s="1"/>
  <c r="Q71" i="11"/>
  <c r="R71" i="11" s="1"/>
  <c r="Q91" i="11"/>
  <c r="R91" i="11" s="1"/>
  <c r="Q94" i="11"/>
  <c r="R94" i="11" s="1"/>
  <c r="Q236" i="11"/>
  <c r="R236" i="11" s="1"/>
  <c r="Q185" i="11"/>
  <c r="R185" i="11" s="1"/>
  <c r="Q214" i="11"/>
  <c r="R214" i="11" s="1"/>
  <c r="Q35" i="11"/>
  <c r="R35" i="11" s="1"/>
  <c r="Q73" i="11"/>
  <c r="R73" i="11" s="1"/>
  <c r="Q262" i="11"/>
  <c r="R262" i="11" s="1"/>
  <c r="Q141" i="11"/>
  <c r="R141" i="11" s="1"/>
  <c r="Q105" i="11"/>
  <c r="R105" i="11" s="1"/>
  <c r="Q44" i="11"/>
  <c r="R44" i="11" s="1"/>
  <c r="Q273" i="11"/>
  <c r="R273" i="11" s="1"/>
  <c r="Q189" i="11"/>
  <c r="R189" i="11" s="1"/>
  <c r="Q78" i="11"/>
  <c r="R78" i="11" s="1"/>
  <c r="Q41" i="11"/>
  <c r="R41" i="11" s="1"/>
  <c r="Q169" i="11"/>
  <c r="R169" i="11" s="1"/>
  <c r="Q147" i="11"/>
  <c r="R147" i="11" s="1"/>
  <c r="Q143" i="11"/>
  <c r="R143" i="11" s="1"/>
  <c r="Q18" i="11"/>
  <c r="R18" i="11" s="1"/>
  <c r="Q205" i="11"/>
  <c r="R205" i="11" s="1"/>
  <c r="Q13" i="11"/>
  <c r="R13" i="11" s="1"/>
  <c r="Q270" i="11"/>
  <c r="R270" i="11" s="1"/>
  <c r="Q52" i="11"/>
  <c r="R52" i="11" s="1"/>
  <c r="Q127" i="11"/>
  <c r="R127" i="11" s="1"/>
  <c r="Q207" i="11"/>
  <c r="R207" i="11" s="1"/>
  <c r="Q293" i="11"/>
  <c r="R293" i="11" s="1"/>
  <c r="Q173" i="11"/>
  <c r="R173" i="11" s="1"/>
  <c r="Q280" i="11"/>
  <c r="R280" i="11" s="1"/>
  <c r="Q301" i="11"/>
  <c r="R301" i="11" s="1"/>
  <c r="Q103" i="11"/>
  <c r="R103" i="11" s="1"/>
  <c r="Q120" i="11"/>
  <c r="R120" i="11" s="1"/>
  <c r="Q138" i="11"/>
  <c r="R138" i="11" s="1"/>
  <c r="Q110" i="11"/>
  <c r="R110" i="11" s="1"/>
  <c r="Q79" i="11"/>
  <c r="R79" i="11" s="1"/>
  <c r="Q230" i="11"/>
  <c r="R230" i="11" s="1"/>
  <c r="Q15" i="11"/>
  <c r="R15" i="11" s="1"/>
  <c r="Q218" i="11"/>
  <c r="R218" i="11" s="1"/>
  <c r="Q187" i="11"/>
  <c r="R187" i="11" s="1"/>
  <c r="Q212" i="11"/>
  <c r="R212" i="11" s="1"/>
  <c r="Q133" i="11"/>
  <c r="R133" i="11" s="1"/>
  <c r="Q156" i="11"/>
  <c r="R156" i="11" s="1"/>
  <c r="Q225" i="11"/>
  <c r="R225" i="11" s="1"/>
  <c r="Q157" i="11"/>
  <c r="R157" i="11" s="1"/>
  <c r="Q46" i="11"/>
  <c r="R46" i="11" s="1"/>
  <c r="Q221" i="11"/>
  <c r="R221" i="11" s="1"/>
  <c r="Q308" i="11"/>
  <c r="R308" i="11" s="1"/>
  <c r="Q252" i="11"/>
  <c r="R252" i="11" s="1"/>
  <c r="Q25" i="11"/>
  <c r="R25" i="11" s="1"/>
  <c r="Q268" i="11"/>
  <c r="R268" i="11" s="1"/>
  <c r="Q50" i="11"/>
  <c r="R50" i="11" s="1"/>
  <c r="Q144" i="11"/>
  <c r="R144" i="11" s="1"/>
  <c r="Q42" i="11"/>
  <c r="R42" i="11" s="1"/>
  <c r="Q245" i="11"/>
  <c r="R245" i="11" s="1"/>
  <c r="Q298" i="11"/>
  <c r="R298" i="11" s="1"/>
  <c r="Q161" i="11"/>
  <c r="R161" i="11" s="1"/>
  <c r="Q174" i="11"/>
  <c r="R174" i="11" s="1"/>
  <c r="Q167" i="11"/>
  <c r="R167" i="11" s="1"/>
  <c r="Q271" i="11"/>
  <c r="R271" i="11" s="1"/>
  <c r="Q145" i="11"/>
  <c r="R145" i="11" s="1"/>
  <c r="Q248" i="11"/>
  <c r="R248" i="11" s="1"/>
  <c r="Q49" i="11"/>
  <c r="R49" i="11" s="1"/>
  <c r="Q124" i="11"/>
  <c r="R124" i="11" s="1"/>
  <c r="Q281" i="11"/>
  <c r="R281" i="11" s="1"/>
  <c r="Q165" i="11"/>
  <c r="R165" i="11" s="1"/>
  <c r="Q208" i="11"/>
  <c r="R208" i="11" s="1"/>
  <c r="Q16" i="11"/>
  <c r="R16" i="11" s="1"/>
  <c r="Q84" i="11"/>
  <c r="R84" i="11" s="1"/>
  <c r="Q116" i="11"/>
  <c r="R116" i="11" s="1"/>
  <c r="Q217" i="11"/>
  <c r="R217" i="11" s="1"/>
  <c r="Q115" i="11"/>
  <c r="R115" i="11" s="1"/>
  <c r="Q163" i="11"/>
  <c r="R163" i="11" s="1"/>
  <c r="Q290" i="11"/>
  <c r="R290" i="11" s="1"/>
  <c r="Q40" i="11"/>
  <c r="R40" i="11" s="1"/>
  <c r="Q254" i="11"/>
  <c r="R254" i="11" s="1"/>
  <c r="Q59" i="11"/>
  <c r="R59" i="11" s="1"/>
  <c r="Q196" i="11"/>
  <c r="R196" i="11" s="1"/>
  <c r="Q258" i="11"/>
  <c r="R258" i="11" s="1"/>
  <c r="Q299" i="11"/>
  <c r="R299" i="11" s="1"/>
  <c r="Q36" i="11"/>
  <c r="R36" i="11" s="1"/>
  <c r="Q300" i="11"/>
  <c r="R300" i="11" s="1"/>
  <c r="Q215" i="11"/>
  <c r="R215" i="11" s="1"/>
  <c r="Q264" i="11"/>
  <c r="R264" i="11" s="1"/>
  <c r="Q19" i="11"/>
  <c r="R19" i="11" s="1"/>
  <c r="Q83" i="11"/>
  <c r="R83" i="11" s="1"/>
  <c r="Q142" i="11"/>
  <c r="R142" i="11" s="1"/>
  <c r="Q296" i="11"/>
  <c r="R296" i="11" s="1"/>
  <c r="Q310" i="11"/>
  <c r="R310" i="11" s="1"/>
  <c r="Q272" i="11"/>
  <c r="R272" i="11" s="1"/>
  <c r="Q62" i="11"/>
  <c r="R62" i="11" s="1"/>
  <c r="Q263" i="11"/>
  <c r="R263" i="11" s="1"/>
  <c r="Q305" i="11"/>
  <c r="R305" i="11" s="1"/>
  <c r="Q107" i="11"/>
  <c r="R107" i="11" s="1"/>
  <c r="Q312" i="11"/>
  <c r="R312" i="11" s="1"/>
  <c r="Q192" i="11"/>
  <c r="R192" i="11" s="1"/>
  <c r="Q123" i="11"/>
  <c r="R123" i="11" s="1"/>
  <c r="Q58" i="11"/>
  <c r="R58" i="11" s="1"/>
  <c r="Q283" i="11"/>
  <c r="R283" i="11" s="1"/>
  <c r="Q195" i="11"/>
  <c r="R195" i="11" s="1"/>
  <c r="Q304" i="11"/>
  <c r="R304" i="11" s="1"/>
  <c r="Q261" i="11"/>
  <c r="R261" i="11" s="1"/>
  <c r="Q311" i="11"/>
  <c r="R311" i="11" s="1"/>
  <c r="Q76" i="11"/>
  <c r="R76" i="11" s="1"/>
  <c r="Q38" i="11"/>
  <c r="R38" i="11" s="1"/>
  <c r="Q104" i="11"/>
  <c r="R104" i="11" s="1"/>
  <c r="Q136" i="11"/>
  <c r="R136" i="11" s="1"/>
  <c r="Q188" i="11"/>
  <c r="R188" i="11" s="1"/>
  <c r="Q26" i="11"/>
  <c r="R26" i="11" s="1"/>
  <c r="Q97" i="11"/>
  <c r="R97" i="11" s="1"/>
  <c r="Q285" i="11"/>
  <c r="R285" i="11" s="1"/>
  <c r="Q47" i="11"/>
  <c r="R47" i="11" s="1"/>
  <c r="Q224" i="11"/>
  <c r="R224" i="11" s="1"/>
  <c r="Q291" i="11"/>
  <c r="R291" i="11" s="1"/>
  <c r="Q286" i="11"/>
  <c r="R286" i="11" s="1"/>
  <c r="Q259" i="11"/>
  <c r="R259" i="11" s="1"/>
  <c r="Q29" i="11"/>
  <c r="R29" i="11" s="1"/>
  <c r="Q109" i="11"/>
  <c r="R109" i="11" s="1"/>
  <c r="Q260" i="11"/>
  <c r="R260" i="11" s="1"/>
  <c r="Q69" i="11"/>
  <c r="R69" i="11" s="1"/>
  <c r="Q108" i="11"/>
  <c r="R108" i="11" s="1"/>
  <c r="Q220" i="11"/>
  <c r="R220" i="11" s="1"/>
  <c r="Q232" i="11"/>
  <c r="R232" i="11" s="1"/>
  <c r="Q87" i="11"/>
  <c r="R87" i="11" s="1"/>
  <c r="Q172" i="11"/>
  <c r="R172" i="11" s="1"/>
  <c r="Q282" i="11"/>
  <c r="R282" i="11" s="1"/>
  <c r="Q306" i="11"/>
  <c r="R306" i="11" s="1"/>
  <c r="Q7" i="11"/>
  <c r="R7" i="11" s="1"/>
  <c r="Q199" i="11"/>
  <c r="R199" i="11" s="1"/>
  <c r="Q81" i="11"/>
  <c r="R81" i="11" s="1"/>
  <c r="Q197" i="11"/>
  <c r="R197" i="11" s="1"/>
  <c r="Q48" i="11"/>
  <c r="R48" i="11" s="1"/>
  <c r="Q20" i="11"/>
  <c r="R20" i="11" s="1"/>
  <c r="Q211" i="11"/>
  <c r="R211" i="11" s="1"/>
  <c r="Q154" i="11"/>
  <c r="R154" i="11" s="1"/>
  <c r="Q8" i="11"/>
  <c r="R8" i="11" s="1"/>
  <c r="Q55" i="11"/>
  <c r="R55" i="11" s="1"/>
  <c r="Q176" i="11"/>
  <c r="R176" i="11" s="1"/>
  <c r="Q149" i="11"/>
  <c r="R149" i="11" s="1"/>
  <c r="Q129" i="11"/>
  <c r="R129" i="11" s="1"/>
  <c r="Q118" i="11"/>
  <c r="R118" i="11" s="1"/>
  <c r="Q238" i="11"/>
  <c r="R238" i="11" s="1"/>
  <c r="Q39" i="11"/>
  <c r="R39" i="11" s="1"/>
  <c r="Q122" i="11"/>
  <c r="R122" i="11" s="1"/>
  <c r="Q193" i="11"/>
  <c r="R193" i="11" s="1"/>
  <c r="Q204" i="11"/>
  <c r="R204" i="11" s="1"/>
  <c r="Q249" i="11"/>
  <c r="R249" i="11" s="1"/>
  <c r="Q126" i="11"/>
  <c r="R126" i="11" s="1"/>
  <c r="Q51" i="11"/>
  <c r="R51" i="11" s="1"/>
  <c r="Q237" i="11"/>
  <c r="R237" i="11" s="1"/>
  <c r="Q102" i="11"/>
  <c r="R102" i="11" s="1"/>
  <c r="Q70" i="11"/>
  <c r="R70" i="11" s="1"/>
  <c r="Q17" i="11"/>
  <c r="R17" i="11" s="1"/>
  <c r="Q65" i="11"/>
  <c r="R65" i="11" s="1"/>
  <c r="Q235" i="11"/>
  <c r="R235" i="11" s="1"/>
  <c r="Q177" i="11"/>
  <c r="R177" i="11" s="1"/>
  <c r="Q191" i="11"/>
  <c r="R191" i="11" s="1"/>
  <c r="Q307" i="11"/>
  <c r="R307" i="11" s="1"/>
  <c r="Q151" i="11"/>
  <c r="R151" i="11" s="1"/>
  <c r="Q28" i="11"/>
  <c r="R28" i="11" s="1"/>
  <c r="Q85" i="11"/>
  <c r="R85" i="11" s="1"/>
  <c r="Q294" i="11"/>
  <c r="R294" i="11" s="1"/>
  <c r="Q150" i="11"/>
  <c r="R150" i="11" s="1"/>
  <c r="Q256" i="11"/>
  <c r="R256" i="11" s="1"/>
  <c r="Q10" i="11"/>
  <c r="R10" i="11" s="1"/>
  <c r="Q33" i="11"/>
  <c r="R33" i="11" s="1"/>
  <c r="Q206" i="11"/>
  <c r="R206" i="11" s="1"/>
  <c r="Q88" i="11"/>
  <c r="R88" i="11" s="1"/>
  <c r="Q14" i="11"/>
  <c r="R14" i="11" s="1"/>
  <c r="Q134" i="11"/>
  <c r="R134" i="11" s="1"/>
  <c r="Q223" i="11"/>
  <c r="R223" i="11" s="1"/>
  <c r="Q101" i="11"/>
  <c r="R101" i="11" s="1"/>
  <c r="Q181" i="11"/>
  <c r="R181" i="11" s="1"/>
  <c r="Q100" i="11"/>
  <c r="R100" i="11" s="1"/>
  <c r="Q131" i="11"/>
  <c r="R131" i="11" s="1"/>
  <c r="Q233" i="11"/>
  <c r="R233" i="11" s="1"/>
  <c r="Q246" i="11"/>
  <c r="R246" i="11" s="1"/>
  <c r="Q179" i="11"/>
  <c r="R179" i="11" s="1"/>
  <c r="Q56" i="11"/>
  <c r="R56" i="11" s="1"/>
  <c r="Q231" i="11"/>
  <c r="R231" i="11" s="1"/>
  <c r="Q34" i="11"/>
  <c r="R34" i="11" s="1"/>
  <c r="Q292" i="11"/>
  <c r="R292" i="11" s="1"/>
  <c r="Q152" i="11"/>
  <c r="R152" i="11" s="1"/>
  <c r="Q139" i="11"/>
  <c r="R139" i="11" s="1"/>
  <c r="Q288" i="11"/>
  <c r="R288" i="11" s="1"/>
  <c r="Q45" i="11"/>
  <c r="R45" i="11" s="1"/>
  <c r="Q198" i="11"/>
  <c r="R198" i="11" s="1"/>
  <c r="Q244" i="11"/>
  <c r="R244" i="11" s="1"/>
  <c r="Q229" i="11"/>
  <c r="R229" i="11" s="1"/>
  <c r="Q239" i="11"/>
  <c r="R239" i="11" s="1"/>
  <c r="Q303" i="11"/>
  <c r="R303" i="11" s="1"/>
  <c r="Q159" i="11"/>
  <c r="R159" i="11" s="1"/>
  <c r="Q80" i="11"/>
  <c r="R80" i="11" s="1"/>
  <c r="Q153" i="11"/>
  <c r="R153" i="11" s="1"/>
  <c r="Q72" i="11"/>
  <c r="R72" i="11" s="1"/>
  <c r="Q96" i="11"/>
  <c r="R96" i="11" s="1"/>
  <c r="Q201" i="11"/>
  <c r="R201" i="11" s="1"/>
  <c r="Q297" i="11"/>
  <c r="R297" i="11" s="1"/>
  <c r="Q32" i="11"/>
  <c r="R32" i="11" s="1"/>
  <c r="Q64" i="11"/>
  <c r="R64" i="11" s="1"/>
  <c r="Q240" i="11"/>
  <c r="R240" i="11" s="1"/>
  <c r="Q209" i="11"/>
  <c r="R209" i="11" s="1"/>
  <c r="Q37" i="11"/>
  <c r="R37" i="11" s="1"/>
  <c r="Q269" i="11"/>
  <c r="R269" i="11" s="1"/>
  <c r="Q284" i="11"/>
  <c r="R284" i="11" s="1"/>
  <c r="Q9" i="11"/>
  <c r="R9" i="11" s="1"/>
  <c r="Q30" i="11"/>
  <c r="R30" i="11" s="1"/>
  <c r="Q184" i="11"/>
  <c r="R184" i="11" s="1"/>
  <c r="Q279" i="11"/>
  <c r="R279" i="11" s="1"/>
  <c r="Q57" i="11"/>
  <c r="R57" i="11" s="1"/>
  <c r="Q309" i="11"/>
  <c r="R309" i="11" s="1"/>
  <c r="Q119" i="11"/>
  <c r="R119" i="11" s="1"/>
  <c r="Q22" i="11"/>
  <c r="R22" i="11" s="1"/>
  <c r="Q68" i="11"/>
  <c r="R68" i="11" s="1"/>
  <c r="Q276" i="11"/>
  <c r="R276" i="11" s="1"/>
  <c r="Q160" i="11"/>
  <c r="R160" i="11" s="1"/>
  <c r="Q155" i="11"/>
  <c r="R155" i="11" s="1"/>
  <c r="Q21" i="11"/>
  <c r="R21" i="11" s="1"/>
  <c r="Q132" i="11"/>
  <c r="R132" i="11" s="1"/>
  <c r="Q222" i="11"/>
  <c r="R222" i="11" s="1"/>
  <c r="Q111" i="11"/>
  <c r="R111" i="11" s="1"/>
  <c r="Q135" i="11"/>
  <c r="R135" i="11" s="1"/>
  <c r="Q313" i="11"/>
  <c r="R313" i="11" s="1"/>
  <c r="Q200" i="11"/>
  <c r="R200" i="11" s="1"/>
  <c r="Q302" i="11"/>
  <c r="R302" i="11" s="1"/>
  <c r="Q277" i="11"/>
  <c r="R277" i="11" s="1"/>
  <c r="Q99" i="11"/>
  <c r="R99" i="11" s="1"/>
  <c r="Q121" i="11"/>
  <c r="R121" i="11" s="1"/>
  <c r="Q168" i="11"/>
  <c r="R168" i="11" s="1"/>
  <c r="Q202" i="11"/>
  <c r="R202" i="11" s="1"/>
  <c r="Q241" i="11"/>
  <c r="R241" i="11" s="1"/>
  <c r="Q275" i="11"/>
  <c r="R275" i="11" s="1"/>
  <c r="Q226" i="11"/>
  <c r="R226" i="11" s="1"/>
  <c r="Q250" i="11"/>
  <c r="R250" i="11" s="1"/>
  <c r="Q228" i="11"/>
  <c r="R228" i="11" s="1"/>
  <c r="Q183" i="11"/>
  <c r="R183" i="11" s="1"/>
  <c r="Q295" i="11"/>
  <c r="R295" i="11" s="1"/>
  <c r="Q12" i="11"/>
  <c r="R12" i="11" s="1"/>
  <c r="Q61" i="11"/>
  <c r="R61" i="11" s="1"/>
  <c r="Q89" i="11"/>
  <c r="R89" i="11" s="1"/>
  <c r="Q266" i="11"/>
  <c r="R266" i="11" s="1"/>
  <c r="Q90" i="11"/>
  <c r="R90" i="11" s="1"/>
  <c r="Q180" i="11"/>
  <c r="R180" i="11" s="1"/>
  <c r="Q274" i="11"/>
  <c r="R274" i="11" s="1"/>
  <c r="Q213" i="11"/>
  <c r="R213" i="11" s="1"/>
  <c r="Q24" i="11"/>
  <c r="R24" i="11" s="1"/>
  <c r="Q54" i="11"/>
  <c r="R54" i="11" s="1"/>
  <c r="Q95" i="11"/>
  <c r="R95" i="11" s="1"/>
  <c r="Q77" i="11"/>
  <c r="R77" i="11" s="1"/>
  <c r="Q112" i="11"/>
  <c r="R112" i="11" s="1"/>
  <c r="Q171" i="11"/>
  <c r="R171" i="11" s="1"/>
  <c r="Q113" i="11"/>
  <c r="R113" i="11" s="1"/>
  <c r="Q216" i="11"/>
  <c r="R216" i="11" s="1"/>
  <c r="Q227" i="11"/>
  <c r="R227" i="11" s="1"/>
  <c r="Q219" i="11"/>
  <c r="R219" i="11" s="1"/>
  <c r="Q31" i="11"/>
  <c r="R31" i="11" s="1"/>
  <c r="Q175" i="11"/>
  <c r="R175" i="11" s="1"/>
  <c r="Q128" i="11"/>
  <c r="R128" i="11" s="1"/>
  <c r="Q125" i="11"/>
  <c r="R125" i="11" s="1"/>
  <c r="Q23" i="11"/>
  <c r="R23" i="11" s="1"/>
  <c r="Q265" i="11"/>
  <c r="R265" i="11" s="1"/>
  <c r="Q203" i="11"/>
  <c r="R203" i="11" s="1"/>
  <c r="Q253" i="11"/>
  <c r="R253" i="11" s="1"/>
  <c r="Q137" i="11"/>
  <c r="R137" i="11" s="1"/>
  <c r="Q53" i="11"/>
  <c r="R53" i="11" s="1"/>
  <c r="Q182" i="11"/>
  <c r="R182" i="11" s="1"/>
  <c r="Q148" i="11"/>
  <c r="R148" i="11" s="1"/>
  <c r="Q278" i="11"/>
  <c r="R278" i="11" s="1"/>
  <c r="Q267" i="11"/>
  <c r="R267" i="11" s="1"/>
  <c r="Q93" i="11"/>
  <c r="R93" i="11" s="1"/>
  <c r="Q92" i="11"/>
  <c r="R92" i="11" s="1"/>
  <c r="Q117" i="11"/>
  <c r="R117" i="11" s="1"/>
  <c r="Q140" i="11"/>
  <c r="R140" i="11" s="1"/>
  <c r="Q289" i="11"/>
  <c r="R289" i="11" s="1"/>
  <c r="Q186" i="11"/>
  <c r="R186" i="11" s="1"/>
  <c r="Q164" i="11"/>
  <c r="R164" i="11" s="1"/>
  <c r="Q243" i="11"/>
  <c r="R243" i="11" s="1"/>
  <c r="Q287" i="11"/>
  <c r="R287" i="11" s="1"/>
  <c r="Q257" i="11"/>
  <c r="R257" i="11" s="1"/>
  <c r="Q60" i="11"/>
  <c r="R60" i="11" s="1"/>
  <c r="Q170" i="11"/>
  <c r="R170" i="11" s="1"/>
  <c r="Q210" i="11"/>
  <c r="R210" i="11" s="1"/>
  <c r="Q158" i="11"/>
  <c r="R158" i="11" s="1"/>
  <c r="Q251" i="11"/>
  <c r="R251" i="11" s="1"/>
  <c r="Q194" i="11"/>
  <c r="R194" i="11" s="1"/>
  <c r="Q114" i="11"/>
  <c r="R114" i="11" s="1"/>
  <c r="Q63" i="11"/>
  <c r="R63" i="11" s="1"/>
  <c r="Q43" i="11"/>
  <c r="R43" i="11" s="1"/>
  <c r="Q82" i="11"/>
  <c r="R82" i="11" s="1"/>
  <c r="Q86" i="11"/>
  <c r="R86" i="11" s="1"/>
  <c r="Q11" i="11"/>
  <c r="R11" i="11" s="1"/>
  <c r="Q74" i="11"/>
  <c r="R74" i="11" s="1"/>
  <c r="Q166" i="11"/>
  <c r="R166" i="11" s="1"/>
  <c r="Q178" i="11"/>
  <c r="R178" i="11" s="1"/>
  <c r="Q146" i="11"/>
  <c r="R146" i="11" s="1"/>
  <c r="Q106" i="11"/>
  <c r="R106" i="11" s="1"/>
  <c r="Q67" i="11"/>
  <c r="R67" i="11" s="1"/>
  <c r="Q190" i="11"/>
  <c r="R190" i="11" s="1"/>
  <c r="Q75" i="11"/>
  <c r="R75" i="11" s="1"/>
  <c r="Q130" i="11"/>
  <c r="R130" i="11" s="1"/>
  <c r="Q66" i="11"/>
  <c r="R66" i="11" s="1"/>
  <c r="Q27" i="11"/>
  <c r="R27" i="11" s="1"/>
  <c r="Q98" i="11"/>
  <c r="R98" i="11" s="1"/>
  <c r="Q242" i="11"/>
  <c r="R242" i="11" s="1"/>
  <c r="Q247" i="11"/>
  <c r="R247" i="11" s="1"/>
  <c r="Q162" i="11"/>
  <c r="R162" i="11" s="1"/>
  <c r="Q255" i="11"/>
  <c r="R255" i="11" s="1"/>
  <c r="Q234" i="11"/>
  <c r="R234" i="11" s="1"/>
  <c r="L243" i="49"/>
  <c r="E243" i="25"/>
  <c r="E169" i="25"/>
  <c r="L169" i="49"/>
  <c r="M8" i="42"/>
  <c r="T8" i="42" s="1"/>
  <c r="M9" i="42"/>
  <c r="T9" i="42" s="1"/>
  <c r="M10" i="42"/>
  <c r="T10" i="42" s="1"/>
  <c r="M11" i="42"/>
  <c r="T11" i="42" s="1"/>
  <c r="M12" i="42"/>
  <c r="T12" i="42" s="1"/>
  <c r="M13" i="42"/>
  <c r="T13" i="42" s="1"/>
  <c r="M14" i="42"/>
  <c r="T14" i="42" s="1"/>
  <c r="M15" i="42"/>
  <c r="T15" i="42" s="1"/>
  <c r="M16" i="42"/>
  <c r="T16" i="42" s="1"/>
  <c r="M17" i="42"/>
  <c r="T17" i="42" s="1"/>
  <c r="M18" i="42"/>
  <c r="T18" i="42" s="1"/>
  <c r="M19" i="42"/>
  <c r="T19" i="42" s="1"/>
  <c r="M20" i="42"/>
  <c r="T20" i="42" s="1"/>
  <c r="M21" i="42"/>
  <c r="T21" i="42" s="1"/>
  <c r="M22" i="42"/>
  <c r="T22" i="42" s="1"/>
  <c r="M23" i="42"/>
  <c r="T23" i="42" s="1"/>
  <c r="M24" i="42"/>
  <c r="T24" i="42" s="1"/>
  <c r="M25" i="42"/>
  <c r="T25" i="42" s="1"/>
  <c r="M26" i="42"/>
  <c r="T26" i="42" s="1"/>
  <c r="M27" i="42"/>
  <c r="T27" i="42" s="1"/>
  <c r="M28" i="42"/>
  <c r="T28" i="42" s="1"/>
  <c r="M29" i="42"/>
  <c r="T29" i="42" s="1"/>
  <c r="M30" i="42"/>
  <c r="T30" i="42" s="1"/>
  <c r="M31" i="42"/>
  <c r="T31" i="42" s="1"/>
  <c r="M32" i="42"/>
  <c r="T32" i="42" s="1"/>
  <c r="M33" i="42"/>
  <c r="T33" i="42" s="1"/>
  <c r="M34" i="42"/>
  <c r="T34" i="42" s="1"/>
  <c r="M35" i="42"/>
  <c r="T35" i="42" s="1"/>
  <c r="M36" i="42"/>
  <c r="T36" i="42" s="1"/>
  <c r="M37" i="42"/>
  <c r="T37" i="42" s="1"/>
  <c r="M38" i="42"/>
  <c r="T38" i="42" s="1"/>
  <c r="M39" i="42"/>
  <c r="T39" i="42" s="1"/>
  <c r="M40" i="42"/>
  <c r="T40" i="42" s="1"/>
  <c r="M41" i="42"/>
  <c r="T41" i="42" s="1"/>
  <c r="M42" i="42"/>
  <c r="T42" i="42" s="1"/>
  <c r="M43" i="42"/>
  <c r="T43" i="42" s="1"/>
  <c r="M44" i="42"/>
  <c r="T44" i="42" s="1"/>
  <c r="M45" i="42"/>
  <c r="T45" i="42" s="1"/>
  <c r="M46" i="42"/>
  <c r="T46" i="42" s="1"/>
  <c r="M47" i="42"/>
  <c r="T47" i="42" s="1"/>
  <c r="M48" i="42"/>
  <c r="T48" i="42" s="1"/>
  <c r="M49" i="42"/>
  <c r="T49" i="42" s="1"/>
  <c r="M50" i="42"/>
  <c r="T50" i="42" s="1"/>
  <c r="M51" i="42"/>
  <c r="T51" i="42" s="1"/>
  <c r="M52" i="42"/>
  <c r="T52" i="42" s="1"/>
  <c r="M53" i="42"/>
  <c r="T53" i="42" s="1"/>
  <c r="M54" i="42"/>
  <c r="T54" i="42" s="1"/>
  <c r="M55" i="42"/>
  <c r="T55" i="42" s="1"/>
  <c r="M56" i="42"/>
  <c r="T56" i="42" s="1"/>
  <c r="M57" i="42"/>
  <c r="T57" i="42" s="1"/>
  <c r="M58" i="42"/>
  <c r="T58" i="42" s="1"/>
  <c r="M59" i="42"/>
  <c r="T59" i="42" s="1"/>
  <c r="M60" i="42"/>
  <c r="T60" i="42" s="1"/>
  <c r="M61" i="42"/>
  <c r="T61" i="42" s="1"/>
  <c r="M62" i="42"/>
  <c r="T62" i="42" s="1"/>
  <c r="M63" i="42"/>
  <c r="T63" i="42" s="1"/>
  <c r="M64" i="42"/>
  <c r="T64" i="42" s="1"/>
  <c r="M65" i="42"/>
  <c r="T65" i="42" s="1"/>
  <c r="M66" i="42"/>
  <c r="T66" i="42" s="1"/>
  <c r="M68" i="42"/>
  <c r="T68" i="42" s="1"/>
  <c r="M69" i="42"/>
  <c r="T69" i="42" s="1"/>
  <c r="M70" i="42"/>
  <c r="T70" i="42" s="1"/>
  <c r="M71" i="42"/>
  <c r="T71" i="42" s="1"/>
  <c r="M72" i="42"/>
  <c r="T72" i="42" s="1"/>
  <c r="M73" i="42"/>
  <c r="T73" i="42" s="1"/>
  <c r="M74" i="42"/>
  <c r="T74" i="42" s="1"/>
  <c r="M75" i="42"/>
  <c r="T75" i="42" s="1"/>
  <c r="M76" i="42"/>
  <c r="T76" i="42" s="1"/>
  <c r="M77" i="42"/>
  <c r="T77" i="42" s="1"/>
  <c r="M78" i="42"/>
  <c r="T78" i="42" s="1"/>
  <c r="M79" i="42"/>
  <c r="T79" i="42" s="1"/>
  <c r="M80" i="42"/>
  <c r="T80" i="42" s="1"/>
  <c r="M81" i="42"/>
  <c r="T81" i="42" s="1"/>
  <c r="M82" i="42"/>
  <c r="T82" i="42" s="1"/>
  <c r="M83" i="42"/>
  <c r="T83" i="42" s="1"/>
  <c r="M84" i="42"/>
  <c r="T84" i="42" s="1"/>
  <c r="M85" i="42"/>
  <c r="T85" i="42" s="1"/>
  <c r="M86" i="42"/>
  <c r="T86" i="42" s="1"/>
  <c r="M87" i="42"/>
  <c r="T87" i="42" s="1"/>
  <c r="M88" i="42"/>
  <c r="T88" i="42" s="1"/>
  <c r="M89" i="42"/>
  <c r="T89" i="42" s="1"/>
  <c r="M90" i="42"/>
  <c r="T90" i="42" s="1"/>
  <c r="M91" i="42"/>
  <c r="T91" i="42" s="1"/>
  <c r="M92" i="42"/>
  <c r="T92" i="42" s="1"/>
  <c r="M93" i="42"/>
  <c r="T93" i="42" s="1"/>
  <c r="M94" i="42"/>
  <c r="T94" i="42" s="1"/>
  <c r="M95" i="42"/>
  <c r="T95" i="42" s="1"/>
  <c r="M96" i="42"/>
  <c r="T96" i="42" s="1"/>
  <c r="M97" i="42"/>
  <c r="T97" i="42" s="1"/>
  <c r="M98" i="42"/>
  <c r="T98" i="42" s="1"/>
  <c r="M99" i="42"/>
  <c r="T99" i="42" s="1"/>
  <c r="M100" i="42"/>
  <c r="T100" i="42" s="1"/>
  <c r="M101" i="42"/>
  <c r="T101" i="42" s="1"/>
  <c r="M102" i="42"/>
  <c r="T102" i="42" s="1"/>
  <c r="M103" i="42"/>
  <c r="T103" i="42" s="1"/>
  <c r="M104" i="42"/>
  <c r="T104" i="42" s="1"/>
  <c r="M105" i="42"/>
  <c r="T105" i="42" s="1"/>
  <c r="M106" i="42"/>
  <c r="T106" i="42" s="1"/>
  <c r="M107" i="42"/>
  <c r="T107" i="42" s="1"/>
  <c r="M108" i="42"/>
  <c r="T108" i="42" s="1"/>
  <c r="M109" i="42"/>
  <c r="T109" i="42" s="1"/>
  <c r="M110" i="42"/>
  <c r="T110" i="42" s="1"/>
  <c r="M111" i="42"/>
  <c r="T111" i="42" s="1"/>
  <c r="M112" i="42"/>
  <c r="T112" i="42" s="1"/>
  <c r="M113" i="42"/>
  <c r="T113" i="42" s="1"/>
  <c r="M114" i="42"/>
  <c r="T114" i="42" s="1"/>
  <c r="M115" i="42"/>
  <c r="T115" i="42" s="1"/>
  <c r="M116" i="42"/>
  <c r="T116" i="42" s="1"/>
  <c r="M117" i="42"/>
  <c r="T117" i="42" s="1"/>
  <c r="M118" i="42"/>
  <c r="T118" i="42" s="1"/>
  <c r="M119" i="42"/>
  <c r="T119" i="42" s="1"/>
  <c r="M120" i="42"/>
  <c r="T120" i="42" s="1"/>
  <c r="M121" i="42"/>
  <c r="T121" i="42" s="1"/>
  <c r="M122" i="42"/>
  <c r="T122" i="42" s="1"/>
  <c r="M123" i="42"/>
  <c r="T123" i="42" s="1"/>
  <c r="M124" i="42"/>
  <c r="T124" i="42" s="1"/>
  <c r="M125" i="42"/>
  <c r="T125" i="42" s="1"/>
  <c r="M126" i="42"/>
  <c r="T126" i="42" s="1"/>
  <c r="M127" i="42"/>
  <c r="T127" i="42" s="1"/>
  <c r="M128" i="42"/>
  <c r="T128" i="42" s="1"/>
  <c r="M129" i="42"/>
  <c r="T129" i="42" s="1"/>
  <c r="M130" i="42"/>
  <c r="T130" i="42" s="1"/>
  <c r="M131" i="42"/>
  <c r="T131" i="42" s="1"/>
  <c r="M132" i="42"/>
  <c r="T132" i="42" s="1"/>
  <c r="M133" i="42"/>
  <c r="T133" i="42" s="1"/>
  <c r="M134" i="42"/>
  <c r="T134" i="42" s="1"/>
  <c r="M136" i="42"/>
  <c r="T136" i="42" s="1"/>
  <c r="M137" i="42"/>
  <c r="T137" i="42" s="1"/>
  <c r="M138" i="42"/>
  <c r="T138" i="42" s="1"/>
  <c r="M139" i="42"/>
  <c r="T139" i="42" s="1"/>
  <c r="M140" i="42"/>
  <c r="T140" i="42" s="1"/>
  <c r="M141" i="42"/>
  <c r="T141" i="42" s="1"/>
  <c r="M142" i="42"/>
  <c r="T142" i="42" s="1"/>
  <c r="M143" i="42"/>
  <c r="T143" i="42" s="1"/>
  <c r="M144" i="42"/>
  <c r="T144" i="42" s="1"/>
  <c r="M145" i="42"/>
  <c r="T145" i="42" s="1"/>
  <c r="M146" i="42"/>
  <c r="T146" i="42" s="1"/>
  <c r="M147" i="42"/>
  <c r="T147" i="42" s="1"/>
  <c r="M148" i="42"/>
  <c r="T148" i="42" s="1"/>
  <c r="M149" i="42"/>
  <c r="T149" i="42" s="1"/>
  <c r="M150" i="42"/>
  <c r="T150" i="42" s="1"/>
  <c r="M151" i="42"/>
  <c r="T151" i="42" s="1"/>
  <c r="M152" i="42"/>
  <c r="T152" i="42" s="1"/>
  <c r="M153" i="42"/>
  <c r="T153" i="42" s="1"/>
  <c r="M154" i="42"/>
  <c r="T154" i="42" s="1"/>
  <c r="M155" i="42"/>
  <c r="T155" i="42" s="1"/>
  <c r="M156" i="42"/>
  <c r="T156" i="42" s="1"/>
  <c r="M157" i="42"/>
  <c r="T157" i="42" s="1"/>
  <c r="M158" i="42"/>
  <c r="T158" i="42" s="1"/>
  <c r="M159" i="42"/>
  <c r="T159" i="42" s="1"/>
  <c r="M160" i="42"/>
  <c r="T160" i="42" s="1"/>
  <c r="M161" i="42"/>
  <c r="T161" i="42" s="1"/>
  <c r="M162" i="42"/>
  <c r="T162" i="42" s="1"/>
  <c r="M163" i="42"/>
  <c r="T163" i="42" s="1"/>
  <c r="M164" i="42"/>
  <c r="T164" i="42" s="1"/>
  <c r="M165" i="42"/>
  <c r="T165" i="42" s="1"/>
  <c r="M166" i="42"/>
  <c r="T166" i="42" s="1"/>
  <c r="M167" i="42"/>
  <c r="T167" i="42" s="1"/>
  <c r="M168" i="42"/>
  <c r="T168" i="42" s="1"/>
  <c r="M171" i="42"/>
  <c r="T171" i="42" s="1"/>
  <c r="M172" i="42"/>
  <c r="T172" i="42" s="1"/>
  <c r="M173" i="42"/>
  <c r="T173" i="42" s="1"/>
  <c r="M174" i="42"/>
  <c r="T174" i="42" s="1"/>
  <c r="M175" i="42"/>
  <c r="T175" i="42" s="1"/>
  <c r="M176" i="42"/>
  <c r="T176" i="42" s="1"/>
  <c r="M177" i="42"/>
  <c r="T177" i="42" s="1"/>
  <c r="M178" i="42"/>
  <c r="T178" i="42" s="1"/>
  <c r="M179" i="42"/>
  <c r="T179" i="42" s="1"/>
  <c r="M180" i="42"/>
  <c r="T180" i="42" s="1"/>
  <c r="M181" i="42"/>
  <c r="T181" i="42" s="1"/>
  <c r="M182" i="42"/>
  <c r="T182" i="42" s="1"/>
  <c r="M183" i="42"/>
  <c r="T183" i="42" s="1"/>
  <c r="M184" i="42"/>
  <c r="T184" i="42" s="1"/>
  <c r="M185" i="42"/>
  <c r="T185" i="42" s="1"/>
  <c r="M186" i="42"/>
  <c r="T186" i="42" s="1"/>
  <c r="M187" i="42"/>
  <c r="T187" i="42" s="1"/>
  <c r="M188" i="42"/>
  <c r="T188" i="42" s="1"/>
  <c r="M189" i="42"/>
  <c r="T189" i="42" s="1"/>
  <c r="M190" i="42"/>
  <c r="T190" i="42" s="1"/>
  <c r="M191" i="42"/>
  <c r="T191" i="42" s="1"/>
  <c r="M192" i="42"/>
  <c r="T192" i="42" s="1"/>
  <c r="M193" i="42"/>
  <c r="T193" i="42" s="1"/>
  <c r="M194" i="42"/>
  <c r="T194" i="42" s="1"/>
  <c r="M195" i="42"/>
  <c r="T195" i="42" s="1"/>
  <c r="M196" i="42"/>
  <c r="T196" i="42" s="1"/>
  <c r="M197" i="42"/>
  <c r="T197" i="42" s="1"/>
  <c r="M198" i="42"/>
  <c r="T198" i="42" s="1"/>
  <c r="M199" i="42"/>
  <c r="T199" i="42" s="1"/>
  <c r="M200" i="42"/>
  <c r="T200" i="42" s="1"/>
  <c r="M201" i="42"/>
  <c r="T201" i="42" s="1"/>
  <c r="M202" i="42"/>
  <c r="T202" i="42" s="1"/>
  <c r="M203" i="42"/>
  <c r="T203" i="42" s="1"/>
  <c r="M204" i="42"/>
  <c r="T204" i="42" s="1"/>
  <c r="M205" i="42"/>
  <c r="T205" i="42" s="1"/>
  <c r="M206" i="42"/>
  <c r="T206" i="42" s="1"/>
  <c r="M207" i="42"/>
  <c r="T207" i="42" s="1"/>
  <c r="M208" i="42"/>
  <c r="T208" i="42" s="1"/>
  <c r="M209" i="42"/>
  <c r="T209" i="42" s="1"/>
  <c r="M210" i="42"/>
  <c r="T210" i="42" s="1"/>
  <c r="M211" i="42"/>
  <c r="T211" i="42" s="1"/>
  <c r="M212" i="42"/>
  <c r="T212" i="42" s="1"/>
  <c r="M213" i="42"/>
  <c r="T213" i="42" s="1"/>
  <c r="M214" i="42"/>
  <c r="T214" i="42" s="1"/>
  <c r="M215" i="42"/>
  <c r="T215" i="42" s="1"/>
  <c r="M216" i="42"/>
  <c r="T216" i="42" s="1"/>
  <c r="M217" i="42"/>
  <c r="T217" i="42" s="1"/>
  <c r="M218" i="42"/>
  <c r="T218" i="42" s="1"/>
  <c r="M220" i="42"/>
  <c r="T220" i="42" s="1"/>
  <c r="M221" i="42"/>
  <c r="T221" i="42" s="1"/>
  <c r="M222" i="42"/>
  <c r="T222" i="42" s="1"/>
  <c r="M223" i="42"/>
  <c r="T223" i="42" s="1"/>
  <c r="M224" i="42"/>
  <c r="T224" i="42" s="1"/>
  <c r="M225" i="42"/>
  <c r="T225" i="42" s="1"/>
  <c r="M226" i="42"/>
  <c r="T226" i="42" s="1"/>
  <c r="M227" i="42"/>
  <c r="T227" i="42" s="1"/>
  <c r="M228" i="42"/>
  <c r="T228" i="42" s="1"/>
  <c r="M229" i="42"/>
  <c r="T229" i="42" s="1"/>
  <c r="M230" i="42"/>
  <c r="T230" i="42" s="1"/>
  <c r="M231" i="42"/>
  <c r="T231" i="42" s="1"/>
  <c r="M232" i="42"/>
  <c r="T232" i="42" s="1"/>
  <c r="M233" i="42"/>
  <c r="T233" i="42" s="1"/>
  <c r="M234" i="42"/>
  <c r="T234" i="42" s="1"/>
  <c r="M235" i="42"/>
  <c r="T235" i="42" s="1"/>
  <c r="M236" i="42"/>
  <c r="T236" i="42" s="1"/>
  <c r="M237" i="42"/>
  <c r="T237" i="42" s="1"/>
  <c r="M239" i="42"/>
  <c r="T239" i="42" s="1"/>
  <c r="M240" i="42"/>
  <c r="T240" i="42" s="1"/>
  <c r="M241" i="42"/>
  <c r="T241" i="42" s="1"/>
  <c r="M242" i="42"/>
  <c r="T242" i="42" s="1"/>
  <c r="M243" i="42"/>
  <c r="T243" i="42" s="1"/>
  <c r="M246" i="42"/>
  <c r="T246" i="42" s="1"/>
  <c r="M247" i="42"/>
  <c r="T247" i="42" s="1"/>
  <c r="M248" i="42"/>
  <c r="T248" i="42" s="1"/>
  <c r="M249" i="42"/>
  <c r="T249" i="42" s="1"/>
  <c r="M250" i="42"/>
  <c r="T250" i="42" s="1"/>
  <c r="M251" i="42"/>
  <c r="T251" i="42" s="1"/>
  <c r="M252" i="42"/>
  <c r="T252" i="42" s="1"/>
  <c r="M253" i="42"/>
  <c r="T253" i="42" s="1"/>
  <c r="M254" i="42"/>
  <c r="T254" i="42" s="1"/>
  <c r="M255" i="42"/>
  <c r="T255" i="42" s="1"/>
  <c r="M256" i="42"/>
  <c r="T256" i="42" s="1"/>
  <c r="M257" i="42"/>
  <c r="T257" i="42" s="1"/>
  <c r="M258" i="42"/>
  <c r="T258" i="42" s="1"/>
  <c r="M259" i="42"/>
  <c r="T259" i="42" s="1"/>
  <c r="M260" i="42"/>
  <c r="T260" i="42" s="1"/>
  <c r="M262" i="42"/>
  <c r="T262" i="42" s="1"/>
  <c r="M263" i="42"/>
  <c r="T263" i="42" s="1"/>
  <c r="M264" i="42"/>
  <c r="T264" i="42" s="1"/>
  <c r="M265" i="42"/>
  <c r="T265" i="42" s="1"/>
  <c r="M266" i="42"/>
  <c r="T266" i="42" s="1"/>
  <c r="M267" i="42"/>
  <c r="T267" i="42" s="1"/>
  <c r="M268" i="42"/>
  <c r="T268" i="42" s="1"/>
  <c r="M269" i="42"/>
  <c r="T269" i="42" s="1"/>
  <c r="M270" i="42"/>
  <c r="T270" i="42" s="1"/>
  <c r="M271" i="42"/>
  <c r="T271" i="42" s="1"/>
  <c r="M272" i="42"/>
  <c r="T272" i="42" s="1"/>
  <c r="M274" i="42"/>
  <c r="T274" i="42" s="1"/>
  <c r="M275" i="42"/>
  <c r="T275" i="42" s="1"/>
  <c r="M276" i="42"/>
  <c r="T276" i="42" s="1"/>
  <c r="M277" i="42"/>
  <c r="T277" i="42" s="1"/>
  <c r="M278" i="42"/>
  <c r="T278" i="42" s="1"/>
  <c r="M279" i="42"/>
  <c r="T279" i="42" s="1"/>
  <c r="M280" i="42"/>
  <c r="T280" i="42" s="1"/>
  <c r="M281" i="42"/>
  <c r="T281" i="42" s="1"/>
  <c r="M282" i="42"/>
  <c r="T282" i="42" s="1"/>
  <c r="M283" i="42"/>
  <c r="T283" i="42" s="1"/>
  <c r="M284" i="42"/>
  <c r="T284" i="42" s="1"/>
  <c r="M285" i="42"/>
  <c r="T285" i="42" s="1"/>
  <c r="M286" i="42"/>
  <c r="T286" i="42" s="1"/>
  <c r="M287" i="42"/>
  <c r="T287" i="42" s="1"/>
  <c r="M288" i="42"/>
  <c r="T288" i="42" s="1"/>
  <c r="M289" i="42"/>
  <c r="T289" i="42" s="1"/>
  <c r="M290" i="42"/>
  <c r="T290" i="42" s="1"/>
  <c r="M291" i="42"/>
  <c r="T291" i="42" s="1"/>
  <c r="M292" i="42"/>
  <c r="T292" i="42" s="1"/>
  <c r="M293" i="42"/>
  <c r="T293" i="42" s="1"/>
  <c r="M294" i="42"/>
  <c r="T294" i="42" s="1"/>
  <c r="M295" i="42"/>
  <c r="T295" i="42" s="1"/>
  <c r="M296" i="42"/>
  <c r="T296" i="42" s="1"/>
  <c r="M297" i="42"/>
  <c r="T297" i="42" s="1"/>
  <c r="M298" i="42"/>
  <c r="T298" i="42" s="1"/>
  <c r="M299" i="42"/>
  <c r="T299" i="42" s="1"/>
  <c r="M300" i="42"/>
  <c r="T300" i="42" s="1"/>
  <c r="M301" i="42"/>
  <c r="T301" i="42" s="1"/>
  <c r="M302" i="42"/>
  <c r="T302" i="42" s="1"/>
  <c r="M303" i="42"/>
  <c r="T303" i="42" s="1"/>
  <c r="M304" i="42"/>
  <c r="T304" i="42" s="1"/>
  <c r="M305" i="42"/>
  <c r="T305" i="42" s="1"/>
  <c r="M306" i="42"/>
  <c r="T306" i="42" s="1"/>
  <c r="M307" i="42"/>
  <c r="T307" i="42" s="1"/>
  <c r="M308" i="42"/>
  <c r="T308" i="42" s="1"/>
  <c r="M309" i="42"/>
  <c r="T309" i="42" s="1"/>
  <c r="M310" i="42"/>
  <c r="T310" i="42" s="1"/>
  <c r="M311" i="42"/>
  <c r="T311" i="42" s="1"/>
  <c r="M312" i="42"/>
  <c r="T312" i="42" s="1"/>
  <c r="M313" i="42"/>
  <c r="T313" i="42" s="1"/>
  <c r="M314" i="42"/>
  <c r="T314" i="42" s="1"/>
  <c r="M135" i="42" l="1"/>
  <c r="T135" i="42" l="1"/>
  <c r="D20" i="55"/>
  <c r="B6" i="48"/>
  <c r="D29" i="55" l="1"/>
  <c r="D61" i="40"/>
  <c r="D62" i="40" s="1"/>
  <c r="F60" i="40" s="1"/>
  <c r="F61" i="40" s="1"/>
  <c r="F62" i="40" s="1"/>
  <c r="H60" i="40" s="1"/>
  <c r="H61" i="40" s="1"/>
  <c r="H62" i="40" s="1"/>
  <c r="B61" i="40" s="1"/>
  <c r="B25" i="40" l="1"/>
  <c r="M7" i="42" l="1"/>
  <c r="T7" i="42" s="1"/>
  <c r="M261" i="42" l="1"/>
  <c r="T261" i="42" s="1"/>
  <c r="M67" i="42" l="1"/>
  <c r="T67" i="42" s="1"/>
  <c r="I6" i="13" l="1"/>
  <c r="Q7" i="19" l="1"/>
  <c r="AA6" i="19"/>
  <c r="S6" i="19"/>
  <c r="B55" i="40" l="1"/>
  <c r="K14" i="49" l="1"/>
  <c r="K111" i="49"/>
  <c r="K113" i="49"/>
  <c r="K116" i="49"/>
  <c r="K118" i="49"/>
  <c r="K119" i="49"/>
  <c r="K120" i="49"/>
  <c r="K121" i="49"/>
  <c r="K123" i="49"/>
  <c r="K125" i="49"/>
  <c r="K126" i="49"/>
  <c r="K127" i="49"/>
  <c r="K128" i="49"/>
  <c r="K129" i="49"/>
  <c r="K130" i="49"/>
  <c r="K133" i="49"/>
  <c r="K134" i="49"/>
  <c r="K136" i="49"/>
  <c r="K143" i="49"/>
  <c r="K148" i="49"/>
  <c r="K149" i="49"/>
  <c r="K150" i="49"/>
  <c r="K153" i="49"/>
  <c r="K154" i="49"/>
  <c r="K155" i="49"/>
  <c r="K157" i="49"/>
  <c r="K190" i="49"/>
  <c r="K201" i="49"/>
  <c r="K202" i="49"/>
  <c r="K223" i="49"/>
  <c r="K274" i="49"/>
  <c r="K275" i="49"/>
  <c r="K276" i="49"/>
  <c r="K277" i="49"/>
  <c r="K278" i="49"/>
  <c r="K279" i="49"/>
  <c r="K280" i="49"/>
  <c r="K281" i="49"/>
  <c r="K282" i="49"/>
  <c r="K283" i="49"/>
  <c r="K295" i="49"/>
  <c r="K304" i="49"/>
  <c r="K312" i="49"/>
  <c r="K7" i="49"/>
  <c r="K6" i="49"/>
  <c r="I5" i="49"/>
  <c r="A2" i="49"/>
  <c r="C314" i="49"/>
  <c r="A7" i="49"/>
  <c r="B7" i="49"/>
  <c r="A8" i="49"/>
  <c r="B8" i="49"/>
  <c r="A9" i="49"/>
  <c r="B9" i="49"/>
  <c r="A10" i="49"/>
  <c r="B10" i="49"/>
  <c r="A11" i="49"/>
  <c r="B11" i="49"/>
  <c r="A12" i="49"/>
  <c r="B12" i="49"/>
  <c r="A13" i="49"/>
  <c r="B13" i="49"/>
  <c r="A14" i="49"/>
  <c r="B14" i="49"/>
  <c r="A15" i="49"/>
  <c r="B15" i="49"/>
  <c r="A16" i="49"/>
  <c r="B16" i="49"/>
  <c r="A17" i="49"/>
  <c r="B17" i="49"/>
  <c r="A18" i="49"/>
  <c r="B18" i="49"/>
  <c r="A19" i="49"/>
  <c r="B19" i="49"/>
  <c r="A20" i="49"/>
  <c r="B20" i="49"/>
  <c r="A21" i="49"/>
  <c r="B21" i="49"/>
  <c r="A22" i="49"/>
  <c r="B22" i="49"/>
  <c r="A23" i="49"/>
  <c r="B23" i="49"/>
  <c r="A24" i="49"/>
  <c r="B24" i="49"/>
  <c r="A25" i="49"/>
  <c r="B25" i="49"/>
  <c r="A26" i="49"/>
  <c r="B26" i="49"/>
  <c r="A27" i="49"/>
  <c r="B27" i="49"/>
  <c r="A28" i="49"/>
  <c r="B28" i="49"/>
  <c r="A29" i="49"/>
  <c r="B29" i="49"/>
  <c r="A30" i="49"/>
  <c r="B30" i="49"/>
  <c r="A31" i="49"/>
  <c r="B31" i="49"/>
  <c r="A32" i="49"/>
  <c r="B32" i="49"/>
  <c r="A33" i="49"/>
  <c r="B33" i="49"/>
  <c r="A34" i="49"/>
  <c r="B34" i="49"/>
  <c r="A35" i="49"/>
  <c r="B35" i="49"/>
  <c r="A36" i="49"/>
  <c r="B36" i="49"/>
  <c r="A37" i="49"/>
  <c r="B37" i="49"/>
  <c r="A38" i="49"/>
  <c r="B38" i="49"/>
  <c r="A39" i="49"/>
  <c r="B39" i="49"/>
  <c r="A40" i="49"/>
  <c r="B40" i="49"/>
  <c r="A41" i="49"/>
  <c r="B41" i="49"/>
  <c r="A42" i="49"/>
  <c r="B42" i="49"/>
  <c r="A43" i="49"/>
  <c r="B43" i="49"/>
  <c r="A44" i="49"/>
  <c r="B44" i="49"/>
  <c r="A45" i="49"/>
  <c r="B45" i="49"/>
  <c r="A46" i="49"/>
  <c r="B46" i="49"/>
  <c r="A47" i="49"/>
  <c r="B47" i="49"/>
  <c r="A48" i="49"/>
  <c r="B48" i="49"/>
  <c r="A49" i="49"/>
  <c r="B49" i="49"/>
  <c r="A50" i="49"/>
  <c r="B50" i="49"/>
  <c r="A51" i="49"/>
  <c r="B51" i="49"/>
  <c r="A52" i="49"/>
  <c r="B52" i="49"/>
  <c r="A53" i="49"/>
  <c r="B53" i="49"/>
  <c r="A54" i="49"/>
  <c r="B54" i="49"/>
  <c r="A55" i="49"/>
  <c r="B55" i="49"/>
  <c r="A56" i="49"/>
  <c r="B56" i="49"/>
  <c r="A57" i="49"/>
  <c r="B57" i="49"/>
  <c r="A58" i="49"/>
  <c r="B58" i="49"/>
  <c r="A59" i="49"/>
  <c r="B59" i="49"/>
  <c r="A60" i="49"/>
  <c r="B60" i="49"/>
  <c r="A61" i="49"/>
  <c r="B61" i="49"/>
  <c r="A62" i="49"/>
  <c r="B62" i="49"/>
  <c r="A63" i="49"/>
  <c r="B63" i="49"/>
  <c r="A64" i="49"/>
  <c r="B64" i="49"/>
  <c r="A65" i="49"/>
  <c r="B65" i="49"/>
  <c r="A66" i="49"/>
  <c r="B66" i="49"/>
  <c r="A67" i="49"/>
  <c r="B67" i="49"/>
  <c r="A68" i="49"/>
  <c r="B68" i="49"/>
  <c r="A69" i="49"/>
  <c r="B69" i="49"/>
  <c r="A70" i="49"/>
  <c r="B70" i="49"/>
  <c r="A71" i="49"/>
  <c r="B71" i="49"/>
  <c r="A72" i="49"/>
  <c r="B72" i="49"/>
  <c r="A73" i="49"/>
  <c r="B73" i="49"/>
  <c r="A74" i="49"/>
  <c r="B74" i="49"/>
  <c r="A75" i="49"/>
  <c r="B75" i="49"/>
  <c r="A76" i="49"/>
  <c r="B76" i="49"/>
  <c r="A77" i="49"/>
  <c r="B77" i="49"/>
  <c r="A78" i="49"/>
  <c r="B78" i="49"/>
  <c r="A79" i="49"/>
  <c r="B79" i="49"/>
  <c r="A80" i="49"/>
  <c r="B80" i="49"/>
  <c r="A81" i="49"/>
  <c r="B81" i="49"/>
  <c r="A82" i="49"/>
  <c r="B82" i="49"/>
  <c r="A83" i="49"/>
  <c r="B83" i="49"/>
  <c r="A84" i="49"/>
  <c r="B84" i="49"/>
  <c r="A85" i="49"/>
  <c r="B85" i="49"/>
  <c r="A86" i="49"/>
  <c r="B86" i="49"/>
  <c r="A87" i="49"/>
  <c r="B87" i="49"/>
  <c r="A88" i="49"/>
  <c r="B88" i="49"/>
  <c r="A89" i="49"/>
  <c r="B89" i="49"/>
  <c r="A90" i="49"/>
  <c r="B90" i="49"/>
  <c r="A91" i="49"/>
  <c r="B91" i="49"/>
  <c r="A92" i="49"/>
  <c r="B92" i="49"/>
  <c r="A93" i="49"/>
  <c r="B93" i="49"/>
  <c r="A94" i="49"/>
  <c r="B94" i="49"/>
  <c r="A95" i="49"/>
  <c r="B95" i="49"/>
  <c r="A96" i="49"/>
  <c r="B96" i="49"/>
  <c r="A97" i="49"/>
  <c r="B97" i="49"/>
  <c r="A98" i="49"/>
  <c r="B98" i="49"/>
  <c r="A99" i="49"/>
  <c r="B99" i="49"/>
  <c r="A100" i="49"/>
  <c r="B100" i="49"/>
  <c r="A101" i="49"/>
  <c r="B101" i="49"/>
  <c r="A102" i="49"/>
  <c r="B102" i="49"/>
  <c r="A103" i="49"/>
  <c r="B103" i="49"/>
  <c r="A104" i="49"/>
  <c r="B104" i="49"/>
  <c r="A105" i="49"/>
  <c r="B105" i="49"/>
  <c r="A106" i="49"/>
  <c r="B106" i="49"/>
  <c r="A107" i="49"/>
  <c r="B107" i="49"/>
  <c r="A108" i="49"/>
  <c r="B108" i="49"/>
  <c r="A109" i="49"/>
  <c r="B109" i="49"/>
  <c r="A110" i="49"/>
  <c r="B110" i="49"/>
  <c r="A111" i="49"/>
  <c r="B111" i="49"/>
  <c r="A112" i="49"/>
  <c r="B112" i="49"/>
  <c r="A113" i="49"/>
  <c r="B113" i="49"/>
  <c r="A114" i="49"/>
  <c r="B114" i="49"/>
  <c r="A115" i="49"/>
  <c r="B115" i="49"/>
  <c r="A116" i="49"/>
  <c r="B116" i="49"/>
  <c r="A117" i="49"/>
  <c r="B117" i="49"/>
  <c r="A118" i="49"/>
  <c r="B118" i="49"/>
  <c r="A119" i="49"/>
  <c r="B119" i="49"/>
  <c r="A120" i="49"/>
  <c r="B120" i="49"/>
  <c r="A121" i="49"/>
  <c r="B121" i="49"/>
  <c r="A122" i="49"/>
  <c r="B122" i="49"/>
  <c r="A123" i="49"/>
  <c r="B123" i="49"/>
  <c r="A124" i="49"/>
  <c r="B124" i="49"/>
  <c r="A125" i="49"/>
  <c r="B125" i="49"/>
  <c r="A126" i="49"/>
  <c r="B126" i="49"/>
  <c r="A127" i="49"/>
  <c r="B127" i="49"/>
  <c r="A128" i="49"/>
  <c r="B128" i="49"/>
  <c r="A129" i="49"/>
  <c r="B129" i="49"/>
  <c r="A130" i="49"/>
  <c r="B130" i="49"/>
  <c r="A131" i="49"/>
  <c r="B131" i="49"/>
  <c r="A132" i="49"/>
  <c r="B132" i="49"/>
  <c r="A133" i="49"/>
  <c r="B133" i="49"/>
  <c r="A134" i="49"/>
  <c r="B134" i="49"/>
  <c r="A135" i="49"/>
  <c r="B135" i="49"/>
  <c r="A136" i="49"/>
  <c r="B136" i="49"/>
  <c r="A137" i="49"/>
  <c r="B137" i="49"/>
  <c r="A138" i="49"/>
  <c r="B138" i="49"/>
  <c r="A139" i="49"/>
  <c r="B139" i="49"/>
  <c r="A140" i="49"/>
  <c r="B140" i="49"/>
  <c r="A141" i="49"/>
  <c r="B141" i="49"/>
  <c r="A142" i="49"/>
  <c r="B142" i="49"/>
  <c r="A143" i="49"/>
  <c r="B143" i="49"/>
  <c r="A144" i="49"/>
  <c r="B144" i="49"/>
  <c r="A145" i="49"/>
  <c r="B145" i="49"/>
  <c r="A146" i="49"/>
  <c r="B146" i="49"/>
  <c r="A147" i="49"/>
  <c r="B147" i="49"/>
  <c r="A148" i="49"/>
  <c r="B148" i="49"/>
  <c r="A149" i="49"/>
  <c r="B149" i="49"/>
  <c r="A150" i="49"/>
  <c r="B150" i="49"/>
  <c r="A151" i="49"/>
  <c r="B151" i="49"/>
  <c r="A152" i="49"/>
  <c r="B152" i="49"/>
  <c r="A153" i="49"/>
  <c r="B153" i="49"/>
  <c r="A154" i="49"/>
  <c r="B154" i="49"/>
  <c r="A155" i="49"/>
  <c r="B155" i="49"/>
  <c r="A156" i="49"/>
  <c r="B156" i="49"/>
  <c r="A157" i="49"/>
  <c r="B157" i="49"/>
  <c r="A158" i="49"/>
  <c r="B158" i="49"/>
  <c r="A159" i="49"/>
  <c r="B159" i="49"/>
  <c r="A160" i="49"/>
  <c r="B160" i="49"/>
  <c r="A161" i="49"/>
  <c r="B161" i="49"/>
  <c r="A162" i="49"/>
  <c r="B162" i="49"/>
  <c r="A163" i="49"/>
  <c r="B163" i="49"/>
  <c r="A164" i="49"/>
  <c r="B164" i="49"/>
  <c r="A165" i="49"/>
  <c r="B165" i="49"/>
  <c r="A166" i="49"/>
  <c r="B166" i="49"/>
  <c r="A167" i="49"/>
  <c r="B167" i="49"/>
  <c r="A168" i="49"/>
  <c r="B168" i="49"/>
  <c r="A170" i="49"/>
  <c r="B170" i="49"/>
  <c r="A171" i="49"/>
  <c r="B171" i="49"/>
  <c r="A172" i="49"/>
  <c r="B172" i="49"/>
  <c r="A173" i="49"/>
  <c r="B173" i="49"/>
  <c r="A174" i="49"/>
  <c r="B174" i="49"/>
  <c r="A175" i="49"/>
  <c r="B175" i="49"/>
  <c r="A176" i="49"/>
  <c r="B176" i="49"/>
  <c r="A177" i="49"/>
  <c r="B177" i="49"/>
  <c r="A178" i="49"/>
  <c r="B178" i="49"/>
  <c r="A179" i="49"/>
  <c r="B179" i="49"/>
  <c r="A180" i="49"/>
  <c r="B180" i="49"/>
  <c r="A181" i="49"/>
  <c r="B181" i="49"/>
  <c r="A182" i="49"/>
  <c r="B182" i="49"/>
  <c r="A183" i="49"/>
  <c r="B183" i="49"/>
  <c r="A184" i="49"/>
  <c r="B184" i="49"/>
  <c r="A185" i="49"/>
  <c r="B185" i="49"/>
  <c r="A186" i="49"/>
  <c r="B186" i="49"/>
  <c r="A187" i="49"/>
  <c r="B187" i="49"/>
  <c r="A188" i="49"/>
  <c r="B188" i="49"/>
  <c r="A189" i="49"/>
  <c r="B189" i="49"/>
  <c r="A190" i="49"/>
  <c r="B190" i="49"/>
  <c r="A191" i="49"/>
  <c r="B191" i="49"/>
  <c r="A192" i="49"/>
  <c r="B192" i="49"/>
  <c r="A193" i="49"/>
  <c r="B193" i="49"/>
  <c r="A194" i="49"/>
  <c r="B194" i="49"/>
  <c r="A195" i="49"/>
  <c r="B195" i="49"/>
  <c r="A196" i="49"/>
  <c r="B196" i="49"/>
  <c r="A197" i="49"/>
  <c r="B197" i="49"/>
  <c r="A198" i="49"/>
  <c r="B198" i="49"/>
  <c r="A199" i="49"/>
  <c r="B199" i="49"/>
  <c r="A200" i="49"/>
  <c r="B200" i="49"/>
  <c r="A201" i="49"/>
  <c r="B201" i="49"/>
  <c r="A202" i="49"/>
  <c r="B202" i="49"/>
  <c r="A203" i="49"/>
  <c r="B203" i="49"/>
  <c r="A204" i="49"/>
  <c r="B204" i="49"/>
  <c r="A205" i="49"/>
  <c r="B205" i="49"/>
  <c r="A206" i="49"/>
  <c r="B206" i="49"/>
  <c r="A207" i="49"/>
  <c r="B207" i="49"/>
  <c r="A208" i="49"/>
  <c r="B208" i="49"/>
  <c r="A209" i="49"/>
  <c r="B209" i="49"/>
  <c r="A210" i="49"/>
  <c r="B210" i="49"/>
  <c r="A211" i="49"/>
  <c r="B211" i="49"/>
  <c r="A212" i="49"/>
  <c r="B212" i="49"/>
  <c r="A213" i="49"/>
  <c r="B213" i="49"/>
  <c r="A214" i="49"/>
  <c r="B214" i="49"/>
  <c r="A215" i="49"/>
  <c r="B215" i="49"/>
  <c r="A216" i="49"/>
  <c r="B216" i="49"/>
  <c r="A217" i="49"/>
  <c r="B217" i="49"/>
  <c r="A219" i="49"/>
  <c r="B219" i="49"/>
  <c r="A220" i="49"/>
  <c r="B220" i="49"/>
  <c r="A221" i="49"/>
  <c r="B221" i="49"/>
  <c r="A222" i="49"/>
  <c r="B222" i="49"/>
  <c r="A223" i="49"/>
  <c r="B223" i="49"/>
  <c r="A224" i="49"/>
  <c r="B224" i="49"/>
  <c r="A225" i="49"/>
  <c r="B225" i="49"/>
  <c r="A226" i="49"/>
  <c r="B226" i="49"/>
  <c r="A227" i="49"/>
  <c r="B227" i="49"/>
  <c r="A228" i="49"/>
  <c r="B228" i="49"/>
  <c r="A229" i="49"/>
  <c r="B229" i="49"/>
  <c r="A230" i="49"/>
  <c r="B230" i="49"/>
  <c r="A231" i="49"/>
  <c r="B231" i="49"/>
  <c r="A232" i="49"/>
  <c r="B232" i="49"/>
  <c r="A233" i="49"/>
  <c r="B233" i="49"/>
  <c r="A234" i="49"/>
  <c r="B234" i="49"/>
  <c r="A235" i="49"/>
  <c r="B235" i="49"/>
  <c r="A236" i="49"/>
  <c r="B236" i="49"/>
  <c r="A237" i="49"/>
  <c r="B237" i="49"/>
  <c r="A238" i="49"/>
  <c r="B238" i="49"/>
  <c r="A239" i="49"/>
  <c r="B239" i="49"/>
  <c r="A240" i="49"/>
  <c r="B240" i="49"/>
  <c r="A241" i="49"/>
  <c r="B241" i="49"/>
  <c r="B242" i="49"/>
  <c r="B244" i="49"/>
  <c r="B245" i="49"/>
  <c r="B246" i="49"/>
  <c r="A247" i="49"/>
  <c r="B247" i="49"/>
  <c r="A248" i="49"/>
  <c r="B248" i="49"/>
  <c r="A249" i="49"/>
  <c r="B249" i="49"/>
  <c r="A250" i="49"/>
  <c r="B250" i="49"/>
  <c r="A251" i="49"/>
  <c r="B251" i="49"/>
  <c r="A252" i="49"/>
  <c r="B252" i="49"/>
  <c r="A253" i="49"/>
  <c r="B253" i="49"/>
  <c r="A254" i="49"/>
  <c r="B254" i="49"/>
  <c r="A255" i="49"/>
  <c r="B255" i="49"/>
  <c r="A256" i="49"/>
  <c r="B256" i="49"/>
  <c r="A257" i="49"/>
  <c r="B257" i="49"/>
  <c r="A258" i="49"/>
  <c r="B258" i="49"/>
  <c r="A259" i="49"/>
  <c r="B259" i="49"/>
  <c r="A260" i="49"/>
  <c r="B260" i="49"/>
  <c r="A261" i="49"/>
  <c r="B261" i="49"/>
  <c r="A262" i="49"/>
  <c r="B262" i="49"/>
  <c r="A263" i="49"/>
  <c r="B263" i="49"/>
  <c r="A264" i="49"/>
  <c r="B264" i="49"/>
  <c r="A265" i="49"/>
  <c r="B265" i="49"/>
  <c r="A266" i="49"/>
  <c r="B266" i="49"/>
  <c r="A267" i="49"/>
  <c r="B267" i="49"/>
  <c r="A268" i="49"/>
  <c r="B268" i="49"/>
  <c r="A269" i="49"/>
  <c r="B269" i="49"/>
  <c r="A270" i="49"/>
  <c r="B270" i="49"/>
  <c r="A271" i="49"/>
  <c r="B271" i="49"/>
  <c r="A272" i="49"/>
  <c r="B272" i="49"/>
  <c r="A273" i="49"/>
  <c r="B273" i="49"/>
  <c r="A274" i="49"/>
  <c r="B274" i="49"/>
  <c r="A275" i="49"/>
  <c r="B275" i="49"/>
  <c r="A276" i="49"/>
  <c r="B276" i="49"/>
  <c r="A277" i="49"/>
  <c r="B277" i="49"/>
  <c r="A278" i="49"/>
  <c r="B278" i="49"/>
  <c r="A279" i="49"/>
  <c r="B279" i="49"/>
  <c r="A280" i="49"/>
  <c r="B280" i="49"/>
  <c r="A281" i="49"/>
  <c r="B281" i="49"/>
  <c r="A282" i="49"/>
  <c r="B282" i="49"/>
  <c r="A283" i="49"/>
  <c r="B283" i="49"/>
  <c r="A284" i="49"/>
  <c r="B284" i="49"/>
  <c r="A285" i="49"/>
  <c r="B285" i="49"/>
  <c r="A286" i="49"/>
  <c r="B286" i="49"/>
  <c r="A287" i="49"/>
  <c r="B287" i="49"/>
  <c r="A288" i="49"/>
  <c r="B288" i="49"/>
  <c r="A289" i="49"/>
  <c r="B289" i="49"/>
  <c r="A290" i="49"/>
  <c r="B290" i="49"/>
  <c r="A291" i="49"/>
  <c r="B291" i="49"/>
  <c r="A292" i="49"/>
  <c r="B292" i="49"/>
  <c r="A293" i="49"/>
  <c r="B293" i="49"/>
  <c r="A294" i="49"/>
  <c r="B294" i="49"/>
  <c r="A295" i="49"/>
  <c r="B295" i="49"/>
  <c r="A296" i="49"/>
  <c r="B296" i="49"/>
  <c r="A297" i="49"/>
  <c r="B297" i="49"/>
  <c r="A298" i="49"/>
  <c r="B298" i="49"/>
  <c r="A299" i="49"/>
  <c r="B299" i="49"/>
  <c r="A300" i="49"/>
  <c r="B300" i="49"/>
  <c r="A301" i="49"/>
  <c r="B301" i="49"/>
  <c r="A302" i="49"/>
  <c r="B302" i="49"/>
  <c r="A303" i="49"/>
  <c r="B303" i="49"/>
  <c r="A304" i="49"/>
  <c r="B304" i="49"/>
  <c r="A305" i="49"/>
  <c r="B305" i="49"/>
  <c r="A306" i="49"/>
  <c r="B306" i="49"/>
  <c r="A307" i="49"/>
  <c r="B307" i="49"/>
  <c r="A308" i="49"/>
  <c r="B308" i="49"/>
  <c r="A309" i="49"/>
  <c r="B309" i="49"/>
  <c r="A310" i="49"/>
  <c r="B310" i="49"/>
  <c r="A311" i="49"/>
  <c r="B311" i="49"/>
  <c r="A312" i="49"/>
  <c r="B312" i="49"/>
  <c r="A313" i="49"/>
  <c r="B313" i="49"/>
  <c r="B6" i="49"/>
  <c r="A6" i="49"/>
  <c r="I169" i="49" l="1"/>
  <c r="I243" i="49"/>
  <c r="I218" i="49"/>
  <c r="B314" i="49"/>
  <c r="B7" i="48"/>
  <c r="B9" i="48" l="1"/>
  <c r="B8" i="48"/>
  <c r="F8" i="48"/>
  <c r="C9" i="34"/>
  <c r="U6" i="19" l="1"/>
  <c r="C25" i="40" l="1"/>
  <c r="A2" i="25"/>
  <c r="J6" i="13"/>
  <c r="A8" i="13"/>
  <c r="B8" i="13"/>
  <c r="A9" i="13"/>
  <c r="B9" i="13"/>
  <c r="A10" i="13"/>
  <c r="B10" i="13"/>
  <c r="A11" i="13"/>
  <c r="B11" i="13"/>
  <c r="A12" i="13"/>
  <c r="B12" i="13"/>
  <c r="A13" i="13"/>
  <c r="B13" i="13"/>
  <c r="A14" i="13"/>
  <c r="B14" i="13"/>
  <c r="A15" i="13"/>
  <c r="B15" i="13"/>
  <c r="A16" i="13"/>
  <c r="B16" i="13"/>
  <c r="A17" i="13"/>
  <c r="B17" i="13"/>
  <c r="A18" i="13"/>
  <c r="B18" i="13"/>
  <c r="A19" i="13"/>
  <c r="B19" i="13"/>
  <c r="A20" i="13"/>
  <c r="B20" i="13"/>
  <c r="A21" i="13"/>
  <c r="B21" i="13"/>
  <c r="A22" i="13"/>
  <c r="B22" i="13"/>
  <c r="A23" i="13"/>
  <c r="B23" i="13"/>
  <c r="A24" i="13"/>
  <c r="B24" i="13"/>
  <c r="A25" i="13"/>
  <c r="B25" i="13"/>
  <c r="A26" i="13"/>
  <c r="B26" i="13"/>
  <c r="A27" i="13"/>
  <c r="B27" i="13"/>
  <c r="A28" i="13"/>
  <c r="B28" i="13"/>
  <c r="A29" i="13"/>
  <c r="B29" i="13"/>
  <c r="A30" i="13"/>
  <c r="B30" i="13"/>
  <c r="A31" i="13"/>
  <c r="B31" i="13"/>
  <c r="A32" i="13"/>
  <c r="B32" i="13"/>
  <c r="A33" i="13"/>
  <c r="B33" i="13"/>
  <c r="A34" i="13"/>
  <c r="B34" i="13"/>
  <c r="A35" i="13"/>
  <c r="B35" i="13"/>
  <c r="A36" i="13"/>
  <c r="B36" i="13"/>
  <c r="A37" i="13"/>
  <c r="B37" i="13"/>
  <c r="A38" i="13"/>
  <c r="B38" i="13"/>
  <c r="A39" i="13"/>
  <c r="B39" i="13"/>
  <c r="A40" i="13"/>
  <c r="B40" i="13"/>
  <c r="A41" i="13"/>
  <c r="B41" i="13"/>
  <c r="A42" i="13"/>
  <c r="B42" i="13"/>
  <c r="A43" i="13"/>
  <c r="B43" i="13"/>
  <c r="A44" i="13"/>
  <c r="B44" i="13"/>
  <c r="A45" i="13"/>
  <c r="B45" i="13"/>
  <c r="A46" i="13"/>
  <c r="B46" i="13"/>
  <c r="A47" i="13"/>
  <c r="B47" i="13"/>
  <c r="A48" i="13"/>
  <c r="B48" i="13"/>
  <c r="A49" i="13"/>
  <c r="B49" i="13"/>
  <c r="A50" i="13"/>
  <c r="B50" i="13"/>
  <c r="A51" i="13"/>
  <c r="B51" i="13"/>
  <c r="A52" i="13"/>
  <c r="B52" i="13"/>
  <c r="A53" i="13"/>
  <c r="B53" i="13"/>
  <c r="A54" i="13"/>
  <c r="B54" i="13"/>
  <c r="A55" i="13"/>
  <c r="B55" i="13"/>
  <c r="A56" i="13"/>
  <c r="B56" i="13"/>
  <c r="A57" i="13"/>
  <c r="B57" i="13"/>
  <c r="A58" i="13"/>
  <c r="B58" i="13"/>
  <c r="A59" i="13"/>
  <c r="B59" i="13"/>
  <c r="A60" i="13"/>
  <c r="B60" i="13"/>
  <c r="A61" i="13"/>
  <c r="B61" i="13"/>
  <c r="A62" i="13"/>
  <c r="B62" i="13"/>
  <c r="A63" i="13"/>
  <c r="B63" i="13"/>
  <c r="A64" i="13"/>
  <c r="B64" i="13"/>
  <c r="A65" i="13"/>
  <c r="B65" i="13"/>
  <c r="A66" i="13"/>
  <c r="B66" i="13"/>
  <c r="A67" i="13"/>
  <c r="B67" i="13"/>
  <c r="A68" i="13"/>
  <c r="B68" i="13"/>
  <c r="A69" i="13"/>
  <c r="B69" i="13"/>
  <c r="A70" i="13"/>
  <c r="B70" i="13"/>
  <c r="A71" i="13"/>
  <c r="B71" i="13"/>
  <c r="A72" i="13"/>
  <c r="B72" i="13"/>
  <c r="A73" i="13"/>
  <c r="B73" i="13"/>
  <c r="A74" i="13"/>
  <c r="B74" i="13"/>
  <c r="A75" i="13"/>
  <c r="B75" i="13"/>
  <c r="A76" i="13"/>
  <c r="B76" i="13"/>
  <c r="A77" i="13"/>
  <c r="B77" i="13"/>
  <c r="A78" i="13"/>
  <c r="B78" i="13"/>
  <c r="A79" i="13"/>
  <c r="B79" i="13"/>
  <c r="A80" i="13"/>
  <c r="B80" i="13"/>
  <c r="A81" i="13"/>
  <c r="B81" i="13"/>
  <c r="A82" i="13"/>
  <c r="B82" i="13"/>
  <c r="A83" i="13"/>
  <c r="B83" i="13"/>
  <c r="A84" i="13"/>
  <c r="B84" i="13"/>
  <c r="A85" i="13"/>
  <c r="B85" i="13"/>
  <c r="A86" i="13"/>
  <c r="B86" i="13"/>
  <c r="A87" i="13"/>
  <c r="B87" i="13"/>
  <c r="A88" i="13"/>
  <c r="B88" i="13"/>
  <c r="A89" i="13"/>
  <c r="B89" i="13"/>
  <c r="A90" i="13"/>
  <c r="B90" i="13"/>
  <c r="A91" i="13"/>
  <c r="B91" i="13"/>
  <c r="A92" i="13"/>
  <c r="B92" i="13"/>
  <c r="A93" i="13"/>
  <c r="B93" i="13"/>
  <c r="A94" i="13"/>
  <c r="B94" i="13"/>
  <c r="A95" i="13"/>
  <c r="B95" i="13"/>
  <c r="A96" i="13"/>
  <c r="B96" i="13"/>
  <c r="A97" i="13"/>
  <c r="B97" i="13"/>
  <c r="A98" i="13"/>
  <c r="B98" i="13"/>
  <c r="A99" i="13"/>
  <c r="B99" i="13"/>
  <c r="A100" i="13"/>
  <c r="B100" i="13"/>
  <c r="A101" i="13"/>
  <c r="B101" i="13"/>
  <c r="A102" i="13"/>
  <c r="B102" i="13"/>
  <c r="A103" i="13"/>
  <c r="B103" i="13"/>
  <c r="A104" i="13"/>
  <c r="B104" i="13"/>
  <c r="A105" i="13"/>
  <c r="B105" i="13"/>
  <c r="A106" i="13"/>
  <c r="B106" i="13"/>
  <c r="A107" i="13"/>
  <c r="B107" i="13"/>
  <c r="A108" i="13"/>
  <c r="B108" i="13"/>
  <c r="A109" i="13"/>
  <c r="B109" i="13"/>
  <c r="A110" i="13"/>
  <c r="B110" i="13"/>
  <c r="A111" i="13"/>
  <c r="B111" i="13"/>
  <c r="A112" i="13"/>
  <c r="B112" i="13"/>
  <c r="A113" i="13"/>
  <c r="B113" i="13"/>
  <c r="A114" i="13"/>
  <c r="B114" i="13"/>
  <c r="A115" i="13"/>
  <c r="B115" i="13"/>
  <c r="A116" i="13"/>
  <c r="B116" i="13"/>
  <c r="A117" i="13"/>
  <c r="B117" i="13"/>
  <c r="A118" i="13"/>
  <c r="B118" i="13"/>
  <c r="A119" i="13"/>
  <c r="B119" i="13"/>
  <c r="A120" i="13"/>
  <c r="B120" i="13"/>
  <c r="A121" i="13"/>
  <c r="B121" i="13"/>
  <c r="A122" i="13"/>
  <c r="B122" i="13"/>
  <c r="A123" i="13"/>
  <c r="B123" i="13"/>
  <c r="A124" i="13"/>
  <c r="B124" i="13"/>
  <c r="A125" i="13"/>
  <c r="B125" i="13"/>
  <c r="A126" i="13"/>
  <c r="B126" i="13"/>
  <c r="A127" i="13"/>
  <c r="B127" i="13"/>
  <c r="A128" i="13"/>
  <c r="B128" i="13"/>
  <c r="A129" i="13"/>
  <c r="B129" i="13"/>
  <c r="A130" i="13"/>
  <c r="B130" i="13"/>
  <c r="A131" i="13"/>
  <c r="B131" i="13"/>
  <c r="A132" i="13"/>
  <c r="B132" i="13"/>
  <c r="A133" i="13"/>
  <c r="B133" i="13"/>
  <c r="A134" i="13"/>
  <c r="B134" i="13"/>
  <c r="A135" i="13"/>
  <c r="B135" i="13"/>
  <c r="A136" i="13"/>
  <c r="B136" i="13"/>
  <c r="A137" i="13"/>
  <c r="B137" i="13"/>
  <c r="A138" i="13"/>
  <c r="B138" i="13"/>
  <c r="A139" i="13"/>
  <c r="B139" i="13"/>
  <c r="A140" i="13"/>
  <c r="B140" i="13"/>
  <c r="A141" i="13"/>
  <c r="B141" i="13"/>
  <c r="A142" i="13"/>
  <c r="B142" i="13"/>
  <c r="A143" i="13"/>
  <c r="B143" i="13"/>
  <c r="A144" i="13"/>
  <c r="B144" i="13"/>
  <c r="A145" i="13"/>
  <c r="B145" i="13"/>
  <c r="A146" i="13"/>
  <c r="B146" i="13"/>
  <c r="A147" i="13"/>
  <c r="B147" i="13"/>
  <c r="A148" i="13"/>
  <c r="B148" i="13"/>
  <c r="A149" i="13"/>
  <c r="B149" i="13"/>
  <c r="A150" i="13"/>
  <c r="B150" i="13"/>
  <c r="A151" i="13"/>
  <c r="B151" i="13"/>
  <c r="A152" i="13"/>
  <c r="B152" i="13"/>
  <c r="A153" i="13"/>
  <c r="B153" i="13"/>
  <c r="A154" i="13"/>
  <c r="B154" i="13"/>
  <c r="A155" i="13"/>
  <c r="B155" i="13"/>
  <c r="A156" i="13"/>
  <c r="B156" i="13"/>
  <c r="A157" i="13"/>
  <c r="B157" i="13"/>
  <c r="A158" i="13"/>
  <c r="B158" i="13"/>
  <c r="A159" i="13"/>
  <c r="B159" i="13"/>
  <c r="A160" i="13"/>
  <c r="B160" i="13"/>
  <c r="A161" i="13"/>
  <c r="B161" i="13"/>
  <c r="A162" i="13"/>
  <c r="B162" i="13"/>
  <c r="A163" i="13"/>
  <c r="B163" i="13"/>
  <c r="A164" i="13"/>
  <c r="B164" i="13"/>
  <c r="A165" i="13"/>
  <c r="B165" i="13"/>
  <c r="A166" i="13"/>
  <c r="B166" i="13"/>
  <c r="A167" i="13"/>
  <c r="B167" i="13"/>
  <c r="A168" i="13"/>
  <c r="B168" i="13"/>
  <c r="A169" i="13"/>
  <c r="B169" i="13"/>
  <c r="A171" i="13"/>
  <c r="B171" i="13"/>
  <c r="A172" i="13"/>
  <c r="B172" i="13"/>
  <c r="A173" i="13"/>
  <c r="B173" i="13"/>
  <c r="A174" i="13"/>
  <c r="B174" i="13"/>
  <c r="A175" i="13"/>
  <c r="B175" i="13"/>
  <c r="A176" i="13"/>
  <c r="B176" i="13"/>
  <c r="A177" i="13"/>
  <c r="B177" i="13"/>
  <c r="A178" i="13"/>
  <c r="B178" i="13"/>
  <c r="A179" i="13"/>
  <c r="B179" i="13"/>
  <c r="A180" i="13"/>
  <c r="B180" i="13"/>
  <c r="A181" i="13"/>
  <c r="B181" i="13"/>
  <c r="A182" i="13"/>
  <c r="B182" i="13"/>
  <c r="A183" i="13"/>
  <c r="B183" i="13"/>
  <c r="A184" i="13"/>
  <c r="B184" i="13"/>
  <c r="A185" i="13"/>
  <c r="B185" i="13"/>
  <c r="A186" i="13"/>
  <c r="B186" i="13"/>
  <c r="A187" i="13"/>
  <c r="B187" i="13"/>
  <c r="A188" i="13"/>
  <c r="B188" i="13"/>
  <c r="A189" i="13"/>
  <c r="B189" i="13"/>
  <c r="A190" i="13"/>
  <c r="B190" i="13"/>
  <c r="A191" i="13"/>
  <c r="B191" i="13"/>
  <c r="A192" i="13"/>
  <c r="B192" i="13"/>
  <c r="A193" i="13"/>
  <c r="B193" i="13"/>
  <c r="A194" i="13"/>
  <c r="B194" i="13"/>
  <c r="A195" i="13"/>
  <c r="B195" i="13"/>
  <c r="A196" i="13"/>
  <c r="B196" i="13"/>
  <c r="A197" i="13"/>
  <c r="B197" i="13"/>
  <c r="A198" i="13"/>
  <c r="B198" i="13"/>
  <c r="A199" i="13"/>
  <c r="B199" i="13"/>
  <c r="A200" i="13"/>
  <c r="B200" i="13"/>
  <c r="A201" i="13"/>
  <c r="B201" i="13"/>
  <c r="A202" i="13"/>
  <c r="B202" i="13"/>
  <c r="A203" i="13"/>
  <c r="B203" i="13"/>
  <c r="A204" i="13"/>
  <c r="B204" i="13"/>
  <c r="A205" i="13"/>
  <c r="B205" i="13"/>
  <c r="A206" i="13"/>
  <c r="B206" i="13"/>
  <c r="A207" i="13"/>
  <c r="B207" i="13"/>
  <c r="A208" i="13"/>
  <c r="B208" i="13"/>
  <c r="A209" i="13"/>
  <c r="B209" i="13"/>
  <c r="A210" i="13"/>
  <c r="B210" i="13"/>
  <c r="A211" i="13"/>
  <c r="B211" i="13"/>
  <c r="A212" i="13"/>
  <c r="B212" i="13"/>
  <c r="A213" i="13"/>
  <c r="B213" i="13"/>
  <c r="A214" i="13"/>
  <c r="B214" i="13"/>
  <c r="A215" i="13"/>
  <c r="B215" i="13"/>
  <c r="A216" i="13"/>
  <c r="B216" i="13"/>
  <c r="A217" i="13"/>
  <c r="B217" i="13"/>
  <c r="A218" i="13"/>
  <c r="B218" i="13"/>
  <c r="A220" i="13"/>
  <c r="B220" i="13"/>
  <c r="A221" i="13"/>
  <c r="B221" i="13"/>
  <c r="A222" i="13"/>
  <c r="B222" i="13"/>
  <c r="A223" i="13"/>
  <c r="B223" i="13"/>
  <c r="A224" i="13"/>
  <c r="B224" i="13"/>
  <c r="A225" i="13"/>
  <c r="B225" i="13"/>
  <c r="A226" i="13"/>
  <c r="B226" i="13"/>
  <c r="A227" i="13"/>
  <c r="B227" i="13"/>
  <c r="A228" i="13"/>
  <c r="B228" i="13"/>
  <c r="A229" i="13"/>
  <c r="B229" i="13"/>
  <c r="A230" i="13"/>
  <c r="B230" i="13"/>
  <c r="A231" i="13"/>
  <c r="B231" i="13"/>
  <c r="A232" i="13"/>
  <c r="B232" i="13"/>
  <c r="A233" i="13"/>
  <c r="B233" i="13"/>
  <c r="A234" i="13"/>
  <c r="B234" i="13"/>
  <c r="A235" i="13"/>
  <c r="B235" i="13"/>
  <c r="A236" i="13"/>
  <c r="B236" i="13"/>
  <c r="A237" i="13"/>
  <c r="B237" i="13"/>
  <c r="A238" i="13"/>
  <c r="B238" i="13"/>
  <c r="A239" i="13"/>
  <c r="B239" i="13"/>
  <c r="A240" i="13"/>
  <c r="B240" i="13"/>
  <c r="A241" i="13"/>
  <c r="B241" i="13"/>
  <c r="A242" i="13"/>
  <c r="B242" i="13"/>
  <c r="A243" i="13"/>
  <c r="B243" i="13"/>
  <c r="A245" i="13"/>
  <c r="B245" i="13"/>
  <c r="A246" i="13"/>
  <c r="B246" i="13"/>
  <c r="A247" i="13"/>
  <c r="B247" i="13"/>
  <c r="A248" i="13"/>
  <c r="B248" i="13"/>
  <c r="A249" i="13"/>
  <c r="B249" i="13"/>
  <c r="A250" i="13"/>
  <c r="B250" i="13"/>
  <c r="A251" i="13"/>
  <c r="B251" i="13"/>
  <c r="A252" i="13"/>
  <c r="B252" i="13"/>
  <c r="A253" i="13"/>
  <c r="B253" i="13"/>
  <c r="A254" i="13"/>
  <c r="B254" i="13"/>
  <c r="A255" i="13"/>
  <c r="B255" i="13"/>
  <c r="A256" i="13"/>
  <c r="B256" i="13"/>
  <c r="A257" i="13"/>
  <c r="B257" i="13"/>
  <c r="A258" i="13"/>
  <c r="B258" i="13"/>
  <c r="A259" i="13"/>
  <c r="B259" i="13"/>
  <c r="A260" i="13"/>
  <c r="B260" i="13"/>
  <c r="A261" i="13"/>
  <c r="B261" i="13"/>
  <c r="A262" i="13"/>
  <c r="B262" i="13"/>
  <c r="A263" i="13"/>
  <c r="B263" i="13"/>
  <c r="A264" i="13"/>
  <c r="B264" i="13"/>
  <c r="A265" i="13"/>
  <c r="B265" i="13"/>
  <c r="A266" i="13"/>
  <c r="B266" i="13"/>
  <c r="A267" i="13"/>
  <c r="B267" i="13"/>
  <c r="A268" i="13"/>
  <c r="B268" i="13"/>
  <c r="A269" i="13"/>
  <c r="B269" i="13"/>
  <c r="A270" i="13"/>
  <c r="B270" i="13"/>
  <c r="A271" i="13"/>
  <c r="B271" i="13"/>
  <c r="A272" i="13"/>
  <c r="B272" i="13"/>
  <c r="A273" i="13"/>
  <c r="B273" i="13"/>
  <c r="A274" i="13"/>
  <c r="B274" i="13"/>
  <c r="A275" i="13"/>
  <c r="B275" i="13"/>
  <c r="A276" i="13"/>
  <c r="B276" i="13"/>
  <c r="A277" i="13"/>
  <c r="B277" i="13"/>
  <c r="A278" i="13"/>
  <c r="B278" i="13"/>
  <c r="A279" i="13"/>
  <c r="B279" i="13"/>
  <c r="A280" i="13"/>
  <c r="B280" i="13"/>
  <c r="A281" i="13"/>
  <c r="B281" i="13"/>
  <c r="A282" i="13"/>
  <c r="B282" i="13"/>
  <c r="A283" i="13"/>
  <c r="B283" i="13"/>
  <c r="A284" i="13"/>
  <c r="B284" i="13"/>
  <c r="A285" i="13"/>
  <c r="B285" i="13"/>
  <c r="A286" i="13"/>
  <c r="B286" i="13"/>
  <c r="A287" i="13"/>
  <c r="B287" i="13"/>
  <c r="A288" i="13"/>
  <c r="B288" i="13"/>
  <c r="A289" i="13"/>
  <c r="B289" i="13"/>
  <c r="A290" i="13"/>
  <c r="B290" i="13"/>
  <c r="A291" i="13"/>
  <c r="B291" i="13"/>
  <c r="A292" i="13"/>
  <c r="B292" i="13"/>
  <c r="A293" i="13"/>
  <c r="B293" i="13"/>
  <c r="A294" i="13"/>
  <c r="B294" i="13"/>
  <c r="A295" i="13"/>
  <c r="B295" i="13"/>
  <c r="A296" i="13"/>
  <c r="B296" i="13"/>
  <c r="A297" i="13"/>
  <c r="B297" i="13"/>
  <c r="A298" i="13"/>
  <c r="B298" i="13"/>
  <c r="A299" i="13"/>
  <c r="B299" i="13"/>
  <c r="A300" i="13"/>
  <c r="B300" i="13"/>
  <c r="A301" i="13"/>
  <c r="B301" i="13"/>
  <c r="A302" i="13"/>
  <c r="B302" i="13"/>
  <c r="A303" i="13"/>
  <c r="B303" i="13"/>
  <c r="A304" i="13"/>
  <c r="B304" i="13"/>
  <c r="A305" i="13"/>
  <c r="B305" i="13"/>
  <c r="A306" i="13"/>
  <c r="B306" i="13"/>
  <c r="A307" i="13"/>
  <c r="B307" i="13"/>
  <c r="A308" i="13"/>
  <c r="B308" i="13"/>
  <c r="A309" i="13"/>
  <c r="B309" i="13"/>
  <c r="A310" i="13"/>
  <c r="B310" i="13"/>
  <c r="A311" i="13"/>
  <c r="B311" i="13"/>
  <c r="A312" i="13"/>
  <c r="B312" i="13"/>
  <c r="A313" i="13"/>
  <c r="B313" i="13"/>
  <c r="A314" i="13"/>
  <c r="B314" i="13"/>
  <c r="B7" i="13"/>
  <c r="A7" i="13"/>
  <c r="B6" i="39"/>
  <c r="A6" i="39"/>
  <c r="B6" i="12"/>
  <c r="A6" i="12"/>
  <c r="D16" i="34"/>
  <c r="B16" i="34"/>
  <c r="A16" i="34"/>
  <c r="C6" i="37"/>
  <c r="B6" i="37"/>
  <c r="A6" i="37"/>
  <c r="C9" i="36"/>
  <c r="B9" i="36"/>
  <c r="A9" i="36"/>
  <c r="C12" i="9"/>
  <c r="C320" i="9" s="1"/>
  <c r="B12" i="9"/>
  <c r="A12" i="9"/>
  <c r="D324" i="34" l="1"/>
  <c r="B314" i="37"/>
  <c r="C314" i="37"/>
  <c r="C317" i="36"/>
  <c r="B317" i="36"/>
  <c r="B314" i="12"/>
  <c r="B314" i="39"/>
  <c r="B315" i="13"/>
  <c r="B324" i="34"/>
  <c r="B320" i="9"/>
  <c r="T183" i="13" l="1"/>
  <c r="T155" i="13"/>
  <c r="T224" i="13"/>
  <c r="T33" i="13"/>
  <c r="T97" i="13"/>
  <c r="T24" i="13"/>
  <c r="T39" i="13"/>
  <c r="T55" i="13"/>
  <c r="T63" i="13"/>
  <c r="T101" i="13"/>
  <c r="T103" i="13"/>
  <c r="T107" i="13"/>
  <c r="T109" i="13"/>
  <c r="T117" i="13"/>
  <c r="T123" i="13"/>
  <c r="T125" i="13"/>
  <c r="T135" i="13"/>
  <c r="T137" i="13"/>
  <c r="T143" i="13"/>
  <c r="T145" i="13"/>
  <c r="T147" i="13"/>
  <c r="T151" i="13"/>
  <c r="T153" i="13"/>
  <c r="T159" i="13"/>
  <c r="T161" i="13"/>
  <c r="T163" i="13"/>
  <c r="T172" i="13"/>
  <c r="T188" i="13"/>
  <c r="T192" i="13"/>
  <c r="T204" i="13"/>
  <c r="T210" i="13"/>
  <c r="T218" i="13"/>
  <c r="T221" i="13"/>
  <c r="T223" i="13"/>
  <c r="T229" i="13"/>
  <c r="T254" i="13"/>
  <c r="T256" i="13"/>
  <c r="T264" i="13"/>
  <c r="T266" i="13"/>
  <c r="T270" i="13"/>
  <c r="T272" i="13"/>
  <c r="T274" i="13"/>
  <c r="T282" i="13"/>
  <c r="T314" i="13"/>
  <c r="E315" i="13"/>
  <c r="T19" i="13"/>
  <c r="T29" i="13"/>
  <c r="T31" i="13"/>
  <c r="T36" i="13"/>
  <c r="T44" i="13"/>
  <c r="T70" i="13"/>
  <c r="T78" i="13"/>
  <c r="T80" i="13"/>
  <c r="T82" i="13"/>
  <c r="T84" i="13"/>
  <c r="T88" i="13"/>
  <c r="T90" i="13"/>
  <c r="T92" i="13"/>
  <c r="T96" i="13"/>
  <c r="T98" i="13"/>
  <c r="T100" i="13"/>
  <c r="T112" i="13"/>
  <c r="T116" i="13"/>
  <c r="T118" i="13"/>
  <c r="T120" i="13"/>
  <c r="T124" i="13"/>
  <c r="T126" i="13"/>
  <c r="T128" i="13"/>
  <c r="T132" i="13"/>
  <c r="T140" i="13"/>
  <c r="T156" i="13"/>
  <c r="T160" i="13"/>
  <c r="T209" i="13"/>
  <c r="T213" i="13"/>
  <c r="T217" i="13"/>
  <c r="T226" i="13"/>
  <c r="T242" i="13"/>
  <c r="T247" i="13"/>
  <c r="T251" i="13"/>
  <c r="T255" i="13"/>
  <c r="T259" i="13"/>
  <c r="T261" i="13"/>
  <c r="T279" i="13"/>
  <c r="T283" i="13"/>
  <c r="T285" i="13"/>
  <c r="T287" i="13"/>
  <c r="T303" i="13"/>
  <c r="T307" i="13"/>
  <c r="T309" i="13"/>
  <c r="T311" i="13"/>
  <c r="T30" i="13"/>
  <c r="T41" i="13"/>
  <c r="T43" i="13"/>
  <c r="T47" i="13"/>
  <c r="T81" i="13"/>
  <c r="T91" i="13"/>
  <c r="T49" i="13"/>
  <c r="T53" i="13"/>
  <c r="T59" i="13"/>
  <c r="T61" i="13"/>
  <c r="T75" i="13"/>
  <c r="T165" i="13"/>
  <c r="T167" i="13"/>
  <c r="T169" i="13"/>
  <c r="T176" i="13"/>
  <c r="T178" i="13"/>
  <c r="T182" i="13"/>
  <c r="T184" i="13"/>
  <c r="T186" i="13"/>
  <c r="T190" i="13"/>
  <c r="T194" i="13"/>
  <c r="T198" i="13"/>
  <c r="T208" i="13"/>
  <c r="T212" i="13"/>
  <c r="T233" i="13"/>
  <c r="T237" i="13"/>
  <c r="T239" i="13"/>
  <c r="T243" i="13"/>
  <c r="T248" i="13"/>
  <c r="T252" i="13"/>
  <c r="T276" i="13"/>
  <c r="T280" i="13"/>
  <c r="T288" i="13"/>
  <c r="T304" i="13"/>
  <c r="T308" i="13"/>
  <c r="F315" i="13"/>
  <c r="T9" i="13"/>
  <c r="T13" i="13"/>
  <c r="T21" i="13"/>
  <c r="T27" i="13"/>
  <c r="T38" i="13"/>
  <c r="T42" i="13"/>
  <c r="T46" i="13"/>
  <c r="T48" i="13"/>
  <c r="T56" i="13"/>
  <c r="T64" i="13"/>
  <c r="T102" i="13"/>
  <c r="T104" i="13"/>
  <c r="T106" i="13"/>
  <c r="T108" i="13"/>
  <c r="T134" i="13"/>
  <c r="T138" i="13"/>
  <c r="T142" i="13"/>
  <c r="T146" i="13"/>
  <c r="T148" i="13"/>
  <c r="T150" i="13"/>
  <c r="T154" i="13"/>
  <c r="T158" i="13"/>
  <c r="T162" i="13"/>
  <c r="T168" i="13"/>
  <c r="T173" i="13"/>
  <c r="T175" i="13"/>
  <c r="T177" i="13"/>
  <c r="T185" i="13"/>
  <c r="T193" i="13"/>
  <c r="T201" i="13"/>
  <c r="T207" i="13"/>
  <c r="T211" i="13"/>
  <c r="T222" i="13"/>
  <c r="T228" i="13"/>
  <c r="T232" i="13"/>
  <c r="T236" i="13"/>
  <c r="T263" i="13"/>
  <c r="T265" i="13"/>
  <c r="T269" i="13"/>
  <c r="T271" i="13"/>
  <c r="T273" i="13"/>
  <c r="T291" i="13"/>
  <c r="T293" i="13"/>
  <c r="T295" i="13"/>
  <c r="T297" i="13"/>
  <c r="T299" i="13"/>
  <c r="T301" i="13"/>
  <c r="T20" i="13"/>
  <c r="T18" i="13"/>
  <c r="T26" i="13"/>
  <c r="T51" i="13"/>
  <c r="T57" i="13"/>
  <c r="T67" i="13"/>
  <c r="T71" i="13"/>
  <c r="T73" i="13"/>
  <c r="T79" i="13"/>
  <c r="T85" i="13"/>
  <c r="T89" i="13"/>
  <c r="T105" i="13"/>
  <c r="T113" i="13"/>
  <c r="T121" i="13"/>
  <c r="T129" i="13"/>
  <c r="T139" i="13"/>
  <c r="T180" i="13"/>
  <c r="T196" i="13"/>
  <c r="T200" i="13"/>
  <c r="T202" i="13"/>
  <c r="T206" i="13"/>
  <c r="T227" i="13"/>
  <c r="T231" i="13"/>
  <c r="T235" i="13"/>
  <c r="T241" i="13"/>
  <c r="T246" i="13"/>
  <c r="T250" i="13"/>
  <c r="T268" i="13"/>
  <c r="T278" i="13"/>
  <c r="T292" i="13"/>
  <c r="T294" i="13"/>
  <c r="T296" i="13"/>
  <c r="T298" i="13"/>
  <c r="T300" i="13"/>
  <c r="T302" i="13"/>
  <c r="T306" i="13"/>
  <c r="T312" i="13"/>
  <c r="T7" i="13"/>
  <c r="G315" i="13"/>
  <c r="T17" i="13"/>
  <c r="T23" i="13"/>
  <c r="T40" i="13"/>
  <c r="T50" i="13"/>
  <c r="T52" i="13"/>
  <c r="T54" i="13"/>
  <c r="T58" i="13"/>
  <c r="T60" i="13"/>
  <c r="T62" i="13"/>
  <c r="T66" i="13"/>
  <c r="T74" i="13"/>
  <c r="T110" i="13"/>
  <c r="T136" i="13"/>
  <c r="T144" i="13"/>
  <c r="T152" i="13"/>
  <c r="T164" i="13"/>
  <c r="T166" i="13"/>
  <c r="T179" i="13"/>
  <c r="T181" i="13"/>
  <c r="T187" i="13"/>
  <c r="T189" i="13"/>
  <c r="T191" i="13"/>
  <c r="T195" i="13"/>
  <c r="T197" i="13"/>
  <c r="T203" i="13"/>
  <c r="T205" i="13"/>
  <c r="T230" i="13"/>
  <c r="T234" i="13"/>
  <c r="T238" i="13"/>
  <c r="T249" i="13"/>
  <c r="T257" i="13"/>
  <c r="T267" i="13"/>
  <c r="T275" i="13"/>
  <c r="T277" i="13"/>
  <c r="T281" i="13"/>
  <c r="T289" i="13"/>
  <c r="T10" i="13"/>
  <c r="T14" i="13"/>
  <c r="T22" i="13"/>
  <c r="T65" i="13"/>
  <c r="T69" i="13"/>
  <c r="T77" i="13"/>
  <c r="T8" i="13"/>
  <c r="T12" i="13"/>
  <c r="T16" i="13"/>
  <c r="T28" i="13"/>
  <c r="T32" i="13"/>
  <c r="T35" i="13"/>
  <c r="T37" i="13"/>
  <c r="T45" i="13"/>
  <c r="T83" i="13"/>
  <c r="T87" i="13"/>
  <c r="T93" i="13"/>
  <c r="T95" i="13"/>
  <c r="T99" i="13"/>
  <c r="T111" i="13"/>
  <c r="T115" i="13"/>
  <c r="T119" i="13"/>
  <c r="T127" i="13"/>
  <c r="T131" i="13"/>
  <c r="T133" i="13"/>
  <c r="T141" i="13"/>
  <c r="T149" i="13"/>
  <c r="T157" i="13"/>
  <c r="T174" i="13"/>
  <c r="T214" i="13"/>
  <c r="T216" i="13"/>
  <c r="T225" i="13"/>
  <c r="T258" i="13"/>
  <c r="T260" i="13"/>
  <c r="T262" i="13"/>
  <c r="T284" i="13"/>
  <c r="T286" i="13"/>
  <c r="T290" i="13"/>
  <c r="T310" i="13"/>
  <c r="D315" i="13"/>
  <c r="I315" i="13"/>
  <c r="T11" i="13"/>
  <c r="T15" i="13"/>
  <c r="T25" i="13"/>
  <c r="T34" i="13"/>
  <c r="T68" i="13"/>
  <c r="T72" i="13"/>
  <c r="T76" i="13"/>
  <c r="T86" i="13"/>
  <c r="T94" i="13"/>
  <c r="T114" i="13"/>
  <c r="T122" i="13"/>
  <c r="T130" i="13"/>
  <c r="T171" i="13"/>
  <c r="T199" i="13"/>
  <c r="T215" i="13"/>
  <c r="T220" i="13"/>
  <c r="T240" i="13"/>
  <c r="T245" i="13"/>
  <c r="T253" i="13"/>
  <c r="T305" i="13"/>
  <c r="T313" i="13"/>
  <c r="G4" i="33"/>
  <c r="G5" i="33"/>
  <c r="H315" i="13" l="1"/>
  <c r="K7" i="13"/>
  <c r="C5" i="32"/>
  <c r="B6" i="33"/>
  <c r="A6" i="33"/>
  <c r="B6" i="32"/>
  <c r="B314" i="32" s="1"/>
  <c r="A6" i="32"/>
  <c r="B7" i="19"/>
  <c r="B6" i="54" s="1"/>
  <c r="A7" i="19"/>
  <c r="A6" i="54" s="1"/>
  <c r="O7" i="19"/>
  <c r="R315" i="42"/>
  <c r="Q315" i="42"/>
  <c r="P315" i="42"/>
  <c r="O315" i="42"/>
  <c r="B315" i="42"/>
  <c r="B314" i="54" l="1"/>
  <c r="F59" i="48"/>
  <c r="E59" i="48"/>
  <c r="D59" i="48"/>
  <c r="B315" i="19"/>
  <c r="B314" i="33"/>
  <c r="C59" i="48" l="1"/>
  <c r="E5" i="37"/>
  <c r="E8" i="36"/>
  <c r="D25" i="40"/>
  <c r="F8" i="36" s="1"/>
  <c r="E25" i="40"/>
  <c r="G8" i="36" s="1"/>
  <c r="F25" i="40"/>
  <c r="H8" i="36" s="1"/>
  <c r="G25" i="40"/>
  <c r="I8" i="36" s="1"/>
  <c r="H25" i="40"/>
  <c r="J8" i="36" s="1"/>
  <c r="D8" i="36"/>
  <c r="C5" i="9" l="1"/>
  <c r="N315" i="19"/>
  <c r="C7" i="19"/>
  <c r="D7" i="19"/>
  <c r="E7" i="19"/>
  <c r="F7" i="19"/>
  <c r="E11" i="49"/>
  <c r="E15" i="49"/>
  <c r="E19" i="49"/>
  <c r="E23" i="49"/>
  <c r="E24" i="49"/>
  <c r="E27" i="49"/>
  <c r="E28" i="49"/>
  <c r="E31" i="49"/>
  <c r="E34" i="49"/>
  <c r="E38" i="49"/>
  <c r="E42" i="49"/>
  <c r="E54" i="49"/>
  <c r="E62" i="49"/>
  <c r="E66" i="49"/>
  <c r="E70" i="49"/>
  <c r="E74" i="49"/>
  <c r="E78" i="49"/>
  <c r="E82" i="49"/>
  <c r="E85" i="49"/>
  <c r="E86" i="49"/>
  <c r="E90" i="49"/>
  <c r="E94" i="49"/>
  <c r="E95" i="49"/>
  <c r="E98" i="49"/>
  <c r="E102" i="49"/>
  <c r="E106" i="49"/>
  <c r="E110" i="49"/>
  <c r="E114" i="49"/>
  <c r="E117" i="49"/>
  <c r="E118" i="49"/>
  <c r="E119" i="49"/>
  <c r="E120" i="49"/>
  <c r="E122" i="49"/>
  <c r="E126" i="49"/>
  <c r="E127" i="49"/>
  <c r="E130" i="49"/>
  <c r="E131" i="49"/>
  <c r="E133" i="49"/>
  <c r="E135" i="49"/>
  <c r="E138" i="49"/>
  <c r="E141" i="49"/>
  <c r="E142" i="49"/>
  <c r="E145" i="49"/>
  <c r="E148" i="49"/>
  <c r="E151" i="49"/>
  <c r="E167" i="49"/>
  <c r="E170" i="49"/>
  <c r="E172" i="49"/>
  <c r="E179" i="49"/>
  <c r="E182" i="49"/>
  <c r="E194" i="49"/>
  <c r="E195" i="49"/>
  <c r="E196" i="49"/>
  <c r="E198" i="49"/>
  <c r="E214" i="49"/>
  <c r="E219" i="49"/>
  <c r="E220" i="49"/>
  <c r="E221" i="49"/>
  <c r="E226" i="49"/>
  <c r="E228" i="49"/>
  <c r="E233" i="49"/>
  <c r="E238" i="49"/>
  <c r="E241" i="49"/>
  <c r="E242" i="49"/>
  <c r="E244" i="49"/>
  <c r="E245" i="49"/>
  <c r="E255" i="49"/>
  <c r="E256" i="49"/>
  <c r="E260" i="49"/>
  <c r="E268" i="49"/>
  <c r="E269" i="49"/>
  <c r="E275" i="49"/>
  <c r="E287" i="49"/>
  <c r="E288" i="49"/>
  <c r="E292" i="49"/>
  <c r="E295" i="49"/>
  <c r="E296" i="49"/>
  <c r="E300" i="49"/>
  <c r="E303" i="49"/>
  <c r="E311" i="49"/>
  <c r="E312" i="49"/>
  <c r="D5" i="32"/>
  <c r="AA7" i="19"/>
  <c r="D6" i="49" s="1"/>
  <c r="D7" i="49"/>
  <c r="D8" i="49"/>
  <c r="D9" i="49"/>
  <c r="D10" i="49"/>
  <c r="D11" i="49"/>
  <c r="D12" i="49"/>
  <c r="D13" i="49"/>
  <c r="D14" i="49"/>
  <c r="D1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45" i="49"/>
  <c r="D46" i="49"/>
  <c r="D47" i="49"/>
  <c r="D48" i="49"/>
  <c r="D49" i="49"/>
  <c r="D50" i="49"/>
  <c r="D51" i="49"/>
  <c r="D52" i="49"/>
  <c r="D53" i="49"/>
  <c r="D54" i="49"/>
  <c r="D55" i="49"/>
  <c r="D56" i="49"/>
  <c r="D57" i="49"/>
  <c r="D58" i="49"/>
  <c r="D59" i="49"/>
  <c r="D60" i="49"/>
  <c r="D61" i="49"/>
  <c r="D62" i="49"/>
  <c r="D63" i="49"/>
  <c r="D64" i="49"/>
  <c r="D65" i="49"/>
  <c r="D66" i="49"/>
  <c r="D67" i="49"/>
  <c r="D68" i="49"/>
  <c r="D69" i="49"/>
  <c r="D70" i="49"/>
  <c r="D71" i="49"/>
  <c r="D72" i="49"/>
  <c r="D73" i="49"/>
  <c r="D74" i="49"/>
  <c r="D75" i="49"/>
  <c r="D76" i="49"/>
  <c r="D77" i="49"/>
  <c r="D78" i="49"/>
  <c r="D79" i="49"/>
  <c r="D80" i="49"/>
  <c r="D81" i="49"/>
  <c r="D82" i="49"/>
  <c r="D83" i="49"/>
  <c r="D84" i="49"/>
  <c r="D85" i="49"/>
  <c r="D86" i="49"/>
  <c r="D87" i="49"/>
  <c r="D88" i="49"/>
  <c r="D89" i="49"/>
  <c r="D90" i="49"/>
  <c r="D91" i="49"/>
  <c r="D92" i="49"/>
  <c r="D93" i="49"/>
  <c r="D94" i="49"/>
  <c r="D95" i="49"/>
  <c r="D96" i="49"/>
  <c r="D97" i="49"/>
  <c r="D98" i="49"/>
  <c r="D99" i="49"/>
  <c r="D100" i="49"/>
  <c r="D101" i="49"/>
  <c r="D102" i="49"/>
  <c r="D103" i="49"/>
  <c r="D104" i="49"/>
  <c r="D105" i="49"/>
  <c r="D106" i="49"/>
  <c r="D107" i="49"/>
  <c r="D108" i="49"/>
  <c r="D109" i="49"/>
  <c r="D110" i="49"/>
  <c r="D111" i="49"/>
  <c r="D112" i="49"/>
  <c r="D113" i="49"/>
  <c r="D114" i="49"/>
  <c r="D115" i="49"/>
  <c r="D116" i="49"/>
  <c r="D117" i="49"/>
  <c r="D118" i="49"/>
  <c r="D119" i="49"/>
  <c r="D120" i="49"/>
  <c r="D121" i="49"/>
  <c r="D122" i="49"/>
  <c r="D123" i="49"/>
  <c r="D124" i="49"/>
  <c r="D125" i="49"/>
  <c r="D126" i="49"/>
  <c r="D127" i="49"/>
  <c r="D128" i="49"/>
  <c r="D129" i="49"/>
  <c r="D130" i="49"/>
  <c r="D131" i="49"/>
  <c r="D132" i="49"/>
  <c r="D133" i="49"/>
  <c r="D134" i="49"/>
  <c r="D135" i="49"/>
  <c r="D136" i="49"/>
  <c r="D137" i="49"/>
  <c r="D138" i="49"/>
  <c r="D139" i="49"/>
  <c r="D140" i="49"/>
  <c r="D141" i="49"/>
  <c r="D142" i="49"/>
  <c r="D143" i="49"/>
  <c r="D144" i="49"/>
  <c r="D145" i="49"/>
  <c r="D146" i="49"/>
  <c r="D147" i="49"/>
  <c r="D148" i="49"/>
  <c r="D149" i="49"/>
  <c r="D150" i="49"/>
  <c r="D151" i="49"/>
  <c r="D152" i="49"/>
  <c r="D153" i="49"/>
  <c r="D154" i="49"/>
  <c r="D155" i="49"/>
  <c r="D156" i="49"/>
  <c r="D157" i="49"/>
  <c r="D158" i="49"/>
  <c r="D159" i="49"/>
  <c r="D160" i="49"/>
  <c r="D161" i="49"/>
  <c r="D162" i="49"/>
  <c r="D163" i="49"/>
  <c r="D164" i="49"/>
  <c r="D165" i="49"/>
  <c r="D166" i="49"/>
  <c r="D167" i="49"/>
  <c r="D168" i="49"/>
  <c r="D170" i="49"/>
  <c r="D171" i="49"/>
  <c r="D172" i="49"/>
  <c r="D173" i="49"/>
  <c r="D174" i="49"/>
  <c r="D175" i="49"/>
  <c r="D176" i="49"/>
  <c r="D177" i="49"/>
  <c r="D178" i="49"/>
  <c r="D179" i="49"/>
  <c r="D180" i="49"/>
  <c r="D181" i="49"/>
  <c r="D182" i="49"/>
  <c r="D183" i="49"/>
  <c r="D184" i="49"/>
  <c r="D185" i="49"/>
  <c r="D186" i="49"/>
  <c r="D187" i="49"/>
  <c r="D188" i="49"/>
  <c r="D189" i="49"/>
  <c r="D190" i="49"/>
  <c r="D191" i="49"/>
  <c r="D192" i="49"/>
  <c r="D193" i="49"/>
  <c r="D194" i="49"/>
  <c r="D195" i="49"/>
  <c r="D196" i="49"/>
  <c r="D197" i="49"/>
  <c r="D198" i="49"/>
  <c r="D199" i="49"/>
  <c r="D200" i="49"/>
  <c r="D201" i="49"/>
  <c r="D202" i="49"/>
  <c r="D203" i="49"/>
  <c r="D204" i="49"/>
  <c r="D205" i="49"/>
  <c r="D206" i="49"/>
  <c r="D207" i="49"/>
  <c r="D208" i="49"/>
  <c r="D209" i="49"/>
  <c r="D210" i="49"/>
  <c r="D211" i="49"/>
  <c r="D212" i="49"/>
  <c r="D213" i="49"/>
  <c r="D214" i="49"/>
  <c r="D215" i="49"/>
  <c r="D216" i="49"/>
  <c r="D217" i="49"/>
  <c r="D219" i="49"/>
  <c r="D220" i="49"/>
  <c r="D221" i="49"/>
  <c r="D222" i="49"/>
  <c r="D223" i="49"/>
  <c r="D224" i="49"/>
  <c r="D225" i="49"/>
  <c r="D226" i="49"/>
  <c r="D227" i="49"/>
  <c r="D228" i="49"/>
  <c r="D229" i="49"/>
  <c r="D230" i="49"/>
  <c r="D231" i="49"/>
  <c r="D232" i="49"/>
  <c r="D233" i="49"/>
  <c r="D234" i="49"/>
  <c r="D235" i="49"/>
  <c r="D236" i="49"/>
  <c r="D237" i="49"/>
  <c r="D238" i="49"/>
  <c r="D239" i="49"/>
  <c r="D240" i="49"/>
  <c r="D241" i="49"/>
  <c r="D242" i="49"/>
  <c r="D244" i="49"/>
  <c r="D245" i="49"/>
  <c r="D246" i="49"/>
  <c r="D247" i="49"/>
  <c r="D248" i="49"/>
  <c r="D249" i="49"/>
  <c r="D250" i="49"/>
  <c r="D251" i="49"/>
  <c r="D252" i="49"/>
  <c r="D253" i="49"/>
  <c r="D254" i="49"/>
  <c r="D255" i="49"/>
  <c r="D256" i="49"/>
  <c r="D257" i="49"/>
  <c r="D258" i="49"/>
  <c r="D259" i="49"/>
  <c r="D260" i="49"/>
  <c r="D261" i="49"/>
  <c r="D262" i="49"/>
  <c r="D263" i="49"/>
  <c r="D264" i="49"/>
  <c r="D265" i="49"/>
  <c r="D266" i="49"/>
  <c r="D267" i="49"/>
  <c r="D268" i="49"/>
  <c r="D269" i="49"/>
  <c r="D270" i="49"/>
  <c r="D271" i="49"/>
  <c r="D272" i="49"/>
  <c r="D273" i="49"/>
  <c r="D274" i="49"/>
  <c r="D275" i="49"/>
  <c r="D276" i="49"/>
  <c r="D277" i="49"/>
  <c r="D278" i="49"/>
  <c r="D279" i="49"/>
  <c r="D280" i="49"/>
  <c r="D281" i="49"/>
  <c r="D282" i="49"/>
  <c r="D283" i="49"/>
  <c r="D284" i="49"/>
  <c r="D285" i="49"/>
  <c r="D286" i="49"/>
  <c r="D287" i="49"/>
  <c r="D288" i="49"/>
  <c r="D289" i="49"/>
  <c r="D290" i="49"/>
  <c r="D291" i="49"/>
  <c r="D292" i="49"/>
  <c r="D293" i="49"/>
  <c r="D294" i="49"/>
  <c r="D295" i="49"/>
  <c r="D296" i="49"/>
  <c r="D297" i="49"/>
  <c r="D298" i="49"/>
  <c r="D299" i="49"/>
  <c r="D300" i="49"/>
  <c r="D301" i="49"/>
  <c r="D302" i="49"/>
  <c r="D303" i="49"/>
  <c r="D304" i="49"/>
  <c r="D305" i="49"/>
  <c r="D306" i="49"/>
  <c r="D307" i="49"/>
  <c r="D308" i="49"/>
  <c r="D309" i="49"/>
  <c r="D310" i="49"/>
  <c r="D311" i="49"/>
  <c r="D312" i="49"/>
  <c r="D313" i="49"/>
  <c r="E5" i="36"/>
  <c r="G5" i="36"/>
  <c r="I5" i="36"/>
  <c r="H5" i="36"/>
  <c r="G6" i="36"/>
  <c r="C7" i="34"/>
  <c r="D5" i="36"/>
  <c r="D6" i="36"/>
  <c r="E6" i="36"/>
  <c r="F5" i="36"/>
  <c r="F6" i="36"/>
  <c r="H6" i="36"/>
  <c r="J5" i="36"/>
  <c r="I6" i="36"/>
  <c r="I5" i="39"/>
  <c r="A6" i="25"/>
  <c r="B6" i="25"/>
  <c r="G16" i="36" l="1"/>
  <c r="G19" i="36"/>
  <c r="G32" i="36"/>
  <c r="G35" i="36"/>
  <c r="G48" i="36"/>
  <c r="G51" i="36"/>
  <c r="G62" i="36"/>
  <c r="G70" i="36"/>
  <c r="G75" i="36"/>
  <c r="G82" i="36"/>
  <c r="G90" i="36"/>
  <c r="G98" i="36"/>
  <c r="G106" i="36"/>
  <c r="G111" i="36"/>
  <c r="G115" i="36"/>
  <c r="G121" i="36"/>
  <c r="G123" i="36"/>
  <c r="G23" i="36"/>
  <c r="G39" i="36"/>
  <c r="G55" i="36"/>
  <c r="G127" i="36"/>
  <c r="G135" i="36"/>
  <c r="G155" i="36"/>
  <c r="G175" i="36"/>
  <c r="G191" i="36"/>
  <c r="G199" i="36"/>
  <c r="G211" i="36"/>
  <c r="G263" i="36"/>
  <c r="G271" i="36"/>
  <c r="G296" i="36"/>
  <c r="G300" i="36"/>
  <c r="G316" i="36"/>
  <c r="G95" i="36"/>
  <c r="G101" i="36"/>
  <c r="G143" i="36"/>
  <c r="G148" i="36"/>
  <c r="G167" i="36"/>
  <c r="G171" i="36"/>
  <c r="G174" i="36"/>
  <c r="G187" i="36"/>
  <c r="G215" i="36"/>
  <c r="G234" i="36"/>
  <c r="G239" i="36"/>
  <c r="G240" i="36"/>
  <c r="G250" i="36"/>
  <c r="G255" i="36"/>
  <c r="G256" i="36"/>
  <c r="G259" i="36"/>
  <c r="G267" i="36"/>
  <c r="G278" i="36"/>
  <c r="G281" i="36"/>
  <c r="G288" i="36"/>
  <c r="G299" i="36"/>
  <c r="G306" i="36"/>
  <c r="G12" i="36"/>
  <c r="G44" i="36"/>
  <c r="G59" i="36"/>
  <c r="G87" i="36"/>
  <c r="G93" i="36"/>
  <c r="G154" i="36"/>
  <c r="G228" i="36"/>
  <c r="G238" i="36"/>
  <c r="G244" i="36"/>
  <c r="G254" i="36"/>
  <c r="G282" i="36"/>
  <c r="G285" i="36"/>
  <c r="G315" i="36"/>
  <c r="G11" i="36"/>
  <c r="G31" i="36"/>
  <c r="G67" i="36"/>
  <c r="G130" i="36"/>
  <c r="G159" i="36"/>
  <c r="G160" i="36"/>
  <c r="G246" i="36"/>
  <c r="G252" i="36"/>
  <c r="G260" i="36"/>
  <c r="G303" i="36"/>
  <c r="G307" i="36"/>
  <c r="G40" i="36"/>
  <c r="G74" i="36"/>
  <c r="G85" i="36"/>
  <c r="G117" i="36"/>
  <c r="G144" i="36"/>
  <c r="G152" i="36"/>
  <c r="G168" i="36"/>
  <c r="G195" i="36"/>
  <c r="G223" i="36"/>
  <c r="G235" i="36"/>
  <c r="G248" i="36"/>
  <c r="G258" i="36"/>
  <c r="G283" i="36"/>
  <c r="G286" i="36"/>
  <c r="G295" i="36"/>
  <c r="G308" i="36"/>
  <c r="G310" i="36"/>
  <c r="G77" i="36"/>
  <c r="G79" i="36"/>
  <c r="G182" i="36"/>
  <c r="G230" i="36"/>
  <c r="G231" i="36"/>
  <c r="G242" i="36"/>
  <c r="G274" i="36"/>
  <c r="G279" i="36"/>
  <c r="G284" i="36"/>
  <c r="G302" i="36"/>
  <c r="G86" i="36"/>
  <c r="G138" i="36"/>
  <c r="G162" i="36"/>
  <c r="G179" i="36"/>
  <c r="G183" i="36"/>
  <c r="G232" i="36"/>
  <c r="G251" i="36"/>
  <c r="G275" i="36"/>
  <c r="G292" i="36"/>
  <c r="G203" i="36"/>
  <c r="G204" i="36"/>
  <c r="G207" i="36"/>
  <c r="G219" i="36"/>
  <c r="G236" i="36"/>
  <c r="G103" i="36"/>
  <c r="G200" i="36"/>
  <c r="G209" i="36"/>
  <c r="G134" i="36"/>
  <c r="G28" i="36"/>
  <c r="G119" i="36"/>
  <c r="G205" i="36"/>
  <c r="G217" i="36"/>
  <c r="G43" i="36"/>
  <c r="G190" i="36"/>
  <c r="G172" i="36"/>
  <c r="G94" i="36"/>
  <c r="G280" i="36"/>
  <c r="G221" i="36"/>
  <c r="G151" i="36"/>
  <c r="G225" i="36"/>
  <c r="G201" i="36"/>
  <c r="G262" i="36"/>
  <c r="G276" i="36"/>
  <c r="G266" i="36"/>
  <c r="G120" i="36"/>
  <c r="G290" i="36"/>
  <c r="G206" i="36"/>
  <c r="G192" i="36"/>
  <c r="G146" i="36"/>
  <c r="G52" i="36"/>
  <c r="G193" i="36"/>
  <c r="G163" i="36"/>
  <c r="G131" i="36"/>
  <c r="G312" i="36"/>
  <c r="G287" i="36"/>
  <c r="G227" i="36"/>
  <c r="G47" i="36"/>
  <c r="G304" i="36"/>
  <c r="G158" i="36"/>
  <c r="G66" i="36"/>
  <c r="G118" i="36"/>
  <c r="G311" i="36"/>
  <c r="G169" i="36"/>
  <c r="G147" i="36"/>
  <c r="G142" i="36"/>
  <c r="G63" i="36"/>
  <c r="G20" i="36"/>
  <c r="G216" i="36"/>
  <c r="G247" i="36"/>
  <c r="G139" i="36"/>
  <c r="G297" i="36"/>
  <c r="G224" i="36"/>
  <c r="G164" i="36"/>
  <c r="G140" i="36"/>
  <c r="G102" i="36"/>
  <c r="G78" i="36"/>
  <c r="G272" i="36"/>
  <c r="G196" i="36"/>
  <c r="G153" i="36"/>
  <c r="G145" i="36"/>
  <c r="G27" i="36"/>
  <c r="G291" i="36"/>
  <c r="G243" i="36"/>
  <c r="G173" i="36"/>
  <c r="G110" i="36"/>
  <c r="G91" i="36"/>
  <c r="G156" i="36"/>
  <c r="G141" i="36"/>
  <c r="G83" i="36"/>
  <c r="G294" i="36"/>
  <c r="G186" i="36"/>
  <c r="G73" i="36"/>
  <c r="G314" i="36"/>
  <c r="G269" i="36"/>
  <c r="G218" i="36"/>
  <c r="G194" i="36"/>
  <c r="G99" i="36"/>
  <c r="G36" i="36"/>
  <c r="G222" i="36"/>
  <c r="G108" i="36"/>
  <c r="G64" i="36"/>
  <c r="G208" i="36"/>
  <c r="G170" i="36"/>
  <c r="G24" i="36"/>
  <c r="G212" i="36"/>
  <c r="G202" i="36"/>
  <c r="G150" i="36"/>
  <c r="G56" i="36"/>
  <c r="G166" i="36"/>
  <c r="G72" i="36"/>
  <c r="G15" i="36"/>
  <c r="G133" i="36"/>
  <c r="G114" i="36"/>
  <c r="G76" i="36"/>
  <c r="G220" i="36"/>
  <c r="G309" i="36"/>
  <c r="G185" i="36"/>
  <c r="G165" i="36"/>
  <c r="G105" i="36"/>
  <c r="G97" i="36"/>
  <c r="G69" i="36"/>
  <c r="G177" i="36"/>
  <c r="G270" i="36"/>
  <c r="G245" i="36"/>
  <c r="G229" i="36"/>
  <c r="G198" i="36"/>
  <c r="G180" i="36"/>
  <c r="G132" i="36"/>
  <c r="G84" i="36"/>
  <c r="G125" i="36"/>
  <c r="G104" i="36"/>
  <c r="G88" i="36"/>
  <c r="G61" i="36"/>
  <c r="G58" i="36"/>
  <c r="G53" i="36"/>
  <c r="G45" i="36"/>
  <c r="G37" i="36"/>
  <c r="G29" i="36"/>
  <c r="G21" i="36"/>
  <c r="G13" i="36"/>
  <c r="G178" i="36"/>
  <c r="G124" i="36"/>
  <c r="G157" i="36"/>
  <c r="G68" i="36"/>
  <c r="G289" i="36"/>
  <c r="G268" i="36"/>
  <c r="G181" i="36"/>
  <c r="G149" i="36"/>
  <c r="G273" i="36"/>
  <c r="G257" i="36"/>
  <c r="G241" i="36"/>
  <c r="G226" i="36"/>
  <c r="G210" i="36"/>
  <c r="G176" i="36"/>
  <c r="G112" i="36"/>
  <c r="G92" i="36"/>
  <c r="G107" i="36"/>
  <c r="G54" i="36"/>
  <c r="G46" i="36"/>
  <c r="G38" i="36"/>
  <c r="G30" i="36"/>
  <c r="G22" i="36"/>
  <c r="G14" i="36"/>
  <c r="G213" i="36"/>
  <c r="G298" i="36"/>
  <c r="G214" i="36"/>
  <c r="G277" i="36"/>
  <c r="G81" i="36"/>
  <c r="G305" i="36"/>
  <c r="G129" i="36"/>
  <c r="G189" i="36"/>
  <c r="G301" i="36"/>
  <c r="G253" i="36"/>
  <c r="G237" i="36"/>
  <c r="G188" i="36"/>
  <c r="G126" i="36"/>
  <c r="G113" i="36"/>
  <c r="G100" i="36"/>
  <c r="G128" i="36"/>
  <c r="G96" i="36"/>
  <c r="G57" i="36"/>
  <c r="G49" i="36"/>
  <c r="G41" i="36"/>
  <c r="G33" i="36"/>
  <c r="G25" i="36"/>
  <c r="G17" i="36"/>
  <c r="G197" i="36"/>
  <c r="G161" i="36"/>
  <c r="G136" i="36"/>
  <c r="G71" i="36"/>
  <c r="G137" i="36"/>
  <c r="G80" i="36"/>
  <c r="G60" i="36"/>
  <c r="G313" i="36"/>
  <c r="G265" i="36"/>
  <c r="G89" i="36"/>
  <c r="G293" i="36"/>
  <c r="G264" i="36"/>
  <c r="G116" i="36"/>
  <c r="G261" i="36"/>
  <c r="G249" i="36"/>
  <c r="G233" i="36"/>
  <c r="G184" i="36"/>
  <c r="G122" i="36"/>
  <c r="G109" i="36"/>
  <c r="G65" i="36"/>
  <c r="G50" i="36"/>
  <c r="G42" i="36"/>
  <c r="G34" i="36"/>
  <c r="G26" i="36"/>
  <c r="G18" i="36"/>
  <c r="G10" i="36"/>
  <c r="D93" i="36"/>
  <c r="D127" i="36"/>
  <c r="D135" i="36"/>
  <c r="D191" i="36"/>
  <c r="D199" i="36"/>
  <c r="D238" i="36"/>
  <c r="D254" i="36"/>
  <c r="D282" i="36"/>
  <c r="D296" i="36"/>
  <c r="D22" i="36"/>
  <c r="D23" i="36"/>
  <c r="D54" i="36"/>
  <c r="D55" i="36"/>
  <c r="D85" i="36"/>
  <c r="D122" i="36"/>
  <c r="D134" i="36"/>
  <c r="D175" i="36"/>
  <c r="D190" i="36"/>
  <c r="D242" i="36"/>
  <c r="D258" i="36"/>
  <c r="D286" i="36"/>
  <c r="D295" i="36"/>
  <c r="D300" i="36"/>
  <c r="D38" i="36"/>
  <c r="D39" i="36"/>
  <c r="D154" i="36"/>
  <c r="D234" i="36"/>
  <c r="D283" i="36"/>
  <c r="D291" i="36"/>
  <c r="D306" i="36"/>
  <c r="D315" i="36"/>
  <c r="D42" i="36"/>
  <c r="D43" i="36"/>
  <c r="D86" i="36"/>
  <c r="D125" i="36"/>
  <c r="D142" i="36"/>
  <c r="D147" i="36"/>
  <c r="D155" i="36"/>
  <c r="D166" i="36"/>
  <c r="D171" i="36"/>
  <c r="D182" i="36"/>
  <c r="D197" i="36"/>
  <c r="D230" i="36"/>
  <c r="D239" i="36"/>
  <c r="D259" i="36"/>
  <c r="D269" i="36"/>
  <c r="D299" i="36"/>
  <c r="D316" i="36"/>
  <c r="D78" i="36"/>
  <c r="D121" i="36"/>
  <c r="D143" i="36"/>
  <c r="D167" i="36"/>
  <c r="D250" i="36"/>
  <c r="D255" i="36"/>
  <c r="D271" i="36"/>
  <c r="D273" i="36"/>
  <c r="D278" i="36"/>
  <c r="D288" i="36"/>
  <c r="D10" i="36"/>
  <c r="D11" i="36"/>
  <c r="D227" i="36"/>
  <c r="D246" i="36"/>
  <c r="D101" i="36"/>
  <c r="D174" i="36"/>
  <c r="D194" i="36"/>
  <c r="D211" i="36"/>
  <c r="D263" i="36"/>
  <c r="D312" i="36"/>
  <c r="D314" i="36"/>
  <c r="D118" i="36"/>
  <c r="D287" i="36"/>
  <c r="D151" i="36"/>
  <c r="D304" i="36"/>
  <c r="D235" i="36"/>
  <c r="D170" i="36"/>
  <c r="D62" i="36"/>
  <c r="D52" i="36"/>
  <c r="D307" i="36"/>
  <c r="D274" i="36"/>
  <c r="D270" i="36"/>
  <c r="D231" i="36"/>
  <c r="D280" i="36"/>
  <c r="D243" i="36"/>
  <c r="D66" i="36"/>
  <c r="D225" i="36"/>
  <c r="D276" i="36"/>
  <c r="D247" i="36"/>
  <c r="D156" i="36"/>
  <c r="D139" i="36"/>
  <c r="D35" i="36"/>
  <c r="D201" i="36"/>
  <c r="D47" i="36"/>
  <c r="D266" i="36"/>
  <c r="D302" i="36"/>
  <c r="D313" i="36"/>
  <c r="D205" i="36"/>
  <c r="D110" i="36"/>
  <c r="D90" i="36"/>
  <c r="D224" i="36"/>
  <c r="D179" i="36"/>
  <c r="D150" i="36"/>
  <c r="D102" i="36"/>
  <c r="D83" i="36"/>
  <c r="D14" i="36"/>
  <c r="D310" i="36"/>
  <c r="D308" i="36"/>
  <c r="D298" i="36"/>
  <c r="D203" i="36"/>
  <c r="D115" i="36"/>
  <c r="D27" i="36"/>
  <c r="D303" i="36"/>
  <c r="D275" i="36"/>
  <c r="D267" i="36"/>
  <c r="D279" i="36"/>
  <c r="D221" i="36"/>
  <c r="D146" i="36"/>
  <c r="D24" i="36"/>
  <c r="D262" i="36"/>
  <c r="D91" i="36"/>
  <c r="D34" i="36"/>
  <c r="D131" i="36"/>
  <c r="D212" i="36"/>
  <c r="D183" i="36"/>
  <c r="D311" i="36"/>
  <c r="D292" i="36"/>
  <c r="D98" i="36"/>
  <c r="D215" i="36"/>
  <c r="D209" i="36"/>
  <c r="D123" i="36"/>
  <c r="D208" i="36"/>
  <c r="D58" i="36"/>
  <c r="D163" i="36"/>
  <c r="D251" i="36"/>
  <c r="D119" i="36"/>
  <c r="D94" i="36"/>
  <c r="D284" i="36"/>
  <c r="D223" i="36"/>
  <c r="D152" i="36"/>
  <c r="D63" i="36"/>
  <c r="D20" i="36"/>
  <c r="D301" i="36"/>
  <c r="D260" i="36"/>
  <c r="D172" i="36"/>
  <c r="D106" i="36"/>
  <c r="D18" i="36"/>
  <c r="D293" i="36"/>
  <c r="D290" i="36"/>
  <c r="D200" i="36"/>
  <c r="D193" i="36"/>
  <c r="D138" i="36"/>
  <c r="D133" i="36"/>
  <c r="D114" i="36"/>
  <c r="D51" i="36"/>
  <c r="D309" i="36"/>
  <c r="D289" i="36"/>
  <c r="D281" i="36"/>
  <c r="D248" i="36"/>
  <c r="D232" i="36"/>
  <c r="D130" i="36"/>
  <c r="D158" i="36"/>
  <c r="D109" i="36"/>
  <c r="D195" i="36"/>
  <c r="D277" i="36"/>
  <c r="D46" i="36"/>
  <c r="D207" i="36"/>
  <c r="D164" i="36"/>
  <c r="D140" i="36"/>
  <c r="D108" i="36"/>
  <c r="D56" i="36"/>
  <c r="D26" i="36"/>
  <c r="D305" i="36"/>
  <c r="D294" i="36"/>
  <c r="D186" i="36"/>
  <c r="D178" i="36"/>
  <c r="D15" i="36"/>
  <c r="D216" i="36"/>
  <c r="D213" i="36"/>
  <c r="D50" i="36"/>
  <c r="D30" i="36"/>
  <c r="D220" i="36"/>
  <c r="D217" i="36"/>
  <c r="D162" i="36"/>
  <c r="D159" i="36"/>
  <c r="D71" i="36"/>
  <c r="D31" i="36"/>
  <c r="D244" i="36"/>
  <c r="D228" i="36"/>
  <c r="D148" i="36"/>
  <c r="D48" i="36"/>
  <c r="D32" i="36"/>
  <c r="D16" i="36"/>
  <c r="D187" i="36"/>
  <c r="D70" i="36"/>
  <c r="D19" i="36"/>
  <c r="D285" i="36"/>
  <c r="D240" i="36"/>
  <c r="D168" i="36"/>
  <c r="D117" i="36"/>
  <c r="D103" i="36"/>
  <c r="D79" i="36"/>
  <c r="D59" i="36"/>
  <c r="D28" i="36"/>
  <c r="D264" i="36"/>
  <c r="D233" i="36"/>
  <c r="D229" i="36"/>
  <c r="D222" i="36"/>
  <c r="D218" i="36"/>
  <c r="D181" i="36"/>
  <c r="D265" i="36"/>
  <c r="D161" i="36"/>
  <c r="D196" i="36"/>
  <c r="D84" i="36"/>
  <c r="D104" i="36"/>
  <c r="D88" i="36"/>
  <c r="D107" i="36"/>
  <c r="D99" i="36"/>
  <c r="D219" i="36"/>
  <c r="D82" i="36"/>
  <c r="D236" i="36"/>
  <c r="D95" i="36"/>
  <c r="D226" i="36"/>
  <c r="D81" i="36"/>
  <c r="D189" i="36"/>
  <c r="D210" i="36"/>
  <c r="D198" i="36"/>
  <c r="D173" i="36"/>
  <c r="D141" i="36"/>
  <c r="D192" i="36"/>
  <c r="D153" i="36"/>
  <c r="D92" i="36"/>
  <c r="D77" i="36"/>
  <c r="D124" i="36"/>
  <c r="D111" i="36"/>
  <c r="D57" i="36"/>
  <c r="D49" i="36"/>
  <c r="D41" i="36"/>
  <c r="D33" i="36"/>
  <c r="D25" i="36"/>
  <c r="D17" i="36"/>
  <c r="D80" i="36"/>
  <c r="D76" i="36"/>
  <c r="D72" i="36"/>
  <c r="D68" i="36"/>
  <c r="D64" i="36"/>
  <c r="D60" i="36"/>
  <c r="D40" i="36"/>
  <c r="D136" i="36"/>
  <c r="D256" i="36"/>
  <c r="D144" i="36"/>
  <c r="D75" i="36"/>
  <c r="D87" i="36"/>
  <c r="D67" i="36"/>
  <c r="D44" i="36"/>
  <c r="D12" i="36"/>
  <c r="D165" i="36"/>
  <c r="D261" i="36"/>
  <c r="D257" i="36"/>
  <c r="D253" i="36"/>
  <c r="D89" i="36"/>
  <c r="D116" i="36"/>
  <c r="D272" i="36"/>
  <c r="D112" i="36"/>
  <c r="D100" i="36"/>
  <c r="D128" i="36"/>
  <c r="D96" i="36"/>
  <c r="D65" i="36"/>
  <c r="D74" i="36"/>
  <c r="D36" i="36"/>
  <c r="D297" i="36"/>
  <c r="D204" i="36"/>
  <c r="D160" i="36"/>
  <c r="D252" i="36"/>
  <c r="D185" i="36"/>
  <c r="D249" i="36"/>
  <c r="D245" i="36"/>
  <c r="D241" i="36"/>
  <c r="D237" i="36"/>
  <c r="D206" i="36"/>
  <c r="D105" i="36"/>
  <c r="D97" i="36"/>
  <c r="D69" i="36"/>
  <c r="D129" i="36"/>
  <c r="D202" i="36"/>
  <c r="D149" i="36"/>
  <c r="D268" i="36"/>
  <c r="D177" i="36"/>
  <c r="D214" i="36"/>
  <c r="D145" i="36"/>
  <c r="D132" i="36"/>
  <c r="D126" i="36"/>
  <c r="D157" i="36"/>
  <c r="D188" i="36"/>
  <c r="D184" i="36"/>
  <c r="D180" i="36"/>
  <c r="D176" i="36"/>
  <c r="D169" i="36"/>
  <c r="D137" i="36"/>
  <c r="D113" i="36"/>
  <c r="D73" i="36"/>
  <c r="D61" i="36"/>
  <c r="D120" i="36"/>
  <c r="D53" i="36"/>
  <c r="D45" i="36"/>
  <c r="D37" i="36"/>
  <c r="D29" i="36"/>
  <c r="D21" i="36"/>
  <c r="D13" i="36"/>
  <c r="J23" i="36"/>
  <c r="J39" i="36"/>
  <c r="J55" i="36"/>
  <c r="J127" i="36"/>
  <c r="J19" i="36"/>
  <c r="J36" i="36"/>
  <c r="J51" i="36"/>
  <c r="J74" i="36"/>
  <c r="J82" i="36"/>
  <c r="J96" i="36"/>
  <c r="J99" i="36"/>
  <c r="J144" i="36"/>
  <c r="J168" i="36"/>
  <c r="J220" i="36"/>
  <c r="J236" i="36"/>
  <c r="J252" i="36"/>
  <c r="J263" i="36"/>
  <c r="J271" i="36"/>
  <c r="J32" i="36"/>
  <c r="J60" i="36"/>
  <c r="J70" i="36"/>
  <c r="J88" i="36"/>
  <c r="J106" i="36"/>
  <c r="J121" i="36"/>
  <c r="J123" i="36"/>
  <c r="J135" i="36"/>
  <c r="J148" i="36"/>
  <c r="J184" i="36"/>
  <c r="J191" i="36"/>
  <c r="J197" i="36"/>
  <c r="J199" i="36"/>
  <c r="J216" i="36"/>
  <c r="J240" i="36"/>
  <c r="J256" i="36"/>
  <c r="J269" i="36"/>
  <c r="J296" i="36"/>
  <c r="J35" i="36"/>
  <c r="J48" i="36"/>
  <c r="J68" i="36"/>
  <c r="J90" i="36"/>
  <c r="J111" i="36"/>
  <c r="J136" i="36"/>
  <c r="J143" i="36"/>
  <c r="J155" i="36"/>
  <c r="J167" i="36"/>
  <c r="J172" i="36"/>
  <c r="J209" i="36"/>
  <c r="J213" i="36"/>
  <c r="J232" i="36"/>
  <c r="J300" i="36"/>
  <c r="J316" i="36"/>
  <c r="J20" i="36"/>
  <c r="J31" i="36"/>
  <c r="J62" i="36"/>
  <c r="J71" i="36"/>
  <c r="J75" i="36"/>
  <c r="J124" i="36"/>
  <c r="J215" i="36"/>
  <c r="J228" i="36"/>
  <c r="J255" i="36"/>
  <c r="J267" i="36"/>
  <c r="J288" i="36"/>
  <c r="J76" i="36"/>
  <c r="J80" i="36"/>
  <c r="J115" i="36"/>
  <c r="J212" i="36"/>
  <c r="J248" i="36"/>
  <c r="J272" i="36"/>
  <c r="J16" i="36"/>
  <c r="J239" i="36"/>
  <c r="J244" i="36"/>
  <c r="J98" i="36"/>
  <c r="J175" i="36"/>
  <c r="J176" i="36"/>
  <c r="J224" i="36"/>
  <c r="J52" i="36"/>
  <c r="J104" i="36"/>
  <c r="J147" i="36"/>
  <c r="J187" i="36"/>
  <c r="J188" i="36"/>
  <c r="J211" i="36"/>
  <c r="J83" i="36"/>
  <c r="J108" i="36"/>
  <c r="J47" i="36"/>
  <c r="J139" i="36"/>
  <c r="J243" i="36"/>
  <c r="J110" i="36"/>
  <c r="J180" i="36"/>
  <c r="J156" i="36"/>
  <c r="J131" i="36"/>
  <c r="J312" i="36"/>
  <c r="J280" i="36"/>
  <c r="J201" i="36"/>
  <c r="J221" i="36"/>
  <c r="J151" i="36"/>
  <c r="J304" i="36"/>
  <c r="J163" i="36"/>
  <c r="J208" i="36"/>
  <c r="J247" i="36"/>
  <c r="J231" i="36"/>
  <c r="J164" i="36"/>
  <c r="J140" i="36"/>
  <c r="J78" i="36"/>
  <c r="J264" i="36"/>
  <c r="J152" i="36"/>
  <c r="J128" i="36"/>
  <c r="J72" i="36"/>
  <c r="J15" i="36"/>
  <c r="J284" i="36"/>
  <c r="J260" i="36"/>
  <c r="J235" i="36"/>
  <c r="J205" i="36"/>
  <c r="J276" i="36"/>
  <c r="J273" i="36"/>
  <c r="J56" i="36"/>
  <c r="J308" i="36"/>
  <c r="J227" i="36"/>
  <c r="J223" i="36"/>
  <c r="J251" i="36"/>
  <c r="J219" i="36"/>
  <c r="J171" i="36"/>
  <c r="J159" i="36"/>
  <c r="J24" i="36"/>
  <c r="J225" i="36"/>
  <c r="J207" i="36"/>
  <c r="J41" i="36"/>
  <c r="J63" i="36"/>
  <c r="J259" i="36"/>
  <c r="J183" i="36"/>
  <c r="J86" i="36"/>
  <c r="J53" i="36"/>
  <c r="J40" i="36"/>
  <c r="J11" i="36"/>
  <c r="J160" i="36"/>
  <c r="J112" i="36"/>
  <c r="J95" i="36"/>
  <c r="J79" i="36"/>
  <c r="J67" i="36"/>
  <c r="J49" i="36"/>
  <c r="J33" i="36"/>
  <c r="J17" i="36"/>
  <c r="J66" i="36"/>
  <c r="J91" i="36"/>
  <c r="J179" i="36"/>
  <c r="J102" i="36"/>
  <c r="J125" i="36"/>
  <c r="J37" i="36"/>
  <c r="J27" i="36"/>
  <c r="J43" i="36"/>
  <c r="J204" i="36"/>
  <c r="J94" i="36"/>
  <c r="J64" i="36"/>
  <c r="J25" i="36"/>
  <c r="J292" i="36"/>
  <c r="J87" i="36"/>
  <c r="J59" i="36"/>
  <c r="J28" i="36"/>
  <c r="J206" i="36"/>
  <c r="J89" i="36"/>
  <c r="J129" i="36"/>
  <c r="J314" i="36"/>
  <c r="J310" i="36"/>
  <c r="J306" i="36"/>
  <c r="J302" i="36"/>
  <c r="J298" i="36"/>
  <c r="J294" i="36"/>
  <c r="J290" i="36"/>
  <c r="J286" i="36"/>
  <c r="J282" i="36"/>
  <c r="J278" i="36"/>
  <c r="J274" i="36"/>
  <c r="J262" i="36"/>
  <c r="J254" i="36"/>
  <c r="J246" i="36"/>
  <c r="J238" i="36"/>
  <c r="J230" i="36"/>
  <c r="J202" i="36"/>
  <c r="J189" i="36"/>
  <c r="J149" i="36"/>
  <c r="J311" i="36"/>
  <c r="J295" i="36"/>
  <c r="J279" i="36"/>
  <c r="J214" i="36"/>
  <c r="J198" i="36"/>
  <c r="J193" i="36"/>
  <c r="J145" i="36"/>
  <c r="J192" i="36"/>
  <c r="J157" i="36"/>
  <c r="J169" i="36"/>
  <c r="J137" i="36"/>
  <c r="J113" i="36"/>
  <c r="J100" i="36"/>
  <c r="J77" i="36"/>
  <c r="J182" i="36"/>
  <c r="J170" i="36"/>
  <c r="J162" i="36"/>
  <c r="J154" i="36"/>
  <c r="J146" i="36"/>
  <c r="J138" i="36"/>
  <c r="J133" i="36"/>
  <c r="J118" i="36"/>
  <c r="J101" i="36"/>
  <c r="J85" i="36"/>
  <c r="J114" i="36"/>
  <c r="J54" i="36"/>
  <c r="J46" i="36"/>
  <c r="J38" i="36"/>
  <c r="J30" i="36"/>
  <c r="J22" i="36"/>
  <c r="J14" i="36"/>
  <c r="J21" i="36"/>
  <c r="J203" i="36"/>
  <c r="J195" i="36"/>
  <c r="J57" i="36"/>
  <c r="J45" i="36"/>
  <c r="J13" i="36"/>
  <c r="J313" i="36"/>
  <c r="J305" i="36"/>
  <c r="J297" i="36"/>
  <c r="J289" i="36"/>
  <c r="J281" i="36"/>
  <c r="J222" i="36"/>
  <c r="J105" i="36"/>
  <c r="J97" i="36"/>
  <c r="J270" i="36"/>
  <c r="J261" i="36"/>
  <c r="J253" i="36"/>
  <c r="J245" i="36"/>
  <c r="J237" i="36"/>
  <c r="J229" i="36"/>
  <c r="J218" i="36"/>
  <c r="J116" i="36"/>
  <c r="J315" i="36"/>
  <c r="J299" i="36"/>
  <c r="J283" i="36"/>
  <c r="J196" i="36"/>
  <c r="J161" i="36"/>
  <c r="J178" i="36"/>
  <c r="J117" i="36"/>
  <c r="J130" i="36"/>
  <c r="J65" i="36"/>
  <c r="J217" i="36"/>
  <c r="J200" i="36"/>
  <c r="J103" i="36"/>
  <c r="J44" i="36"/>
  <c r="J12" i="36"/>
  <c r="J226" i="36"/>
  <c r="J185" i="36"/>
  <c r="J69" i="36"/>
  <c r="J258" i="36"/>
  <c r="J250" i="36"/>
  <c r="J242" i="36"/>
  <c r="J234" i="36"/>
  <c r="J210" i="36"/>
  <c r="J177" i="36"/>
  <c r="J303" i="36"/>
  <c r="J287" i="36"/>
  <c r="J266" i="36"/>
  <c r="J132" i="36"/>
  <c r="J126" i="36"/>
  <c r="J173" i="36"/>
  <c r="J141" i="36"/>
  <c r="J153" i="36"/>
  <c r="J84" i="36"/>
  <c r="J73" i="36"/>
  <c r="J190" i="36"/>
  <c r="J174" i="36"/>
  <c r="J166" i="36"/>
  <c r="J158" i="36"/>
  <c r="J150" i="36"/>
  <c r="J142" i="36"/>
  <c r="J120" i="36"/>
  <c r="J93" i="36"/>
  <c r="J61" i="36"/>
  <c r="J109" i="36"/>
  <c r="J50" i="36"/>
  <c r="J42" i="36"/>
  <c r="J34" i="36"/>
  <c r="J26" i="36"/>
  <c r="J18" i="36"/>
  <c r="J10" i="36"/>
  <c r="J119" i="36"/>
  <c r="J29" i="36"/>
  <c r="J165" i="36"/>
  <c r="J309" i="36"/>
  <c r="J301" i="36"/>
  <c r="J293" i="36"/>
  <c r="J285" i="36"/>
  <c r="J277" i="36"/>
  <c r="J81" i="36"/>
  <c r="J257" i="36"/>
  <c r="J249" i="36"/>
  <c r="J241" i="36"/>
  <c r="J233" i="36"/>
  <c r="J181" i="36"/>
  <c r="J307" i="36"/>
  <c r="J291" i="36"/>
  <c r="J275" i="36"/>
  <c r="J268" i="36"/>
  <c r="J265" i="36"/>
  <c r="J194" i="36"/>
  <c r="J92" i="36"/>
  <c r="J122" i="36"/>
  <c r="J186" i="36"/>
  <c r="J134" i="36"/>
  <c r="J107" i="36"/>
  <c r="J58" i="36"/>
  <c r="E39" i="36"/>
  <c r="E62" i="36"/>
  <c r="E75" i="36"/>
  <c r="E90" i="36"/>
  <c r="E115" i="36"/>
  <c r="E154" i="36"/>
  <c r="E232" i="36"/>
  <c r="E248" i="36"/>
  <c r="E263" i="36"/>
  <c r="E271" i="36"/>
  <c r="E315" i="36"/>
  <c r="E16" i="36"/>
  <c r="E19" i="36"/>
  <c r="E48" i="36"/>
  <c r="E51" i="36"/>
  <c r="E82" i="36"/>
  <c r="E111" i="36"/>
  <c r="E127" i="36"/>
  <c r="E135" i="36"/>
  <c r="E191" i="36"/>
  <c r="E199" i="36"/>
  <c r="E236" i="36"/>
  <c r="E252" i="36"/>
  <c r="E296" i="36"/>
  <c r="E36" i="36"/>
  <c r="E174" i="36"/>
  <c r="E175" i="36"/>
  <c r="E194" i="36"/>
  <c r="E195" i="36"/>
  <c r="E211" i="36"/>
  <c r="E228" i="36"/>
  <c r="E295" i="36"/>
  <c r="E32" i="36"/>
  <c r="E55" i="36"/>
  <c r="E63" i="36"/>
  <c r="E98" i="36"/>
  <c r="E178" i="36"/>
  <c r="E187" i="36"/>
  <c r="E203" i="36"/>
  <c r="E216" i="36"/>
  <c r="E256" i="36"/>
  <c r="E291" i="36"/>
  <c r="E292" i="36"/>
  <c r="E122" i="36"/>
  <c r="E123" i="36"/>
  <c r="E155" i="36"/>
  <c r="E244" i="36"/>
  <c r="E267" i="36"/>
  <c r="E275" i="36"/>
  <c r="E299" i="36"/>
  <c r="E300" i="36"/>
  <c r="E303" i="36"/>
  <c r="E35" i="36"/>
  <c r="E70" i="36"/>
  <c r="E240" i="36"/>
  <c r="E316" i="36"/>
  <c r="E99" i="36"/>
  <c r="E106" i="36"/>
  <c r="E134" i="36"/>
  <c r="E171" i="36"/>
  <c r="E190" i="36"/>
  <c r="E259" i="36"/>
  <c r="E23" i="36"/>
  <c r="E158" i="36"/>
  <c r="E215" i="36"/>
  <c r="E270" i="36"/>
  <c r="E212" i="36"/>
  <c r="E146" i="36"/>
  <c r="E59" i="36"/>
  <c r="E276" i="36"/>
  <c r="E247" i="36"/>
  <c r="E138" i="36"/>
  <c r="E71" i="36"/>
  <c r="E12" i="36"/>
  <c r="E47" i="36"/>
  <c r="E304" i="36"/>
  <c r="E243" i="36"/>
  <c r="E208" i="36"/>
  <c r="E170" i="36"/>
  <c r="E66" i="36"/>
  <c r="E24" i="36"/>
  <c r="E91" i="36"/>
  <c r="E139" i="36"/>
  <c r="E231" i="36"/>
  <c r="E280" i="36"/>
  <c r="E95" i="36"/>
  <c r="E52" i="36"/>
  <c r="E163" i="36"/>
  <c r="E312" i="36"/>
  <c r="E200" i="36"/>
  <c r="E102" i="36"/>
  <c r="E56" i="36"/>
  <c r="E272" i="36"/>
  <c r="E223" i="36"/>
  <c r="E27" i="36"/>
  <c r="E266" i="36"/>
  <c r="E110" i="36"/>
  <c r="E162" i="36"/>
  <c r="E227" i="36"/>
  <c r="E207" i="36"/>
  <c r="E150" i="36"/>
  <c r="E78" i="36"/>
  <c r="E44" i="36"/>
  <c r="E294" i="36"/>
  <c r="E186" i="36"/>
  <c r="E147" i="36"/>
  <c r="E20" i="36"/>
  <c r="E15" i="36"/>
  <c r="E314" i="36"/>
  <c r="E67" i="36"/>
  <c r="E40" i="36"/>
  <c r="E159" i="36"/>
  <c r="E151" i="36"/>
  <c r="E287" i="36"/>
  <c r="E224" i="36"/>
  <c r="E179" i="36"/>
  <c r="E311" i="36"/>
  <c r="E308" i="36"/>
  <c r="E166" i="36"/>
  <c r="E128" i="36"/>
  <c r="E288" i="36"/>
  <c r="E283" i="36"/>
  <c r="E239" i="36"/>
  <c r="E167" i="36"/>
  <c r="E143" i="36"/>
  <c r="E74" i="36"/>
  <c r="E279" i="36"/>
  <c r="E251" i="36"/>
  <c r="E204" i="36"/>
  <c r="E196" i="36"/>
  <c r="E183" i="36"/>
  <c r="E119" i="36"/>
  <c r="E79" i="36"/>
  <c r="E124" i="36"/>
  <c r="E131" i="36"/>
  <c r="E220" i="36"/>
  <c r="E118" i="36"/>
  <c r="E87" i="36"/>
  <c r="E83" i="36"/>
  <c r="E310" i="36"/>
  <c r="E264" i="36"/>
  <c r="E219" i="36"/>
  <c r="E142" i="36"/>
  <c r="E260" i="36"/>
  <c r="E255" i="36"/>
  <c r="E103" i="36"/>
  <c r="E86" i="36"/>
  <c r="E11" i="36"/>
  <c r="E298" i="36"/>
  <c r="E284" i="36"/>
  <c r="E274" i="36"/>
  <c r="E306" i="36"/>
  <c r="E286" i="36"/>
  <c r="E278" i="36"/>
  <c r="E28" i="36"/>
  <c r="E307" i="36"/>
  <c r="E165" i="36"/>
  <c r="E261" i="36"/>
  <c r="E257" i="36"/>
  <c r="E253" i="36"/>
  <c r="E81" i="36"/>
  <c r="E181" i="36"/>
  <c r="E116" i="36"/>
  <c r="E268" i="36"/>
  <c r="E225" i="36"/>
  <c r="E209" i="36"/>
  <c r="E100" i="36"/>
  <c r="E172" i="36"/>
  <c r="E164" i="36"/>
  <c r="E156" i="36"/>
  <c r="E148" i="36"/>
  <c r="E140" i="36"/>
  <c r="E125" i="36"/>
  <c r="E109" i="36"/>
  <c r="E121" i="36"/>
  <c r="E96" i="36"/>
  <c r="E182" i="36"/>
  <c r="E43" i="36"/>
  <c r="E302" i="36"/>
  <c r="E290" i="36"/>
  <c r="E282" i="36"/>
  <c r="E249" i="36"/>
  <c r="E245" i="36"/>
  <c r="E241" i="36"/>
  <c r="E237" i="36"/>
  <c r="E206" i="36"/>
  <c r="E89" i="36"/>
  <c r="E129" i="36"/>
  <c r="E262" i="36"/>
  <c r="E254" i="36"/>
  <c r="E246" i="36"/>
  <c r="E238" i="36"/>
  <c r="E230" i="36"/>
  <c r="E202" i="36"/>
  <c r="E189" i="36"/>
  <c r="E149" i="36"/>
  <c r="E269" i="36"/>
  <c r="E214" i="36"/>
  <c r="E213" i="36"/>
  <c r="E145" i="36"/>
  <c r="E132" i="36"/>
  <c r="E126" i="36"/>
  <c r="E157" i="36"/>
  <c r="E188" i="36"/>
  <c r="E184" i="36"/>
  <c r="E180" i="36"/>
  <c r="E176" i="36"/>
  <c r="E169" i="36"/>
  <c r="E137" i="36"/>
  <c r="E113" i="36"/>
  <c r="E130" i="36"/>
  <c r="E77" i="36"/>
  <c r="E101" i="36"/>
  <c r="E85" i="36"/>
  <c r="E117" i="36"/>
  <c r="E54" i="36"/>
  <c r="E46" i="36"/>
  <c r="E38" i="36"/>
  <c r="E30" i="36"/>
  <c r="E22" i="36"/>
  <c r="E14" i="36"/>
  <c r="E53" i="36"/>
  <c r="E45" i="36"/>
  <c r="E37" i="36"/>
  <c r="E29" i="36"/>
  <c r="E21" i="36"/>
  <c r="E13" i="36"/>
  <c r="E235" i="36"/>
  <c r="E192" i="36"/>
  <c r="E94" i="36"/>
  <c r="E120" i="36"/>
  <c r="E233" i="36"/>
  <c r="E229" i="36"/>
  <c r="E222" i="36"/>
  <c r="E97" i="36"/>
  <c r="E273" i="36"/>
  <c r="E218" i="36"/>
  <c r="E217" i="36"/>
  <c r="E201" i="36"/>
  <c r="E161" i="36"/>
  <c r="E193" i="36"/>
  <c r="E84" i="36"/>
  <c r="E168" i="36"/>
  <c r="E160" i="36"/>
  <c r="E152" i="36"/>
  <c r="E144" i="36"/>
  <c r="E136" i="36"/>
  <c r="E104" i="36"/>
  <c r="E88" i="36"/>
  <c r="E133" i="36"/>
  <c r="E107" i="36"/>
  <c r="E65" i="36"/>
  <c r="E58" i="36"/>
  <c r="E31" i="36"/>
  <c r="E265" i="36"/>
  <c r="E226" i="36"/>
  <c r="E185" i="36"/>
  <c r="E105" i="36"/>
  <c r="E69" i="36"/>
  <c r="E313" i="36"/>
  <c r="E309" i="36"/>
  <c r="E305" i="36"/>
  <c r="E301" i="36"/>
  <c r="E297" i="36"/>
  <c r="E293" i="36"/>
  <c r="E289" i="36"/>
  <c r="E285" i="36"/>
  <c r="E281" i="36"/>
  <c r="E277" i="36"/>
  <c r="E258" i="36"/>
  <c r="E250" i="36"/>
  <c r="E242" i="36"/>
  <c r="E234" i="36"/>
  <c r="E210" i="36"/>
  <c r="E177" i="36"/>
  <c r="E198" i="36"/>
  <c r="E221" i="36"/>
  <c r="E205" i="36"/>
  <c r="E197" i="36"/>
  <c r="E173" i="36"/>
  <c r="E141" i="36"/>
  <c r="E153" i="36"/>
  <c r="E112" i="36"/>
  <c r="E92" i="36"/>
  <c r="E114" i="36"/>
  <c r="E73" i="36"/>
  <c r="E93" i="36"/>
  <c r="E61" i="36"/>
  <c r="E108" i="36"/>
  <c r="E50" i="36"/>
  <c r="E42" i="36"/>
  <c r="E34" i="36"/>
  <c r="E26" i="36"/>
  <c r="E18" i="36"/>
  <c r="E10" i="36"/>
  <c r="E57" i="36"/>
  <c r="E49" i="36"/>
  <c r="E41" i="36"/>
  <c r="E33" i="36"/>
  <c r="E25" i="36"/>
  <c r="E17" i="36"/>
  <c r="E80" i="36"/>
  <c r="E76" i="36"/>
  <c r="E72" i="36"/>
  <c r="E68" i="36"/>
  <c r="E64" i="36"/>
  <c r="E60" i="36"/>
  <c r="I12" i="36"/>
  <c r="I28" i="36"/>
  <c r="I44" i="36"/>
  <c r="I59" i="36"/>
  <c r="I67" i="36"/>
  <c r="I79" i="36"/>
  <c r="I87" i="36"/>
  <c r="I95" i="36"/>
  <c r="I103" i="36"/>
  <c r="I16" i="36"/>
  <c r="I32" i="36"/>
  <c r="I48" i="36"/>
  <c r="I75" i="36"/>
  <c r="I111" i="36"/>
  <c r="I122" i="36"/>
  <c r="I228" i="36"/>
  <c r="I232" i="36"/>
  <c r="I236" i="36"/>
  <c r="I240" i="36"/>
  <c r="I244" i="36"/>
  <c r="I248" i="36"/>
  <c r="I252" i="36"/>
  <c r="I256" i="36"/>
  <c r="I23" i="36"/>
  <c r="I55" i="36"/>
  <c r="I70" i="36"/>
  <c r="I106" i="36"/>
  <c r="I123" i="36"/>
  <c r="I134" i="36"/>
  <c r="I135" i="36"/>
  <c r="I159" i="36"/>
  <c r="I178" i="36"/>
  <c r="I190" i="36"/>
  <c r="I191" i="36"/>
  <c r="I199" i="36"/>
  <c r="I200" i="36"/>
  <c r="I216" i="36"/>
  <c r="I219" i="36"/>
  <c r="I260" i="36"/>
  <c r="I279" i="36"/>
  <c r="I295" i="36"/>
  <c r="I296" i="36"/>
  <c r="I307" i="36"/>
  <c r="I35" i="36"/>
  <c r="I98" i="36"/>
  <c r="I174" i="36"/>
  <c r="I175" i="36"/>
  <c r="I182" i="36"/>
  <c r="I187" i="36"/>
  <c r="I194" i="36"/>
  <c r="I215" i="36"/>
  <c r="I267" i="36"/>
  <c r="I283" i="36"/>
  <c r="I291" i="36"/>
  <c r="I299" i="36"/>
  <c r="I300" i="36"/>
  <c r="I62" i="36"/>
  <c r="I71" i="36"/>
  <c r="I124" i="36"/>
  <c r="I19" i="36"/>
  <c r="I36" i="36"/>
  <c r="I39" i="36"/>
  <c r="I115" i="36"/>
  <c r="I127" i="36"/>
  <c r="I128" i="36"/>
  <c r="I154" i="36"/>
  <c r="I196" i="36"/>
  <c r="I211" i="36"/>
  <c r="I263" i="36"/>
  <c r="I268" i="36"/>
  <c r="I271" i="36"/>
  <c r="I272" i="36"/>
  <c r="I315" i="36"/>
  <c r="I120" i="36"/>
  <c r="I142" i="36"/>
  <c r="I166" i="36"/>
  <c r="I270" i="36"/>
  <c r="I287" i="36"/>
  <c r="I40" i="36"/>
  <c r="I155" i="36"/>
  <c r="I223" i="36"/>
  <c r="I224" i="36"/>
  <c r="I90" i="36"/>
  <c r="I311" i="36"/>
  <c r="I316" i="36"/>
  <c r="I51" i="36"/>
  <c r="I208" i="36"/>
  <c r="I82" i="36"/>
  <c r="I204" i="36"/>
  <c r="I259" i="36"/>
  <c r="I99" i="36"/>
  <c r="I150" i="36"/>
  <c r="I220" i="36"/>
  <c r="I171" i="36"/>
  <c r="I280" i="36"/>
  <c r="I266" i="36"/>
  <c r="I146" i="36"/>
  <c r="I52" i="36"/>
  <c r="I91" i="36"/>
  <c r="I163" i="36"/>
  <c r="I47" i="36"/>
  <c r="I304" i="36"/>
  <c r="I158" i="36"/>
  <c r="I151" i="36"/>
  <c r="I110" i="36"/>
  <c r="I109" i="36"/>
  <c r="I58" i="36"/>
  <c r="I24" i="36"/>
  <c r="I131" i="36"/>
  <c r="I243" i="36"/>
  <c r="I107" i="36"/>
  <c r="I212" i="36"/>
  <c r="I207" i="36"/>
  <c r="I83" i="36"/>
  <c r="I56" i="36"/>
  <c r="I186" i="36"/>
  <c r="I255" i="36"/>
  <c r="I170" i="36"/>
  <c r="I179" i="36"/>
  <c r="I102" i="36"/>
  <c r="I63" i="36"/>
  <c r="I27" i="36"/>
  <c r="I303" i="36"/>
  <c r="I275" i="36"/>
  <c r="I195" i="36"/>
  <c r="I43" i="36"/>
  <c r="I66" i="36"/>
  <c r="I276" i="36"/>
  <c r="I139" i="36"/>
  <c r="I227" i="36"/>
  <c r="I118" i="36"/>
  <c r="I78" i="36"/>
  <c r="I312" i="36"/>
  <c r="I264" i="36"/>
  <c r="I147" i="36"/>
  <c r="I20" i="36"/>
  <c r="I15" i="36"/>
  <c r="I31" i="36"/>
  <c r="I247" i="36"/>
  <c r="I231" i="36"/>
  <c r="I308" i="36"/>
  <c r="I292" i="36"/>
  <c r="I288" i="36"/>
  <c r="I239" i="36"/>
  <c r="I203" i="36"/>
  <c r="I167" i="36"/>
  <c r="I143" i="36"/>
  <c r="I74" i="36"/>
  <c r="I251" i="36"/>
  <c r="I183" i="36"/>
  <c r="I138" i="36"/>
  <c r="I119" i="36"/>
  <c r="I132" i="36"/>
  <c r="I265" i="36"/>
  <c r="I226" i="36"/>
  <c r="I185" i="36"/>
  <c r="I69" i="36"/>
  <c r="I258" i="36"/>
  <c r="I250" i="36"/>
  <c r="I242" i="36"/>
  <c r="I234" i="36"/>
  <c r="I210" i="36"/>
  <c r="I177" i="36"/>
  <c r="I116" i="36"/>
  <c r="I306" i="36"/>
  <c r="I290" i="36"/>
  <c r="I274" i="36"/>
  <c r="I213" i="36"/>
  <c r="I197" i="36"/>
  <c r="I126" i="36"/>
  <c r="I173" i="36"/>
  <c r="I141" i="36"/>
  <c r="I153" i="36"/>
  <c r="I112" i="36"/>
  <c r="I92" i="36"/>
  <c r="I73" i="36"/>
  <c r="I93" i="36"/>
  <c r="I61" i="36"/>
  <c r="I108" i="36"/>
  <c r="I50" i="36"/>
  <c r="I42" i="36"/>
  <c r="I34" i="36"/>
  <c r="I26" i="36"/>
  <c r="I18" i="36"/>
  <c r="I10" i="36"/>
  <c r="I57" i="36"/>
  <c r="I49" i="36"/>
  <c r="I41" i="36"/>
  <c r="I33" i="36"/>
  <c r="I25" i="36"/>
  <c r="I17" i="36"/>
  <c r="I80" i="36"/>
  <c r="I76" i="36"/>
  <c r="I72" i="36"/>
  <c r="I68" i="36"/>
  <c r="I64" i="36"/>
  <c r="I60" i="36"/>
  <c r="I165" i="36"/>
  <c r="I261" i="36"/>
  <c r="I257" i="36"/>
  <c r="I253" i="36"/>
  <c r="I105" i="36"/>
  <c r="I81" i="36"/>
  <c r="I181" i="36"/>
  <c r="I310" i="36"/>
  <c r="I294" i="36"/>
  <c r="I278" i="36"/>
  <c r="I217" i="36"/>
  <c r="I201" i="36"/>
  <c r="I100" i="36"/>
  <c r="I168" i="36"/>
  <c r="I160" i="36"/>
  <c r="I152" i="36"/>
  <c r="I144" i="36"/>
  <c r="I136" i="36"/>
  <c r="I125" i="36"/>
  <c r="I130" i="36"/>
  <c r="I121" i="36"/>
  <c r="I96" i="36"/>
  <c r="I86" i="36"/>
  <c r="I11" i="36"/>
  <c r="I284" i="36"/>
  <c r="I162" i="36"/>
  <c r="I249" i="36"/>
  <c r="I245" i="36"/>
  <c r="I241" i="36"/>
  <c r="I237" i="36"/>
  <c r="I206" i="36"/>
  <c r="I89" i="36"/>
  <c r="I129" i="36"/>
  <c r="I313" i="36"/>
  <c r="I309" i="36"/>
  <c r="I305" i="36"/>
  <c r="I301" i="36"/>
  <c r="I297" i="36"/>
  <c r="I293" i="36"/>
  <c r="I289" i="36"/>
  <c r="I285" i="36"/>
  <c r="I281" i="36"/>
  <c r="I277" i="36"/>
  <c r="I262" i="36"/>
  <c r="I254" i="36"/>
  <c r="I246" i="36"/>
  <c r="I238" i="36"/>
  <c r="I230" i="36"/>
  <c r="I202" i="36"/>
  <c r="I189" i="36"/>
  <c r="I149" i="36"/>
  <c r="I314" i="36"/>
  <c r="I298" i="36"/>
  <c r="I282" i="36"/>
  <c r="I269" i="36"/>
  <c r="I214" i="36"/>
  <c r="I198" i="36"/>
  <c r="I221" i="36"/>
  <c r="I205" i="36"/>
  <c r="I145" i="36"/>
  <c r="I157" i="36"/>
  <c r="I188" i="36"/>
  <c r="I184" i="36"/>
  <c r="I180" i="36"/>
  <c r="I176" i="36"/>
  <c r="I169" i="36"/>
  <c r="I137" i="36"/>
  <c r="I113" i="36"/>
  <c r="I77" i="36"/>
  <c r="I114" i="36"/>
  <c r="I101" i="36"/>
  <c r="I85" i="36"/>
  <c r="I117" i="36"/>
  <c r="I54" i="36"/>
  <c r="I46" i="36"/>
  <c r="I38" i="36"/>
  <c r="I30" i="36"/>
  <c r="I22" i="36"/>
  <c r="I14" i="36"/>
  <c r="I53" i="36"/>
  <c r="I45" i="36"/>
  <c r="I37" i="36"/>
  <c r="I29" i="36"/>
  <c r="I21" i="36"/>
  <c r="I13" i="36"/>
  <c r="I235" i="36"/>
  <c r="I192" i="36"/>
  <c r="I94" i="36"/>
  <c r="I233" i="36"/>
  <c r="I229" i="36"/>
  <c r="I222" i="36"/>
  <c r="I97" i="36"/>
  <c r="I273" i="36"/>
  <c r="I218" i="36"/>
  <c r="I302" i="36"/>
  <c r="I286" i="36"/>
  <c r="I225" i="36"/>
  <c r="I209" i="36"/>
  <c r="I161" i="36"/>
  <c r="I193" i="36"/>
  <c r="I84" i="36"/>
  <c r="I172" i="36"/>
  <c r="I164" i="36"/>
  <c r="I156" i="36"/>
  <c r="I148" i="36"/>
  <c r="I140" i="36"/>
  <c r="I104" i="36"/>
  <c r="I88" i="36"/>
  <c r="I133" i="36"/>
  <c r="I65" i="36"/>
  <c r="H276" i="32"/>
  <c r="H291" i="32"/>
  <c r="H81" i="32"/>
  <c r="H146" i="32"/>
  <c r="H298" i="32"/>
  <c r="H131" i="32"/>
  <c r="H22" i="32"/>
  <c r="H154" i="32"/>
  <c r="H103" i="32"/>
  <c r="H181" i="32"/>
  <c r="H194" i="32"/>
  <c r="H305" i="32"/>
  <c r="H82" i="32"/>
  <c r="H147" i="32"/>
  <c r="H51" i="32"/>
  <c r="H29" i="32"/>
  <c r="H164" i="32"/>
  <c r="H162" i="32"/>
  <c r="H300" i="32"/>
  <c r="H186" i="32"/>
  <c r="H189" i="32"/>
  <c r="H261" i="32"/>
  <c r="H104" i="32"/>
  <c r="H306" i="32"/>
  <c r="H74" i="32"/>
  <c r="H200" i="32"/>
  <c r="H220" i="32"/>
  <c r="H157" i="32"/>
  <c r="H112" i="32"/>
  <c r="H183" i="32"/>
  <c r="H177" i="32"/>
  <c r="H113" i="32"/>
  <c r="H212" i="32"/>
  <c r="H125" i="32"/>
  <c r="H215" i="32"/>
  <c r="H141" i="32"/>
  <c r="H224" i="32"/>
  <c r="H252" i="32"/>
  <c r="H117" i="32"/>
  <c r="H124" i="32"/>
  <c r="H48" i="32"/>
  <c r="H44" i="32"/>
  <c r="H83" i="32"/>
  <c r="H60" i="32"/>
  <c r="H35" i="32"/>
  <c r="H77" i="32"/>
  <c r="H171" i="32"/>
  <c r="H163" i="32"/>
  <c r="H182" i="32"/>
  <c r="H195" i="32"/>
  <c r="H25" i="32"/>
  <c r="H138" i="32"/>
  <c r="H225" i="32"/>
  <c r="H21" i="32"/>
  <c r="H92" i="32"/>
  <c r="H23" i="32"/>
  <c r="H115" i="32"/>
  <c r="H250" i="32"/>
  <c r="H308" i="32"/>
  <c r="H41" i="32"/>
  <c r="H180" i="32"/>
  <c r="H57" i="32"/>
  <c r="H14" i="32"/>
  <c r="H168" i="32"/>
  <c r="H119" i="32"/>
  <c r="H62" i="32"/>
  <c r="H54" i="32"/>
  <c r="H79" i="32"/>
  <c r="H73" i="32"/>
  <c r="H201" i="32"/>
  <c r="H58" i="32"/>
  <c r="H241" i="32"/>
  <c r="H37" i="32"/>
  <c r="H275" i="32"/>
  <c r="H284" i="32"/>
  <c r="H38" i="32"/>
  <c r="H102" i="32"/>
  <c r="H251" i="32"/>
  <c r="H211" i="32"/>
  <c r="H283" i="32"/>
  <c r="H9" i="32"/>
  <c r="H139" i="32"/>
  <c r="H193" i="32"/>
  <c r="H268" i="32"/>
  <c r="H279" i="32"/>
  <c r="H70" i="32"/>
  <c r="H179" i="32"/>
  <c r="H255" i="32"/>
  <c r="H199" i="32"/>
  <c r="H274" i="32"/>
  <c r="H142" i="32"/>
  <c r="H148" i="32"/>
  <c r="H289" i="32"/>
  <c r="H126" i="32"/>
  <c r="H122" i="32"/>
  <c r="H282" i="32"/>
  <c r="H207" i="32"/>
  <c r="H46" i="32"/>
  <c r="H295" i="32"/>
  <c r="H269" i="32"/>
  <c r="H155" i="32"/>
  <c r="H263" i="32"/>
  <c r="H192" i="32"/>
  <c r="H165" i="32"/>
  <c r="H129" i="32"/>
  <c r="H244" i="32"/>
  <c r="H232" i="32"/>
  <c r="H105" i="32"/>
  <c r="H87" i="32"/>
  <c r="H204" i="32"/>
  <c r="H109" i="32"/>
  <c r="H153" i="32"/>
  <c r="H97" i="32"/>
  <c r="H188" i="32"/>
  <c r="H184" i="32"/>
  <c r="H101" i="32"/>
  <c r="H39" i="32"/>
  <c r="H32" i="32"/>
  <c r="H64" i="32"/>
  <c r="H67" i="32"/>
  <c r="H72" i="32"/>
  <c r="H88" i="32"/>
  <c r="H136" i="32"/>
  <c r="H293" i="32"/>
  <c r="H106" i="32"/>
  <c r="H198" i="32"/>
  <c r="H111" i="32"/>
  <c r="H281" i="32"/>
  <c r="H238" i="32"/>
  <c r="H98" i="32"/>
  <c r="H120" i="32"/>
  <c r="H89" i="32"/>
  <c r="H19" i="32"/>
  <c r="H264" i="32"/>
  <c r="H13" i="32"/>
  <c r="H218" i="32"/>
  <c r="H206" i="32"/>
  <c r="H26" i="32"/>
  <c r="H292" i="32"/>
  <c r="H69" i="32"/>
  <c r="H176" i="32"/>
  <c r="H233" i="32"/>
  <c r="H100" i="32"/>
  <c r="H229" i="32"/>
  <c r="H278" i="32"/>
  <c r="H299" i="32"/>
  <c r="H265" i="32"/>
  <c r="H242" i="32"/>
  <c r="H280" i="32"/>
  <c r="H118" i="32"/>
  <c r="H312" i="32"/>
  <c r="H217" i="32"/>
  <c r="H95" i="32"/>
  <c r="H15" i="32"/>
  <c r="H227" i="32"/>
  <c r="H158" i="32"/>
  <c r="H258" i="32"/>
  <c r="H107" i="32"/>
  <c r="H63" i="32"/>
  <c r="H90" i="32"/>
  <c r="H262" i="32"/>
  <c r="H254" i="32"/>
  <c r="H78" i="32"/>
  <c r="H59" i="32"/>
  <c r="H150" i="32"/>
  <c r="H130" i="32"/>
  <c r="H303" i="32"/>
  <c r="H110" i="32"/>
  <c r="H31" i="32"/>
  <c r="H309" i="32"/>
  <c r="H290" i="32"/>
  <c r="H66" i="32"/>
  <c r="H175" i="32"/>
  <c r="H30" i="32"/>
  <c r="H11" i="32"/>
  <c r="H286" i="32"/>
  <c r="H144" i="32"/>
  <c r="H140" i="32"/>
  <c r="H228" i="32"/>
  <c r="H145" i="32"/>
  <c r="H149" i="32"/>
  <c r="H108" i="32"/>
  <c r="H235" i="32"/>
  <c r="H133" i="32"/>
  <c r="H36" i="32"/>
  <c r="H80" i="32"/>
  <c r="H196" i="32"/>
  <c r="H128" i="32"/>
  <c r="H137" i="32"/>
  <c r="H248" i="32"/>
  <c r="H161" i="32"/>
  <c r="H121" i="32"/>
  <c r="H84" i="32"/>
  <c r="H91" i="32"/>
  <c r="H16" i="32"/>
  <c r="H56" i="32"/>
  <c r="H52" i="32"/>
  <c r="H24" i="32"/>
  <c r="H68" i="32"/>
  <c r="H178" i="32"/>
  <c r="H47" i="32"/>
  <c r="H135" i="32"/>
  <c r="H53" i="32"/>
  <c r="H267" i="32"/>
  <c r="H17" i="32"/>
  <c r="H307" i="32"/>
  <c r="H174" i="32"/>
  <c r="H10" i="32"/>
  <c r="H253" i="32"/>
  <c r="H190" i="32"/>
  <c r="H205" i="32"/>
  <c r="H65" i="32"/>
  <c r="H49" i="32"/>
  <c r="H45" i="32"/>
  <c r="H170" i="32"/>
  <c r="H230" i="32"/>
  <c r="H85" i="32"/>
  <c r="H277" i="32"/>
  <c r="H160" i="32"/>
  <c r="H210" i="32"/>
  <c r="H259" i="32"/>
  <c r="H99" i="32"/>
  <c r="H114" i="32"/>
  <c r="H76" i="32"/>
  <c r="H167" i="32"/>
  <c r="H185" i="32"/>
  <c r="H313" i="32"/>
  <c r="H202" i="32"/>
  <c r="H234" i="32"/>
  <c r="H246" i="32"/>
  <c r="H302" i="32"/>
  <c r="H296" i="32"/>
  <c r="H127" i="32"/>
  <c r="H86" i="32"/>
  <c r="H226" i="32"/>
  <c r="H132" i="32"/>
  <c r="H55" i="32"/>
  <c r="H310" i="32"/>
  <c r="H243" i="32"/>
  <c r="H203" i="32"/>
  <c r="H239" i="32"/>
  <c r="H304" i="32"/>
  <c r="H294" i="32"/>
  <c r="H116" i="32"/>
  <c r="H297" i="32"/>
  <c r="H159" i="32"/>
  <c r="H191" i="32"/>
  <c r="H260" i="32"/>
  <c r="H223" i="32"/>
  <c r="H213" i="32"/>
  <c r="H134" i="32"/>
  <c r="H270" i="32"/>
  <c r="H273" i="32"/>
  <c r="H123" i="32"/>
  <c r="H288" i="32"/>
  <c r="H143" i="32"/>
  <c r="H208" i="32"/>
  <c r="H236" i="32"/>
  <c r="H71" i="32"/>
  <c r="H28" i="32"/>
  <c r="H219" i="32"/>
  <c r="H257" i="32"/>
  <c r="H173" i="32"/>
  <c r="H43" i="32"/>
  <c r="H187" i="32"/>
  <c r="H231" i="32"/>
  <c r="H96" i="32"/>
  <c r="H240" i="32"/>
  <c r="H216" i="32"/>
  <c r="H169" i="32"/>
  <c r="H12" i="32"/>
  <c r="H75" i="32"/>
  <c r="H93" i="32"/>
  <c r="H20" i="32"/>
  <c r="H40" i="32"/>
  <c r="H8" i="32"/>
  <c r="H152" i="32"/>
  <c r="H50" i="32"/>
  <c r="H214" i="32"/>
  <c r="H197" i="32"/>
  <c r="H151" i="32"/>
  <c r="H34" i="32"/>
  <c r="H166" i="32"/>
  <c r="H209" i="32"/>
  <c r="H221" i="32"/>
  <c r="H172" i="32"/>
  <c r="H256" i="32"/>
  <c r="H272" i="32"/>
  <c r="H42" i="32"/>
  <c r="H285" i="32"/>
  <c r="H7" i="32"/>
  <c r="H18" i="32"/>
  <c r="H266" i="32"/>
  <c r="H245" i="32"/>
  <c r="H61" i="32"/>
  <c r="H311" i="32"/>
  <c r="H237" i="32"/>
  <c r="H156" i="32"/>
  <c r="H287" i="32"/>
  <c r="H222" i="32"/>
  <c r="H33" i="32"/>
  <c r="H249" i="32"/>
  <c r="H27" i="32"/>
  <c r="H247" i="32"/>
  <c r="H301" i="32"/>
  <c r="H271" i="32"/>
  <c r="H94" i="32"/>
  <c r="F23" i="36"/>
  <c r="F39" i="36"/>
  <c r="F55" i="36"/>
  <c r="F127" i="36"/>
  <c r="F12" i="36"/>
  <c r="F32" i="36"/>
  <c r="F35" i="36"/>
  <c r="F44" i="36"/>
  <c r="F59" i="36"/>
  <c r="F87" i="36"/>
  <c r="F98" i="36"/>
  <c r="F121" i="36"/>
  <c r="F155" i="36"/>
  <c r="F211" i="36"/>
  <c r="F228" i="36"/>
  <c r="F237" i="36"/>
  <c r="F244" i="36"/>
  <c r="F253" i="36"/>
  <c r="F316" i="36"/>
  <c r="F62" i="36"/>
  <c r="F75" i="36"/>
  <c r="F79" i="36"/>
  <c r="F90" i="36"/>
  <c r="F115" i="36"/>
  <c r="F232" i="36"/>
  <c r="F241" i="36"/>
  <c r="F248" i="36"/>
  <c r="F257" i="36"/>
  <c r="F263" i="36"/>
  <c r="F271" i="36"/>
  <c r="F19" i="36"/>
  <c r="F70" i="36"/>
  <c r="F74" i="36"/>
  <c r="F123" i="36"/>
  <c r="F144" i="36"/>
  <c r="F168" i="36"/>
  <c r="F215" i="36"/>
  <c r="F233" i="36"/>
  <c r="F235" i="36"/>
  <c r="F240" i="36"/>
  <c r="F255" i="36"/>
  <c r="F267" i="36"/>
  <c r="F288" i="36"/>
  <c r="F15" i="36"/>
  <c r="F16" i="36"/>
  <c r="F28" i="36"/>
  <c r="F72" i="36"/>
  <c r="F76" i="36"/>
  <c r="F82" i="36"/>
  <c r="F175" i="36"/>
  <c r="F199" i="36"/>
  <c r="F219" i="36"/>
  <c r="F229" i="36"/>
  <c r="F236" i="36"/>
  <c r="F284" i="36"/>
  <c r="F296" i="36"/>
  <c r="F48" i="36"/>
  <c r="F95" i="36"/>
  <c r="F183" i="36"/>
  <c r="F197" i="36"/>
  <c r="F213" i="36"/>
  <c r="F239" i="36"/>
  <c r="F249" i="36"/>
  <c r="F251" i="36"/>
  <c r="F256" i="36"/>
  <c r="F140" i="36"/>
  <c r="F143" i="36"/>
  <c r="F164" i="36"/>
  <c r="F167" i="36"/>
  <c r="F245" i="36"/>
  <c r="F252" i="36"/>
  <c r="F300" i="36"/>
  <c r="F51" i="36"/>
  <c r="F103" i="36"/>
  <c r="F187" i="36"/>
  <c r="F220" i="36"/>
  <c r="F225" i="36"/>
  <c r="F148" i="36"/>
  <c r="F159" i="36"/>
  <c r="F216" i="36"/>
  <c r="F260" i="36"/>
  <c r="F269" i="36"/>
  <c r="F67" i="36"/>
  <c r="F106" i="36"/>
  <c r="F110" i="36"/>
  <c r="F111" i="36"/>
  <c r="F135" i="36"/>
  <c r="F191" i="36"/>
  <c r="F201" i="36"/>
  <c r="F304" i="36"/>
  <c r="F96" i="36"/>
  <c r="F243" i="36"/>
  <c r="F208" i="36"/>
  <c r="F205" i="36"/>
  <c r="F170" i="36"/>
  <c r="F158" i="36"/>
  <c r="F104" i="36"/>
  <c r="F66" i="36"/>
  <c r="F24" i="36"/>
  <c r="F247" i="36"/>
  <c r="F139" i="36"/>
  <c r="F287" i="36"/>
  <c r="F47" i="36"/>
  <c r="F160" i="36"/>
  <c r="F91" i="36"/>
  <c r="F276" i="36"/>
  <c r="F231" i="36"/>
  <c r="F224" i="36"/>
  <c r="F280" i="36"/>
  <c r="F261" i="36"/>
  <c r="F221" i="36"/>
  <c r="F146" i="36"/>
  <c r="F180" i="36"/>
  <c r="F131" i="36"/>
  <c r="F31" i="36"/>
  <c r="F273" i="36"/>
  <c r="F217" i="36"/>
  <c r="F291" i="36"/>
  <c r="F151" i="36"/>
  <c r="F68" i="36"/>
  <c r="F207" i="36"/>
  <c r="F83" i="36"/>
  <c r="F166" i="36"/>
  <c r="F125" i="36"/>
  <c r="F64" i="36"/>
  <c r="F283" i="36"/>
  <c r="F259" i="36"/>
  <c r="F176" i="36"/>
  <c r="F99" i="36"/>
  <c r="F86" i="36"/>
  <c r="F36" i="36"/>
  <c r="F212" i="36"/>
  <c r="F204" i="36"/>
  <c r="F179" i="36"/>
  <c r="F150" i="36"/>
  <c r="F102" i="36"/>
  <c r="F56" i="36"/>
  <c r="F308" i="36"/>
  <c r="F223" i="36"/>
  <c r="F186" i="36"/>
  <c r="F142" i="36"/>
  <c r="F27" i="36"/>
  <c r="F209" i="36"/>
  <c r="F43" i="36"/>
  <c r="F162" i="36"/>
  <c r="F94" i="36"/>
  <c r="F184" i="36"/>
  <c r="F154" i="36"/>
  <c r="F136" i="36"/>
  <c r="F52" i="36"/>
  <c r="F163" i="36"/>
  <c r="F156" i="36"/>
  <c r="F312" i="36"/>
  <c r="F227" i="36"/>
  <c r="F78" i="36"/>
  <c r="F311" i="36"/>
  <c r="F272" i="36"/>
  <c r="F152" i="36"/>
  <c r="F147" i="36"/>
  <c r="F128" i="36"/>
  <c r="F63" i="36"/>
  <c r="F20" i="36"/>
  <c r="F303" i="36"/>
  <c r="F275" i="36"/>
  <c r="F268" i="36"/>
  <c r="F188" i="36"/>
  <c r="F182" i="36"/>
  <c r="F172" i="36"/>
  <c r="F80" i="36"/>
  <c r="F40" i="36"/>
  <c r="F307" i="36"/>
  <c r="F292" i="36"/>
  <c r="F200" i="36"/>
  <c r="F196" i="36"/>
  <c r="F193" i="36"/>
  <c r="F107" i="36"/>
  <c r="F174" i="36"/>
  <c r="F203" i="36"/>
  <c r="F195" i="36"/>
  <c r="F178" i="36"/>
  <c r="F124" i="36"/>
  <c r="F88" i="36"/>
  <c r="F60" i="36"/>
  <c r="F309" i="36"/>
  <c r="F301" i="36"/>
  <c r="F293" i="36"/>
  <c r="F285" i="36"/>
  <c r="F277" i="36"/>
  <c r="F222" i="36"/>
  <c r="F105" i="36"/>
  <c r="F97" i="36"/>
  <c r="F270" i="36"/>
  <c r="F218" i="36"/>
  <c r="F161" i="36"/>
  <c r="F120" i="36"/>
  <c r="F130" i="36"/>
  <c r="F65" i="36"/>
  <c r="F138" i="36"/>
  <c r="F108" i="36"/>
  <c r="F315" i="36"/>
  <c r="F226" i="36"/>
  <c r="F185" i="36"/>
  <c r="F69" i="36"/>
  <c r="F129" i="36"/>
  <c r="F314" i="36"/>
  <c r="F310" i="36"/>
  <c r="F306" i="36"/>
  <c r="F302" i="36"/>
  <c r="F298" i="36"/>
  <c r="F294" i="36"/>
  <c r="F290" i="36"/>
  <c r="F286" i="36"/>
  <c r="F282" i="36"/>
  <c r="F278" i="36"/>
  <c r="F274" i="36"/>
  <c r="F258" i="36"/>
  <c r="F250" i="36"/>
  <c r="F242" i="36"/>
  <c r="F234" i="36"/>
  <c r="F210" i="36"/>
  <c r="F177" i="36"/>
  <c r="F266" i="36"/>
  <c r="F264" i="36"/>
  <c r="F192" i="36"/>
  <c r="F126" i="36"/>
  <c r="F173" i="36"/>
  <c r="F141" i="36"/>
  <c r="F153" i="36"/>
  <c r="F113" i="36"/>
  <c r="F84" i="36"/>
  <c r="F117" i="36"/>
  <c r="F73" i="36"/>
  <c r="F93" i="36"/>
  <c r="F61" i="36"/>
  <c r="F109" i="36"/>
  <c r="F58" i="36"/>
  <c r="F50" i="36"/>
  <c r="F42" i="36"/>
  <c r="F34" i="36"/>
  <c r="F26" i="36"/>
  <c r="F18" i="36"/>
  <c r="F10" i="36"/>
  <c r="F57" i="36"/>
  <c r="F49" i="36"/>
  <c r="F41" i="36"/>
  <c r="F33" i="36"/>
  <c r="F25" i="36"/>
  <c r="F17" i="36"/>
  <c r="F171" i="36"/>
  <c r="F119" i="36"/>
  <c r="F71" i="36"/>
  <c r="F299" i="36"/>
  <c r="F165" i="36"/>
  <c r="F313" i="36"/>
  <c r="F305" i="36"/>
  <c r="F297" i="36"/>
  <c r="F289" i="36"/>
  <c r="F281" i="36"/>
  <c r="F81" i="36"/>
  <c r="F265" i="36"/>
  <c r="F181" i="36"/>
  <c r="F116" i="36"/>
  <c r="F194" i="36"/>
  <c r="F92" i="36"/>
  <c r="F122" i="36"/>
  <c r="F134" i="36"/>
  <c r="F11" i="36"/>
  <c r="F279" i="36"/>
  <c r="F295" i="36"/>
  <c r="F190" i="36"/>
  <c r="F206" i="36"/>
  <c r="F89" i="36"/>
  <c r="F262" i="36"/>
  <c r="F254" i="36"/>
  <c r="F246" i="36"/>
  <c r="F238" i="36"/>
  <c r="F230" i="36"/>
  <c r="F202" i="36"/>
  <c r="F189" i="36"/>
  <c r="F149" i="36"/>
  <c r="F214" i="36"/>
  <c r="F198" i="36"/>
  <c r="F145" i="36"/>
  <c r="F132" i="36"/>
  <c r="F157" i="36"/>
  <c r="F169" i="36"/>
  <c r="F137" i="36"/>
  <c r="F112" i="36"/>
  <c r="F100" i="36"/>
  <c r="F133" i="36"/>
  <c r="F77" i="36"/>
  <c r="F118" i="36"/>
  <c r="F101" i="36"/>
  <c r="F85" i="36"/>
  <c r="F114" i="36"/>
  <c r="F54" i="36"/>
  <c r="F46" i="36"/>
  <c r="F38" i="36"/>
  <c r="F30" i="36"/>
  <c r="F22" i="36"/>
  <c r="F14" i="36"/>
  <c r="F53" i="36"/>
  <c r="F45" i="36"/>
  <c r="F37" i="36"/>
  <c r="F29" i="36"/>
  <c r="F21" i="36"/>
  <c r="F13" i="36"/>
  <c r="H122" i="36"/>
  <c r="H121" i="36"/>
  <c r="H134" i="36"/>
  <c r="H154" i="36"/>
  <c r="H174" i="36"/>
  <c r="H190" i="36"/>
  <c r="H295" i="36"/>
  <c r="H299" i="36"/>
  <c r="H315" i="36"/>
  <c r="H11" i="36"/>
  <c r="H43" i="36"/>
  <c r="H86" i="36"/>
  <c r="H126" i="36"/>
  <c r="H130" i="36"/>
  <c r="H175" i="36"/>
  <c r="H182" i="36"/>
  <c r="H183" i="36"/>
  <c r="H194" i="36"/>
  <c r="H195" i="36"/>
  <c r="H197" i="36"/>
  <c r="H203" i="36"/>
  <c r="H230" i="36"/>
  <c r="H235" i="36"/>
  <c r="H246" i="36"/>
  <c r="H251" i="36"/>
  <c r="H269" i="36"/>
  <c r="H275" i="36"/>
  <c r="H283" i="36"/>
  <c r="H284" i="36"/>
  <c r="H291" i="36"/>
  <c r="H292" i="36"/>
  <c r="H300" i="36"/>
  <c r="H303" i="36"/>
  <c r="H39" i="36"/>
  <c r="H143" i="36"/>
  <c r="H155" i="36"/>
  <c r="H167" i="36"/>
  <c r="H171" i="36"/>
  <c r="H211" i="36"/>
  <c r="H234" i="36"/>
  <c r="H239" i="36"/>
  <c r="H250" i="36"/>
  <c r="H255" i="36"/>
  <c r="H259" i="36"/>
  <c r="H278" i="36"/>
  <c r="H288" i="36"/>
  <c r="H306" i="36"/>
  <c r="H316" i="36"/>
  <c r="H23" i="36"/>
  <c r="H127" i="36"/>
  <c r="H135" i="36"/>
  <c r="H138" i="36"/>
  <c r="H162" i="36"/>
  <c r="H191" i="36"/>
  <c r="H242" i="36"/>
  <c r="H263" i="36"/>
  <c r="H271" i="36"/>
  <c r="H279" i="36"/>
  <c r="H282" i="36"/>
  <c r="H290" i="36"/>
  <c r="H314" i="36"/>
  <c r="H27" i="36"/>
  <c r="H186" i="36"/>
  <c r="H238" i="36"/>
  <c r="H298" i="36"/>
  <c r="H307" i="36"/>
  <c r="H311" i="36"/>
  <c r="H94" i="36"/>
  <c r="H119" i="36"/>
  <c r="H200" i="36"/>
  <c r="H254" i="36"/>
  <c r="H308" i="36"/>
  <c r="H55" i="36"/>
  <c r="H178" i="36"/>
  <c r="H231" i="36"/>
  <c r="H102" i="36"/>
  <c r="H108" i="36"/>
  <c r="H147" i="36"/>
  <c r="H150" i="36"/>
  <c r="H179" i="36"/>
  <c r="H193" i="36"/>
  <c r="H227" i="36"/>
  <c r="H296" i="36"/>
  <c r="H199" i="36"/>
  <c r="H207" i="36"/>
  <c r="H117" i="36"/>
  <c r="H109" i="36"/>
  <c r="H286" i="36"/>
  <c r="H312" i="36"/>
  <c r="H66" i="36"/>
  <c r="H47" i="36"/>
  <c r="H158" i="36"/>
  <c r="H110" i="36"/>
  <c r="H163" i="36"/>
  <c r="H280" i="36"/>
  <c r="H133" i="36"/>
  <c r="H247" i="36"/>
  <c r="H273" i="36"/>
  <c r="H266" i="36"/>
  <c r="H243" i="36"/>
  <c r="H170" i="36"/>
  <c r="H276" i="36"/>
  <c r="H139" i="36"/>
  <c r="H294" i="36"/>
  <c r="H166" i="36"/>
  <c r="H15" i="36"/>
  <c r="H58" i="36"/>
  <c r="H118" i="36"/>
  <c r="H310" i="36"/>
  <c r="H142" i="36"/>
  <c r="H267" i="36"/>
  <c r="H187" i="36"/>
  <c r="H74" i="36"/>
  <c r="H146" i="36"/>
  <c r="H131" i="36"/>
  <c r="H78" i="36"/>
  <c r="H125" i="36"/>
  <c r="H215" i="36"/>
  <c r="H302" i="36"/>
  <c r="H219" i="36"/>
  <c r="H304" i="36"/>
  <c r="H151" i="36"/>
  <c r="H287" i="36"/>
  <c r="H223" i="36"/>
  <c r="H123" i="36"/>
  <c r="H106" i="36"/>
  <c r="H90" i="36"/>
  <c r="H62" i="36"/>
  <c r="H274" i="36"/>
  <c r="H159" i="36"/>
  <c r="H114" i="36"/>
  <c r="H249" i="36"/>
  <c r="H245" i="36"/>
  <c r="H241" i="36"/>
  <c r="H237" i="36"/>
  <c r="H206" i="36"/>
  <c r="H81" i="36"/>
  <c r="H265" i="36"/>
  <c r="H202" i="36"/>
  <c r="H149" i="36"/>
  <c r="H268" i="36"/>
  <c r="H301" i="36"/>
  <c r="H285" i="36"/>
  <c r="H258" i="36"/>
  <c r="H214" i="36"/>
  <c r="H252" i="36"/>
  <c r="H236" i="36"/>
  <c r="H220" i="36"/>
  <c r="H204" i="36"/>
  <c r="H145" i="36"/>
  <c r="H132" i="36"/>
  <c r="H225" i="36"/>
  <c r="H209" i="36"/>
  <c r="H157" i="36"/>
  <c r="H188" i="36"/>
  <c r="H184" i="36"/>
  <c r="H180" i="36"/>
  <c r="H176" i="36"/>
  <c r="H169" i="36"/>
  <c r="H137" i="36"/>
  <c r="H112" i="36"/>
  <c r="H73" i="36"/>
  <c r="H120" i="36"/>
  <c r="H65" i="36"/>
  <c r="H50" i="36"/>
  <c r="H42" i="36"/>
  <c r="H34" i="36"/>
  <c r="H26" i="36"/>
  <c r="H18" i="36"/>
  <c r="H10" i="36"/>
  <c r="H53" i="36"/>
  <c r="H45" i="36"/>
  <c r="H37" i="36"/>
  <c r="H29" i="36"/>
  <c r="H21" i="36"/>
  <c r="H13" i="36"/>
  <c r="H91" i="36"/>
  <c r="H75" i="36"/>
  <c r="K75" i="36" s="1"/>
  <c r="F82" i="34" s="1"/>
  <c r="H59" i="36"/>
  <c r="H44" i="36"/>
  <c r="H28" i="36"/>
  <c r="H12" i="36"/>
  <c r="K12" i="36" s="1"/>
  <c r="F19" i="34" s="1"/>
  <c r="H270" i="36"/>
  <c r="H115" i="36"/>
  <c r="H82" i="36"/>
  <c r="H51" i="36"/>
  <c r="H19" i="36"/>
  <c r="H185" i="36"/>
  <c r="H264" i="36"/>
  <c r="H233" i="36"/>
  <c r="H229" i="36"/>
  <c r="H222" i="36"/>
  <c r="H89" i="36"/>
  <c r="H69" i="36"/>
  <c r="H218" i="36"/>
  <c r="H177" i="36"/>
  <c r="H305" i="36"/>
  <c r="H289" i="36"/>
  <c r="H248" i="36"/>
  <c r="H232" i="36"/>
  <c r="H224" i="36"/>
  <c r="H208" i="36"/>
  <c r="H161" i="36"/>
  <c r="H221" i="36"/>
  <c r="H205" i="36"/>
  <c r="H196" i="36"/>
  <c r="H84" i="36"/>
  <c r="H168" i="36"/>
  <c r="H160" i="36"/>
  <c r="H152" i="36"/>
  <c r="H144" i="36"/>
  <c r="H136" i="36"/>
  <c r="H104" i="36"/>
  <c r="H101" i="36"/>
  <c r="H88" i="36"/>
  <c r="H85" i="36"/>
  <c r="H61" i="36"/>
  <c r="H107" i="36"/>
  <c r="H103" i="36"/>
  <c r="H87" i="36"/>
  <c r="H71" i="36"/>
  <c r="H56" i="36"/>
  <c r="K56" i="36" s="1"/>
  <c r="F63" i="34" s="1"/>
  <c r="H40" i="36"/>
  <c r="H24" i="36"/>
  <c r="H31" i="36"/>
  <c r="H226" i="36"/>
  <c r="H105" i="36"/>
  <c r="H97" i="36"/>
  <c r="H181" i="36"/>
  <c r="H210" i="36"/>
  <c r="H309" i="36"/>
  <c r="H293" i="36"/>
  <c r="H277" i="36"/>
  <c r="H262" i="36"/>
  <c r="H260" i="36"/>
  <c r="H244" i="36"/>
  <c r="H228" i="36"/>
  <c r="H212" i="36"/>
  <c r="H217" i="36"/>
  <c r="H201" i="36"/>
  <c r="H173" i="36"/>
  <c r="H141" i="36"/>
  <c r="H192" i="36"/>
  <c r="H153" i="36"/>
  <c r="H92" i="36"/>
  <c r="H77" i="36"/>
  <c r="H124" i="36"/>
  <c r="H111" i="36"/>
  <c r="H54" i="36"/>
  <c r="H46" i="36"/>
  <c r="H38" i="36"/>
  <c r="H30" i="36"/>
  <c r="H22" i="36"/>
  <c r="H14" i="36"/>
  <c r="H57" i="36"/>
  <c r="H49" i="36"/>
  <c r="H41" i="36"/>
  <c r="H33" i="36"/>
  <c r="H25" i="36"/>
  <c r="H17" i="36"/>
  <c r="H80" i="36"/>
  <c r="H76" i="36"/>
  <c r="H72" i="36"/>
  <c r="H68" i="36"/>
  <c r="H64" i="36"/>
  <c r="H60" i="36"/>
  <c r="H99" i="36"/>
  <c r="H83" i="36"/>
  <c r="H67" i="36"/>
  <c r="H52" i="36"/>
  <c r="H36" i="36"/>
  <c r="H20" i="36"/>
  <c r="H198" i="36"/>
  <c r="H98" i="36"/>
  <c r="H70" i="36"/>
  <c r="H35" i="36"/>
  <c r="H113" i="36"/>
  <c r="H165" i="36"/>
  <c r="H261" i="36"/>
  <c r="H257" i="36"/>
  <c r="H253" i="36"/>
  <c r="H129" i="36"/>
  <c r="H189" i="36"/>
  <c r="H116" i="36"/>
  <c r="H313" i="36"/>
  <c r="H297" i="36"/>
  <c r="H281" i="36"/>
  <c r="H272" i="36"/>
  <c r="H256" i="36"/>
  <c r="H240" i="36"/>
  <c r="H216" i="36"/>
  <c r="H213" i="36"/>
  <c r="H100" i="36"/>
  <c r="H128" i="36"/>
  <c r="H172" i="36"/>
  <c r="H164" i="36"/>
  <c r="H156" i="36"/>
  <c r="H148" i="36"/>
  <c r="H140" i="36"/>
  <c r="H96" i="36"/>
  <c r="H93" i="36"/>
  <c r="H95" i="36"/>
  <c r="H79" i="36"/>
  <c r="H63" i="36"/>
  <c r="H48" i="36"/>
  <c r="H32" i="36"/>
  <c r="H16" i="36"/>
  <c r="V315" i="42"/>
  <c r="K315" i="13"/>
  <c r="E313" i="49"/>
  <c r="E306" i="49"/>
  <c r="E302" i="49"/>
  <c r="E291" i="49"/>
  <c r="E283" i="49"/>
  <c r="E267" i="49"/>
  <c r="E259" i="49"/>
  <c r="E251" i="49"/>
  <c r="E229" i="49"/>
  <c r="E225" i="49"/>
  <c r="E206" i="49"/>
  <c r="E186" i="49"/>
  <c r="E178" i="49"/>
  <c r="E159" i="49"/>
  <c r="E155" i="49"/>
  <c r="E147" i="49"/>
  <c r="E139" i="49"/>
  <c r="E123" i="49"/>
  <c r="E115" i="49"/>
  <c r="E111" i="49"/>
  <c r="E103" i="49"/>
  <c r="E99" i="49"/>
  <c r="E91" i="49"/>
  <c r="E83" i="49"/>
  <c r="E75" i="49"/>
  <c r="E67" i="49"/>
  <c r="E59" i="49"/>
  <c r="E51" i="49"/>
  <c r="E43" i="49"/>
  <c r="E35" i="49"/>
  <c r="E20" i="49"/>
  <c r="E16" i="49"/>
  <c r="E8" i="49"/>
  <c r="E305" i="49"/>
  <c r="E290" i="49"/>
  <c r="E282" i="49"/>
  <c r="E278" i="49"/>
  <c r="E270" i="49"/>
  <c r="E262" i="49"/>
  <c r="E254" i="49"/>
  <c r="E250" i="49"/>
  <c r="E235" i="49"/>
  <c r="E232" i="49"/>
  <c r="E213" i="49"/>
  <c r="E205" i="49"/>
  <c r="E197" i="49"/>
  <c r="E185" i="49"/>
  <c r="E177" i="49"/>
  <c r="E158" i="49"/>
  <c r="E150" i="49"/>
  <c r="E58" i="49"/>
  <c r="E50" i="49"/>
  <c r="E7" i="49"/>
  <c r="E308" i="49"/>
  <c r="E304" i="49"/>
  <c r="E293" i="49"/>
  <c r="E289" i="49"/>
  <c r="E285" i="49"/>
  <c r="E281" i="49"/>
  <c r="E277" i="49"/>
  <c r="E273" i="49"/>
  <c r="E265" i="49"/>
  <c r="E261" i="49"/>
  <c r="E257" i="49"/>
  <c r="E253" i="49"/>
  <c r="E249" i="49"/>
  <c r="E240" i="49"/>
  <c r="E234" i="49"/>
  <c r="E231" i="49"/>
  <c r="E227" i="49"/>
  <c r="E223" i="49"/>
  <c r="E216" i="49"/>
  <c r="E212" i="49"/>
  <c r="E208" i="49"/>
  <c r="E204" i="49"/>
  <c r="E200" i="49"/>
  <c r="E192" i="49"/>
  <c r="E188" i="49"/>
  <c r="E184" i="49"/>
  <c r="E180" i="49"/>
  <c r="E176" i="49"/>
  <c r="E173" i="49"/>
  <c r="E166" i="49"/>
  <c r="E164" i="49"/>
  <c r="E161" i="49"/>
  <c r="E157" i="49"/>
  <c r="E153" i="49"/>
  <c r="E149" i="49"/>
  <c r="E137" i="49"/>
  <c r="E129" i="49"/>
  <c r="E125" i="49"/>
  <c r="E121" i="49"/>
  <c r="E113" i="49"/>
  <c r="E109" i="49"/>
  <c r="E105" i="49"/>
  <c r="E101" i="49"/>
  <c r="E97" i="49"/>
  <c r="E93" i="49"/>
  <c r="E89" i="49"/>
  <c r="E81" i="49"/>
  <c r="E77" i="49"/>
  <c r="E73" i="49"/>
  <c r="E69" i="49"/>
  <c r="E65" i="49"/>
  <c r="E61" i="49"/>
  <c r="E57" i="49"/>
  <c r="E53" i="49"/>
  <c r="E49" i="49"/>
  <c r="E45" i="49"/>
  <c r="E41" i="49"/>
  <c r="E37" i="49"/>
  <c r="E33" i="49"/>
  <c r="E30" i="49"/>
  <c r="E26" i="49"/>
  <c r="E22" i="49"/>
  <c r="E18" i="49"/>
  <c r="E14" i="49"/>
  <c r="E10" i="49"/>
  <c r="C6" i="25"/>
  <c r="E6" i="49"/>
  <c r="E310" i="49"/>
  <c r="E298" i="49"/>
  <c r="E279" i="49"/>
  <c r="E271" i="49"/>
  <c r="E263" i="49"/>
  <c r="E247" i="49"/>
  <c r="E210" i="49"/>
  <c r="E202" i="49"/>
  <c r="E190" i="49"/>
  <c r="E174" i="49"/>
  <c r="E171" i="49"/>
  <c r="E143" i="49"/>
  <c r="E107" i="49"/>
  <c r="E87" i="49"/>
  <c r="E79" i="49"/>
  <c r="E71" i="49"/>
  <c r="E63" i="49"/>
  <c r="E55" i="49"/>
  <c r="E47" i="49"/>
  <c r="E39" i="49"/>
  <c r="E12" i="49"/>
  <c r="E309" i="49"/>
  <c r="E301" i="49"/>
  <c r="E297" i="49"/>
  <c r="E294" i="49"/>
  <c r="E286" i="49"/>
  <c r="E274" i="49"/>
  <c r="E266" i="49"/>
  <c r="E258" i="49"/>
  <c r="E246" i="49"/>
  <c r="E237" i="49"/>
  <c r="E224" i="49"/>
  <c r="E217" i="49"/>
  <c r="E209" i="49"/>
  <c r="E201" i="49"/>
  <c r="E193" i="49"/>
  <c r="E189" i="49"/>
  <c r="E181" i="49"/>
  <c r="E162" i="49"/>
  <c r="E154" i="49"/>
  <c r="E146" i="49"/>
  <c r="E134" i="49"/>
  <c r="E46" i="49"/>
  <c r="D314" i="49"/>
  <c r="E307" i="49"/>
  <c r="E299" i="49"/>
  <c r="E284" i="49"/>
  <c r="E280" i="49"/>
  <c r="E276" i="49"/>
  <c r="E272" i="49"/>
  <c r="E264" i="49"/>
  <c r="E252" i="49"/>
  <c r="E248" i="49"/>
  <c r="E239" i="49"/>
  <c r="E236" i="49"/>
  <c r="E230" i="49"/>
  <c r="E222" i="49"/>
  <c r="E215" i="49"/>
  <c r="E211" i="49"/>
  <c r="E207" i="49"/>
  <c r="E203" i="49"/>
  <c r="E199" i="49"/>
  <c r="E191" i="49"/>
  <c r="E187" i="49"/>
  <c r="E183" i="49"/>
  <c r="E175" i="49"/>
  <c r="E168" i="49"/>
  <c r="E165" i="49"/>
  <c r="E163" i="49"/>
  <c r="E160" i="49"/>
  <c r="E156" i="49"/>
  <c r="E152" i="49"/>
  <c r="E144" i="49"/>
  <c r="E140" i="49"/>
  <c r="E136" i="49"/>
  <c r="E132" i="49"/>
  <c r="E128" i="49"/>
  <c r="E124" i="49"/>
  <c r="E116" i="49"/>
  <c r="E112" i="49"/>
  <c r="E108" i="49"/>
  <c r="E104" i="49"/>
  <c r="E100" i="49"/>
  <c r="E96" i="49"/>
  <c r="E92" i="49"/>
  <c r="E88" i="49"/>
  <c r="E84" i="49"/>
  <c r="E80" i="49"/>
  <c r="E76" i="49"/>
  <c r="E72" i="49"/>
  <c r="E68" i="49"/>
  <c r="E64" i="49"/>
  <c r="E60" i="49"/>
  <c r="E56" i="49"/>
  <c r="E52" i="49"/>
  <c r="E48" i="49"/>
  <c r="E44" i="49"/>
  <c r="E40" i="49"/>
  <c r="E36" i="49"/>
  <c r="E32" i="49"/>
  <c r="E29" i="49"/>
  <c r="E25" i="49"/>
  <c r="E21" i="49"/>
  <c r="E17" i="49"/>
  <c r="E13" i="49"/>
  <c r="E9" i="49"/>
  <c r="D6" i="25"/>
  <c r="D6" i="33"/>
  <c r="L289" i="13"/>
  <c r="M289" i="13" s="1"/>
  <c r="L257" i="13"/>
  <c r="M257" i="13" s="1"/>
  <c r="L245" i="13"/>
  <c r="M245" i="13" s="1"/>
  <c r="L196" i="13"/>
  <c r="M196" i="13" s="1"/>
  <c r="L180" i="13"/>
  <c r="M180" i="13" s="1"/>
  <c r="L149" i="13"/>
  <c r="M149" i="13" s="1"/>
  <c r="L121" i="13"/>
  <c r="M121" i="13" s="1"/>
  <c r="L296" i="13"/>
  <c r="M296" i="13" s="1"/>
  <c r="L276" i="13"/>
  <c r="M276" i="13" s="1"/>
  <c r="L256" i="13"/>
  <c r="M256" i="13" s="1"/>
  <c r="L243" i="13"/>
  <c r="M243" i="13" s="1"/>
  <c r="L234" i="13"/>
  <c r="M234" i="13" s="1"/>
  <c r="L222" i="13"/>
  <c r="M222" i="13" s="1"/>
  <c r="L215" i="13"/>
  <c r="M215" i="13" s="1"/>
  <c r="L199" i="13"/>
  <c r="M199" i="13" s="1"/>
  <c r="L168" i="13"/>
  <c r="M168" i="13" s="1"/>
  <c r="L152" i="13"/>
  <c r="M152" i="13" s="1"/>
  <c r="L132" i="13"/>
  <c r="M132" i="13" s="1"/>
  <c r="L128" i="13"/>
  <c r="M128" i="13" s="1"/>
  <c r="L120" i="13"/>
  <c r="M120" i="13" s="1"/>
  <c r="L96" i="13"/>
  <c r="M96" i="13" s="1"/>
  <c r="L242" i="13"/>
  <c r="M242" i="13" s="1"/>
  <c r="L229" i="13"/>
  <c r="M229" i="13" s="1"/>
  <c r="L221" i="13"/>
  <c r="M221" i="13" s="1"/>
  <c r="L171" i="13"/>
  <c r="M171" i="13" s="1"/>
  <c r="L139" i="13"/>
  <c r="M139" i="13" s="1"/>
  <c r="L127" i="13"/>
  <c r="M127" i="13" s="1"/>
  <c r="L119" i="13"/>
  <c r="M119" i="13" s="1"/>
  <c r="L111" i="13"/>
  <c r="M111" i="13" s="1"/>
  <c r="L103" i="13"/>
  <c r="M103" i="13" s="1"/>
  <c r="L95" i="13"/>
  <c r="M95" i="13" s="1"/>
  <c r="L87" i="13"/>
  <c r="M87" i="13" s="1"/>
  <c r="L83" i="13"/>
  <c r="M83" i="13" s="1"/>
  <c r="L75" i="13"/>
  <c r="M75" i="13" s="1"/>
  <c r="L67" i="13"/>
  <c r="M67" i="13" s="1"/>
  <c r="L63" i="13"/>
  <c r="M63" i="13" s="1"/>
  <c r="L55" i="13"/>
  <c r="M55" i="13" s="1"/>
  <c r="L39" i="13"/>
  <c r="M39" i="13" s="1"/>
  <c r="L32" i="13"/>
  <c r="M32" i="13" s="1"/>
  <c r="L28" i="13"/>
  <c r="M28" i="13" s="1"/>
  <c r="L24" i="13"/>
  <c r="M24" i="13" s="1"/>
  <c r="L20" i="13"/>
  <c r="M20" i="13" s="1"/>
  <c r="L118" i="13"/>
  <c r="M118" i="13" s="1"/>
  <c r="L86" i="13"/>
  <c r="M86" i="13" s="1"/>
  <c r="B314" i="11"/>
  <c r="L135" i="13"/>
  <c r="M135" i="13" s="1"/>
  <c r="L59" i="13"/>
  <c r="M59" i="13" s="1"/>
  <c r="L51" i="13"/>
  <c r="M51" i="13" s="1"/>
  <c r="L9" i="13"/>
  <c r="M9" i="13" s="1"/>
  <c r="L143" i="13"/>
  <c r="M143" i="13" s="1"/>
  <c r="L131" i="13"/>
  <c r="M131" i="13" s="1"/>
  <c r="L123" i="13"/>
  <c r="M123" i="13" s="1"/>
  <c r="L115" i="13"/>
  <c r="M115" i="13" s="1"/>
  <c r="L107" i="13"/>
  <c r="M107" i="13" s="1"/>
  <c r="L99" i="13"/>
  <c r="M99" i="13" s="1"/>
  <c r="L91" i="13"/>
  <c r="M91" i="13" s="1"/>
  <c r="L79" i="13"/>
  <c r="M79" i="13" s="1"/>
  <c r="L71" i="13"/>
  <c r="M71" i="13" s="1"/>
  <c r="L47" i="13"/>
  <c r="M47" i="13" s="1"/>
  <c r="L43" i="13"/>
  <c r="M43" i="13" s="1"/>
  <c r="L35" i="13"/>
  <c r="M35" i="13" s="1"/>
  <c r="L16" i="13"/>
  <c r="M16" i="13" s="1"/>
  <c r="L12" i="13"/>
  <c r="M12" i="13" s="1"/>
  <c r="Y7" i="19"/>
  <c r="C6" i="32" s="1"/>
  <c r="L175" i="13"/>
  <c r="M175" i="13" s="1"/>
  <c r="L272" i="13"/>
  <c r="M272" i="13" s="1"/>
  <c r="L299" i="13"/>
  <c r="M299" i="13" s="1"/>
  <c r="L191" i="13"/>
  <c r="M191" i="13" s="1"/>
  <c r="L68" i="13"/>
  <c r="M68" i="13" s="1"/>
  <c r="L36" i="13"/>
  <c r="M36" i="13" s="1"/>
  <c r="L277" i="13"/>
  <c r="M277" i="13" s="1"/>
  <c r="L249" i="13"/>
  <c r="M249" i="13" s="1"/>
  <c r="L240" i="13"/>
  <c r="M240" i="13" s="1"/>
  <c r="L314" i="13"/>
  <c r="M314" i="13" s="1"/>
  <c r="L307" i="13"/>
  <c r="M307" i="13" s="1"/>
  <c r="L303" i="13"/>
  <c r="M303" i="13" s="1"/>
  <c r="L284" i="13"/>
  <c r="M284" i="13" s="1"/>
  <c r="L260" i="13"/>
  <c r="M260" i="13" s="1"/>
  <c r="L252" i="13"/>
  <c r="M252" i="13" s="1"/>
  <c r="L239" i="13"/>
  <c r="M239" i="13" s="1"/>
  <c r="L226" i="13"/>
  <c r="M226" i="13" s="1"/>
  <c r="L207" i="13"/>
  <c r="M207" i="13" s="1"/>
  <c r="L183" i="13"/>
  <c r="M183" i="13" s="1"/>
  <c r="L172" i="13"/>
  <c r="M172" i="13" s="1"/>
  <c r="L60" i="13"/>
  <c r="M60" i="13" s="1"/>
  <c r="L56" i="13"/>
  <c r="M56" i="13" s="1"/>
  <c r="L48" i="13"/>
  <c r="M48" i="13" s="1"/>
  <c r="L29" i="13"/>
  <c r="M29" i="13" s="1"/>
  <c r="L17" i="13"/>
  <c r="M17" i="13" s="1"/>
  <c r="L248" i="13"/>
  <c r="M248" i="13" s="1"/>
  <c r="L230" i="13"/>
  <c r="M230" i="13" s="1"/>
  <c r="L264" i="13"/>
  <c r="M264" i="13" s="1"/>
  <c r="L311" i="13"/>
  <c r="M311" i="13" s="1"/>
  <c r="L292" i="13"/>
  <c r="M292" i="13" s="1"/>
  <c r="L288" i="13"/>
  <c r="M288" i="13" s="1"/>
  <c r="L280" i="13"/>
  <c r="M280" i="13" s="1"/>
  <c r="L268" i="13"/>
  <c r="M268" i="13" s="1"/>
  <c r="L211" i="13"/>
  <c r="M211" i="13" s="1"/>
  <c r="L203" i="13"/>
  <c r="M203" i="13" s="1"/>
  <c r="L195" i="13"/>
  <c r="M195" i="13" s="1"/>
  <c r="L187" i="13"/>
  <c r="M187" i="13" s="1"/>
  <c r="L44" i="13"/>
  <c r="M44" i="13" s="1"/>
  <c r="L25" i="13"/>
  <c r="M25" i="13" s="1"/>
  <c r="L179" i="13"/>
  <c r="M179" i="13" s="1"/>
  <c r="L162" i="13"/>
  <c r="M162" i="13" s="1"/>
  <c r="L154" i="13"/>
  <c r="M154" i="13" s="1"/>
  <c r="L146" i="13"/>
  <c r="M146" i="13" s="1"/>
  <c r="L138" i="13"/>
  <c r="M138" i="13" s="1"/>
  <c r="L130" i="13"/>
  <c r="M130" i="13" s="1"/>
  <c r="L114" i="13"/>
  <c r="M114" i="13" s="1"/>
  <c r="L106" i="13"/>
  <c r="M106" i="13" s="1"/>
  <c r="L98" i="13"/>
  <c r="M98" i="13" s="1"/>
  <c r="L90" i="13"/>
  <c r="M90" i="13" s="1"/>
  <c r="L82" i="13"/>
  <c r="M82" i="13" s="1"/>
  <c r="L122" i="13"/>
  <c r="M122" i="13" s="1"/>
  <c r="L304" i="13"/>
  <c r="M304" i="13" s="1"/>
  <c r="L158" i="13"/>
  <c r="M158" i="13" s="1"/>
  <c r="L150" i="13"/>
  <c r="M150" i="13" s="1"/>
  <c r="L142" i="13"/>
  <c r="M142" i="13" s="1"/>
  <c r="L134" i="13"/>
  <c r="M134" i="13" s="1"/>
  <c r="L102" i="13"/>
  <c r="M102" i="13" s="1"/>
  <c r="L94" i="13"/>
  <c r="M94" i="13" s="1"/>
  <c r="L78" i="13"/>
  <c r="M78" i="13" s="1"/>
  <c r="L110" i="13"/>
  <c r="M110" i="13" s="1"/>
  <c r="L312" i="13"/>
  <c r="M312" i="13" s="1"/>
  <c r="L308" i="13"/>
  <c r="M308" i="13" s="1"/>
  <c r="L300" i="13"/>
  <c r="M300" i="13" s="1"/>
  <c r="L126" i="13"/>
  <c r="M126" i="13" s="1"/>
  <c r="L285" i="13"/>
  <c r="M285" i="13" s="1"/>
  <c r="L269" i="13"/>
  <c r="M269" i="13" s="1"/>
  <c r="L261" i="13"/>
  <c r="M261" i="13" s="1"/>
  <c r="L253" i="13"/>
  <c r="M253" i="13" s="1"/>
  <c r="L216" i="13"/>
  <c r="M216" i="13" s="1"/>
  <c r="L208" i="13"/>
  <c r="M208" i="13" s="1"/>
  <c r="L192" i="13"/>
  <c r="M192" i="13" s="1"/>
  <c r="L173" i="13"/>
  <c r="M173" i="13" s="1"/>
  <c r="L169" i="13"/>
  <c r="M169" i="13" s="1"/>
  <c r="L164" i="13"/>
  <c r="M164" i="13" s="1"/>
  <c r="L161" i="13"/>
  <c r="M161" i="13" s="1"/>
  <c r="L176" i="13"/>
  <c r="M176" i="13" s="1"/>
  <c r="L293" i="13"/>
  <c r="M293" i="13" s="1"/>
  <c r="L281" i="13"/>
  <c r="M281" i="13" s="1"/>
  <c r="L273" i="13"/>
  <c r="M273" i="13" s="1"/>
  <c r="L265" i="13"/>
  <c r="M265" i="13" s="1"/>
  <c r="L237" i="13"/>
  <c r="M237" i="13" s="1"/>
  <c r="L227" i="13"/>
  <c r="M227" i="13" s="1"/>
  <c r="L220" i="13"/>
  <c r="M220" i="13" s="1"/>
  <c r="L212" i="13"/>
  <c r="M212" i="13" s="1"/>
  <c r="L204" i="13"/>
  <c r="M204" i="13" s="1"/>
  <c r="L188" i="13"/>
  <c r="M188" i="13" s="1"/>
  <c r="L166" i="13"/>
  <c r="M166" i="13" s="1"/>
  <c r="L157" i="13"/>
  <c r="M157" i="13" s="1"/>
  <c r="L200" i="13"/>
  <c r="M200" i="13" s="1"/>
  <c r="L231" i="13"/>
  <c r="M231" i="13" s="1"/>
  <c r="L223" i="13"/>
  <c r="M223" i="13" s="1"/>
  <c r="L184" i="13"/>
  <c r="M184" i="13" s="1"/>
  <c r="L153" i="13"/>
  <c r="M153" i="13" s="1"/>
  <c r="L14" i="13"/>
  <c r="M14" i="13" s="1"/>
  <c r="L21" i="13"/>
  <c r="M21" i="13" s="1"/>
  <c r="L72" i="13"/>
  <c r="M72" i="13" s="1"/>
  <c r="L64" i="13"/>
  <c r="M64" i="13" s="1"/>
  <c r="L52" i="13"/>
  <c r="M52" i="13" s="1"/>
  <c r="K315" i="19"/>
  <c r="E315" i="19"/>
  <c r="H194" i="49"/>
  <c r="I194" i="49" s="1"/>
  <c r="L13" i="13"/>
  <c r="M13" i="13" s="1"/>
  <c r="L40" i="13"/>
  <c r="M40" i="13" s="1"/>
  <c r="H164" i="49"/>
  <c r="H163" i="49"/>
  <c r="L38" i="13"/>
  <c r="M38" i="13" s="1"/>
  <c r="F315" i="19"/>
  <c r="M315" i="19"/>
  <c r="P315" i="19"/>
  <c r="V315" i="19"/>
  <c r="C315" i="19"/>
  <c r="L270" i="13"/>
  <c r="M270" i="13" s="1"/>
  <c r="J315" i="19"/>
  <c r="D6" i="32"/>
  <c r="D314" i="32" s="1"/>
  <c r="Z315" i="19"/>
  <c r="L310" i="13"/>
  <c r="M310" i="13" s="1"/>
  <c r="L302" i="13"/>
  <c r="M302" i="13" s="1"/>
  <c r="L298" i="13"/>
  <c r="M298" i="13" s="1"/>
  <c r="L291" i="13"/>
  <c r="M291" i="13" s="1"/>
  <c r="L287" i="13"/>
  <c r="M287" i="13" s="1"/>
  <c r="L283" i="13"/>
  <c r="M283" i="13" s="1"/>
  <c r="L275" i="13"/>
  <c r="M275" i="13" s="1"/>
  <c r="L271" i="13"/>
  <c r="M271" i="13" s="1"/>
  <c r="L267" i="13"/>
  <c r="M267" i="13" s="1"/>
  <c r="L263" i="13"/>
  <c r="M263" i="13" s="1"/>
  <c r="L255" i="13"/>
  <c r="M255" i="13" s="1"/>
  <c r="L247" i="13"/>
  <c r="M247" i="13" s="1"/>
  <c r="L238" i="13"/>
  <c r="M238" i="13" s="1"/>
  <c r="L233" i="13"/>
  <c r="M233" i="13" s="1"/>
  <c r="L225" i="13"/>
  <c r="M225" i="13" s="1"/>
  <c r="L218" i="13"/>
  <c r="M218" i="13" s="1"/>
  <c r="L202" i="13"/>
  <c r="M202" i="13" s="1"/>
  <c r="L198" i="13"/>
  <c r="M198" i="13" s="1"/>
  <c r="L194" i="13"/>
  <c r="M194" i="13" s="1"/>
  <c r="L186" i="13"/>
  <c r="M186" i="13" s="1"/>
  <c r="L182" i="13"/>
  <c r="M182" i="13" s="1"/>
  <c r="L178" i="13"/>
  <c r="M178" i="13" s="1"/>
  <c r="L160" i="13"/>
  <c r="M160" i="13" s="1"/>
  <c r="L156" i="13"/>
  <c r="M156" i="13" s="1"/>
  <c r="L148" i="13"/>
  <c r="M148" i="13" s="1"/>
  <c r="L145" i="13"/>
  <c r="M145" i="13" s="1"/>
  <c r="L137" i="13"/>
  <c r="M137" i="13" s="1"/>
  <c r="L133" i="13"/>
  <c r="M133" i="13" s="1"/>
  <c r="L129" i="13"/>
  <c r="M129" i="13" s="1"/>
  <c r="L125" i="13"/>
  <c r="M125" i="13" s="1"/>
  <c r="L113" i="13"/>
  <c r="M113" i="13" s="1"/>
  <c r="L109" i="13"/>
  <c r="M109" i="13" s="1"/>
  <c r="L105" i="13"/>
  <c r="M105" i="13" s="1"/>
  <c r="L101" i="13"/>
  <c r="M101" i="13" s="1"/>
  <c r="L97" i="13"/>
  <c r="M97" i="13" s="1"/>
  <c r="L89" i="13"/>
  <c r="M89" i="13" s="1"/>
  <c r="L81" i="13"/>
  <c r="M81" i="13" s="1"/>
  <c r="L70" i="13"/>
  <c r="M70" i="13" s="1"/>
  <c r="L66" i="13"/>
  <c r="M66" i="13" s="1"/>
  <c r="L62" i="13"/>
  <c r="M62" i="13" s="1"/>
  <c r="L58" i="13"/>
  <c r="M58" i="13" s="1"/>
  <c r="L54" i="13"/>
  <c r="M54" i="13" s="1"/>
  <c r="L50" i="13"/>
  <c r="M50" i="13" s="1"/>
  <c r="L46" i="13"/>
  <c r="M46" i="13" s="1"/>
  <c r="L42" i="13"/>
  <c r="M42" i="13" s="1"/>
  <c r="L34" i="13"/>
  <c r="M34" i="13" s="1"/>
  <c r="L31" i="13"/>
  <c r="M31" i="13" s="1"/>
  <c r="L27" i="13"/>
  <c r="M27" i="13" s="1"/>
  <c r="L23" i="13"/>
  <c r="M23" i="13" s="1"/>
  <c r="L19" i="13"/>
  <c r="M19" i="13" s="1"/>
  <c r="L11" i="13"/>
  <c r="M11" i="13" s="1"/>
  <c r="L8" i="13"/>
  <c r="H315" i="19"/>
  <c r="L206" i="13"/>
  <c r="M206" i="13" s="1"/>
  <c r="L85" i="13"/>
  <c r="M85" i="13" s="1"/>
  <c r="AA315" i="19"/>
  <c r="L309" i="13"/>
  <c r="M309" i="13" s="1"/>
  <c r="L301" i="13"/>
  <c r="M301" i="13" s="1"/>
  <c r="L294" i="13"/>
  <c r="M294" i="13" s="1"/>
  <c r="L286" i="13"/>
  <c r="M286" i="13" s="1"/>
  <c r="L278" i="13"/>
  <c r="M278" i="13" s="1"/>
  <c r="L274" i="13"/>
  <c r="M274" i="13" s="1"/>
  <c r="L266" i="13"/>
  <c r="M266" i="13" s="1"/>
  <c r="L258" i="13"/>
  <c r="M258" i="13" s="1"/>
  <c r="L250" i="13"/>
  <c r="M250" i="13" s="1"/>
  <c r="L241" i="13"/>
  <c r="M241" i="13" s="1"/>
  <c r="L235" i="13"/>
  <c r="M235" i="13" s="1"/>
  <c r="L228" i="13"/>
  <c r="M228" i="13" s="1"/>
  <c r="L209" i="13"/>
  <c r="M209" i="13" s="1"/>
  <c r="L197" i="13"/>
  <c r="M197" i="13" s="1"/>
  <c r="L189" i="13"/>
  <c r="M189" i="13" s="1"/>
  <c r="L181" i="13"/>
  <c r="M181" i="13" s="1"/>
  <c r="L177" i="13"/>
  <c r="M177" i="13" s="1"/>
  <c r="L165" i="13"/>
  <c r="M165" i="13" s="1"/>
  <c r="L163" i="13"/>
  <c r="M163" i="13" s="1"/>
  <c r="L155" i="13"/>
  <c r="M155" i="13" s="1"/>
  <c r="L124" i="13"/>
  <c r="M124" i="13" s="1"/>
  <c r="L116" i="13"/>
  <c r="M116" i="13" s="1"/>
  <c r="L108" i="13"/>
  <c r="M108" i="13" s="1"/>
  <c r="L100" i="13"/>
  <c r="M100" i="13" s="1"/>
  <c r="L92" i="13"/>
  <c r="M92" i="13" s="1"/>
  <c r="L76" i="13"/>
  <c r="M76" i="13" s="1"/>
  <c r="L69" i="13"/>
  <c r="M69" i="13" s="1"/>
  <c r="L65" i="13"/>
  <c r="M65" i="13" s="1"/>
  <c r="L57" i="13"/>
  <c r="M57" i="13" s="1"/>
  <c r="L49" i="13"/>
  <c r="M49" i="13" s="1"/>
  <c r="L41" i="13"/>
  <c r="M41" i="13" s="1"/>
  <c r="L37" i="13"/>
  <c r="M37" i="13" s="1"/>
  <c r="L30" i="13"/>
  <c r="M30" i="13" s="1"/>
  <c r="L22" i="13"/>
  <c r="M22" i="13" s="1"/>
  <c r="L10" i="13"/>
  <c r="M10" i="13" s="1"/>
  <c r="D315" i="19"/>
  <c r="H149" i="49"/>
  <c r="H19" i="49"/>
  <c r="I19" i="49" s="1"/>
  <c r="L315" i="19"/>
  <c r="L201" i="13"/>
  <c r="M201" i="13" s="1"/>
  <c r="L213" i="13"/>
  <c r="M213" i="13" s="1"/>
  <c r="L93" i="13"/>
  <c r="M93" i="13" s="1"/>
  <c r="L141" i="13"/>
  <c r="M141" i="13" s="1"/>
  <c r="L77" i="13"/>
  <c r="M77" i="13" s="1"/>
  <c r="L74" i="13"/>
  <c r="M74" i="13" s="1"/>
  <c r="L15" i="13"/>
  <c r="M15" i="13" s="1"/>
  <c r="L306" i="13"/>
  <c r="M306" i="13" s="1"/>
  <c r="L295" i="13"/>
  <c r="M295" i="13" s="1"/>
  <c r="L279" i="13"/>
  <c r="M279" i="13" s="1"/>
  <c r="L251" i="13"/>
  <c r="M251" i="13" s="1"/>
  <c r="L236" i="13"/>
  <c r="M236" i="13" s="1"/>
  <c r="L214" i="13"/>
  <c r="M214" i="13" s="1"/>
  <c r="L210" i="13"/>
  <c r="M210" i="13" s="1"/>
  <c r="L190" i="13"/>
  <c r="M190" i="13" s="1"/>
  <c r="L117" i="13"/>
  <c r="M117" i="13" s="1"/>
  <c r="W315" i="19"/>
  <c r="X315" i="19"/>
  <c r="L313" i="13"/>
  <c r="M313" i="13" s="1"/>
  <c r="L305" i="13"/>
  <c r="M305" i="13" s="1"/>
  <c r="L297" i="13"/>
  <c r="M297" i="13" s="1"/>
  <c r="L290" i="13"/>
  <c r="M290" i="13" s="1"/>
  <c r="L282" i="13"/>
  <c r="M282" i="13" s="1"/>
  <c r="L262" i="13"/>
  <c r="M262" i="13" s="1"/>
  <c r="L254" i="13"/>
  <c r="M254" i="13" s="1"/>
  <c r="L246" i="13"/>
  <c r="M246" i="13" s="1"/>
  <c r="L232" i="13"/>
  <c r="M232" i="13" s="1"/>
  <c r="L224" i="13"/>
  <c r="M224" i="13" s="1"/>
  <c r="L217" i="13"/>
  <c r="M217" i="13" s="1"/>
  <c r="L205" i="13"/>
  <c r="M205" i="13" s="1"/>
  <c r="L193" i="13"/>
  <c r="M193" i="13" s="1"/>
  <c r="L185" i="13"/>
  <c r="M185" i="13" s="1"/>
  <c r="L151" i="13"/>
  <c r="M151" i="13" s="1"/>
  <c r="L144" i="13"/>
  <c r="M144" i="13" s="1"/>
  <c r="L136" i="13"/>
  <c r="M136" i="13" s="1"/>
  <c r="L112" i="13"/>
  <c r="M112" i="13" s="1"/>
  <c r="L104" i="13"/>
  <c r="M104" i="13" s="1"/>
  <c r="L88" i="13"/>
  <c r="M88" i="13" s="1"/>
  <c r="L84" i="13"/>
  <c r="M84" i="13" s="1"/>
  <c r="L73" i="13"/>
  <c r="M73" i="13" s="1"/>
  <c r="L61" i="13"/>
  <c r="M61" i="13" s="1"/>
  <c r="L53" i="13"/>
  <c r="M53" i="13" s="1"/>
  <c r="L45" i="13"/>
  <c r="M45" i="13" s="1"/>
  <c r="L33" i="13"/>
  <c r="M33" i="13" s="1"/>
  <c r="L26" i="13"/>
  <c r="M26" i="13" s="1"/>
  <c r="L259" i="13"/>
  <c r="M259" i="13" s="1"/>
  <c r="L167" i="13"/>
  <c r="M167" i="13" s="1"/>
  <c r="L80" i="13"/>
  <c r="M80" i="13" s="1"/>
  <c r="L18" i="13"/>
  <c r="M18" i="13" s="1"/>
  <c r="L140" i="13"/>
  <c r="M140" i="13" s="1"/>
  <c r="L159" i="13"/>
  <c r="M159" i="13" s="1"/>
  <c r="L174" i="13"/>
  <c r="M174" i="13" s="1"/>
  <c r="L147" i="13"/>
  <c r="M147" i="13" s="1"/>
  <c r="G7" i="19"/>
  <c r="R7" i="19" s="1"/>
  <c r="H106" i="49"/>
  <c r="I106" i="49" s="1"/>
  <c r="H54" i="49"/>
  <c r="I54" i="49" s="1"/>
  <c r="H8" i="49"/>
  <c r="H105" i="49"/>
  <c r="H129" i="49"/>
  <c r="H171" i="49"/>
  <c r="H38" i="49"/>
  <c r="I38" i="49" s="1"/>
  <c r="H287" i="49"/>
  <c r="I287" i="49" s="1"/>
  <c r="H206" i="49"/>
  <c r="H190" i="49"/>
  <c r="H142" i="49"/>
  <c r="I142" i="49" s="1"/>
  <c r="H58" i="49"/>
  <c r="H46" i="49"/>
  <c r="H295" i="49"/>
  <c r="I295" i="49" s="1"/>
  <c r="H230" i="49"/>
  <c r="H229" i="49"/>
  <c r="H225" i="49"/>
  <c r="H205" i="49"/>
  <c r="H162" i="49"/>
  <c r="H125" i="49"/>
  <c r="H113" i="49"/>
  <c r="H89" i="49"/>
  <c r="H86" i="49"/>
  <c r="I86" i="49" s="1"/>
  <c r="H79" i="49"/>
  <c r="H71" i="49"/>
  <c r="H67" i="49"/>
  <c r="H62" i="49"/>
  <c r="I62" i="49" s="1"/>
  <c r="H35" i="49"/>
  <c r="H28" i="49"/>
  <c r="I28" i="49" s="1"/>
  <c r="H13" i="49"/>
  <c r="H11" i="49"/>
  <c r="I11" i="49" s="1"/>
  <c r="H66" i="49"/>
  <c r="I66" i="49" s="1"/>
  <c r="H265" i="49"/>
  <c r="H239" i="49"/>
  <c r="H175" i="49"/>
  <c r="H174" i="49"/>
  <c r="H124" i="49"/>
  <c r="H94" i="49"/>
  <c r="I94" i="49" s="1"/>
  <c r="H84" i="49"/>
  <c r="H83" i="49"/>
  <c r="H82" i="49"/>
  <c r="I82" i="49" s="1"/>
  <c r="H78" i="49"/>
  <c r="I78" i="49" s="1"/>
  <c r="H74" i="49"/>
  <c r="I74" i="49" s="1"/>
  <c r="H70" i="49"/>
  <c r="I70" i="49" s="1"/>
  <c r="H55" i="49"/>
  <c r="H51" i="49"/>
  <c r="H50" i="49"/>
  <c r="H31" i="49"/>
  <c r="I31" i="49" s="1"/>
  <c r="H14" i="49"/>
  <c r="H302" i="49"/>
  <c r="H298" i="49"/>
  <c r="H288" i="49"/>
  <c r="I288" i="49" s="1"/>
  <c r="H272" i="49"/>
  <c r="H264" i="49"/>
  <c r="H247" i="49"/>
  <c r="H238" i="49"/>
  <c r="I238" i="49" s="1"/>
  <c r="H219" i="49"/>
  <c r="I219" i="49" s="1"/>
  <c r="H195" i="49"/>
  <c r="I195" i="49" s="1"/>
  <c r="H156" i="49"/>
  <c r="H138" i="49"/>
  <c r="I138" i="49" s="1"/>
  <c r="H134" i="49"/>
  <c r="H59" i="49"/>
  <c r="H47" i="49"/>
  <c r="H15" i="49"/>
  <c r="I15" i="49" s="1"/>
  <c r="H279" i="49"/>
  <c r="H275" i="49"/>
  <c r="I275" i="49" s="1"/>
  <c r="H258" i="49"/>
  <c r="H234" i="49"/>
  <c r="H222" i="49"/>
  <c r="H182" i="49"/>
  <c r="I182" i="49" s="1"/>
  <c r="H126" i="49"/>
  <c r="I126" i="49" s="1"/>
  <c r="H122" i="49"/>
  <c r="I122" i="49" s="1"/>
  <c r="H118" i="49"/>
  <c r="I118" i="49" s="1"/>
  <c r="H114" i="49"/>
  <c r="I114" i="49" s="1"/>
  <c r="H102" i="49"/>
  <c r="I102" i="49" s="1"/>
  <c r="H90" i="49"/>
  <c r="I90" i="49" s="1"/>
  <c r="H76" i="49"/>
  <c r="H34" i="49"/>
  <c r="I34" i="49" s="1"/>
  <c r="H16" i="49"/>
  <c r="B314" i="25"/>
  <c r="L7" i="13"/>
  <c r="M7" i="13" s="1"/>
  <c r="D9" i="36"/>
  <c r="J9" i="36"/>
  <c r="I9" i="36"/>
  <c r="F9" i="36"/>
  <c r="H9" i="36"/>
  <c r="E9" i="36"/>
  <c r="G9" i="36"/>
  <c r="K32" i="36" l="1"/>
  <c r="F39" i="34" s="1"/>
  <c r="K240" i="36"/>
  <c r="F247" i="34" s="1"/>
  <c r="K208" i="36"/>
  <c r="F215" i="34" s="1"/>
  <c r="K50" i="36"/>
  <c r="F57" i="34" s="1"/>
  <c r="K282" i="36"/>
  <c r="F289" i="34" s="1"/>
  <c r="K314" i="36"/>
  <c r="F321" i="34" s="1"/>
  <c r="K95" i="36"/>
  <c r="F102" i="34" s="1"/>
  <c r="K52" i="36"/>
  <c r="F59" i="34" s="1"/>
  <c r="K212" i="36"/>
  <c r="F219" i="34" s="1"/>
  <c r="K122" i="36"/>
  <c r="F129" i="34" s="1"/>
  <c r="K83" i="36"/>
  <c r="F90" i="34" s="1"/>
  <c r="K209" i="36"/>
  <c r="F216" i="34" s="1"/>
  <c r="K205" i="36"/>
  <c r="F212" i="34" s="1"/>
  <c r="K258" i="36"/>
  <c r="F265" i="34" s="1"/>
  <c r="K305" i="36"/>
  <c r="F312" i="34" s="1"/>
  <c r="K144" i="36"/>
  <c r="F151" i="34" s="1"/>
  <c r="K38" i="36"/>
  <c r="F45" i="34" s="1"/>
  <c r="K85" i="36"/>
  <c r="F92" i="34" s="1"/>
  <c r="K254" i="36"/>
  <c r="F261" i="34" s="1"/>
  <c r="K109" i="36"/>
  <c r="F116" i="34" s="1"/>
  <c r="K156" i="36"/>
  <c r="F163" i="34" s="1"/>
  <c r="K61" i="36"/>
  <c r="F68" i="34" s="1"/>
  <c r="K149" i="36"/>
  <c r="F156" i="34" s="1"/>
  <c r="K97" i="36"/>
  <c r="F104" i="34" s="1"/>
  <c r="K116" i="36"/>
  <c r="F123" i="34" s="1"/>
  <c r="K192" i="36"/>
  <c r="F199" i="34" s="1"/>
  <c r="K203" i="36"/>
  <c r="F210" i="34" s="1"/>
  <c r="K47" i="36"/>
  <c r="F54" i="34" s="1"/>
  <c r="K316" i="36"/>
  <c r="F323" i="34" s="1"/>
  <c r="K239" i="36"/>
  <c r="F246" i="34" s="1"/>
  <c r="K306" i="36"/>
  <c r="F313" i="34" s="1"/>
  <c r="D228" i="9"/>
  <c r="I222" i="32"/>
  <c r="I272" i="32"/>
  <c r="D278" i="9"/>
  <c r="I197" i="32"/>
  <c r="D203" i="9"/>
  <c r="I240" i="32"/>
  <c r="D246" i="9"/>
  <c r="D149" i="9"/>
  <c r="I143" i="32"/>
  <c r="D266" i="9"/>
  <c r="I260" i="32"/>
  <c r="I132" i="32"/>
  <c r="D138" i="9"/>
  <c r="D208" i="9"/>
  <c r="I202" i="32"/>
  <c r="D236" i="9"/>
  <c r="I230" i="32"/>
  <c r="D273" i="9"/>
  <c r="I267" i="32"/>
  <c r="I56" i="32"/>
  <c r="D62" i="9"/>
  <c r="I133" i="32"/>
  <c r="D139" i="9"/>
  <c r="D72" i="9"/>
  <c r="I66" i="32"/>
  <c r="I59" i="32"/>
  <c r="D65" i="9"/>
  <c r="D223" i="9"/>
  <c r="I217" i="32"/>
  <c r="D75" i="9"/>
  <c r="I69" i="32"/>
  <c r="D95" i="9"/>
  <c r="I89" i="32"/>
  <c r="I67" i="32"/>
  <c r="D73" i="9"/>
  <c r="I105" i="32"/>
  <c r="D111" i="9"/>
  <c r="I165" i="32"/>
  <c r="D171" i="9"/>
  <c r="I148" i="32"/>
  <c r="D154" i="9"/>
  <c r="I283" i="32"/>
  <c r="D289" i="9"/>
  <c r="I241" i="32"/>
  <c r="D247" i="9"/>
  <c r="I23" i="32"/>
  <c r="D29" i="9"/>
  <c r="D169" i="9"/>
  <c r="I163" i="32"/>
  <c r="I141" i="32"/>
  <c r="D147" i="9"/>
  <c r="I306" i="32"/>
  <c r="D312" i="9"/>
  <c r="I305" i="32"/>
  <c r="D311" i="9"/>
  <c r="D160" i="9"/>
  <c r="I154" i="32"/>
  <c r="K289" i="36"/>
  <c r="F296" i="34" s="1"/>
  <c r="K217" i="36"/>
  <c r="F224" i="34" s="1"/>
  <c r="K154" i="36"/>
  <c r="F161" i="34" s="1"/>
  <c r="K169" i="36"/>
  <c r="F176" i="34" s="1"/>
  <c r="K252" i="36"/>
  <c r="F259" i="34" s="1"/>
  <c r="K128" i="36"/>
  <c r="F135" i="34" s="1"/>
  <c r="K233" i="36"/>
  <c r="F240" i="34" s="1"/>
  <c r="K187" i="36"/>
  <c r="F194" i="34" s="1"/>
  <c r="K284" i="36"/>
  <c r="F291" i="34" s="1"/>
  <c r="K62" i="36"/>
  <c r="F69" i="34" s="1"/>
  <c r="K312" i="36"/>
  <c r="F319" i="34" s="1"/>
  <c r="K11" i="36"/>
  <c r="F18" i="34" s="1"/>
  <c r="K16" i="36"/>
  <c r="F23" i="34" s="1"/>
  <c r="K79" i="36"/>
  <c r="F86" i="34" s="1"/>
  <c r="K216" i="36"/>
  <c r="F223" i="34" s="1"/>
  <c r="K281" i="36"/>
  <c r="F288" i="34" s="1"/>
  <c r="K36" i="36"/>
  <c r="F43" i="34" s="1"/>
  <c r="K99" i="36"/>
  <c r="F106" i="34" s="1"/>
  <c r="K260" i="36"/>
  <c r="F267" i="34" s="1"/>
  <c r="K40" i="36"/>
  <c r="F47" i="34" s="1"/>
  <c r="K103" i="36"/>
  <c r="F110" i="34" s="1"/>
  <c r="K248" i="36"/>
  <c r="F255" i="34" s="1"/>
  <c r="K59" i="36"/>
  <c r="F66" i="34" s="1"/>
  <c r="K134" i="36"/>
  <c r="F141" i="34" s="1"/>
  <c r="K10" i="36"/>
  <c r="F17" i="34" s="1"/>
  <c r="K266" i="36"/>
  <c r="F273" i="34" s="1"/>
  <c r="K278" i="36"/>
  <c r="F285" i="34" s="1"/>
  <c r="K294" i="36"/>
  <c r="F301" i="34" s="1"/>
  <c r="K310" i="36"/>
  <c r="F317" i="34" s="1"/>
  <c r="I301" i="32"/>
  <c r="D307" i="9"/>
  <c r="D39" i="9"/>
  <c r="I33" i="32"/>
  <c r="I237" i="32"/>
  <c r="D243" i="9"/>
  <c r="I266" i="32"/>
  <c r="D272" i="9"/>
  <c r="I42" i="32"/>
  <c r="D48" i="9"/>
  <c r="I221" i="32"/>
  <c r="D227" i="9"/>
  <c r="D157" i="9"/>
  <c r="I151" i="32"/>
  <c r="I152" i="32"/>
  <c r="D158" i="9"/>
  <c r="I93" i="32"/>
  <c r="D99" i="9"/>
  <c r="I216" i="32"/>
  <c r="D222" i="9"/>
  <c r="I187" i="32"/>
  <c r="D193" i="9"/>
  <c r="I219" i="32"/>
  <c r="D225" i="9"/>
  <c r="I208" i="32"/>
  <c r="D214" i="9"/>
  <c r="I273" i="32"/>
  <c r="D279" i="9"/>
  <c r="I223" i="32"/>
  <c r="D229" i="9"/>
  <c r="I297" i="32"/>
  <c r="D303" i="9"/>
  <c r="I239" i="32"/>
  <c r="D245" i="9"/>
  <c r="I55" i="32"/>
  <c r="D61" i="9"/>
  <c r="D133" i="9"/>
  <c r="I127" i="32"/>
  <c r="D240" i="9"/>
  <c r="I234" i="32"/>
  <c r="D173" i="9"/>
  <c r="I167" i="32"/>
  <c r="D265" i="9"/>
  <c r="I259" i="32"/>
  <c r="D91" i="9"/>
  <c r="I85" i="32"/>
  <c r="D55" i="9"/>
  <c r="I49" i="32"/>
  <c r="D259" i="9"/>
  <c r="I253" i="32"/>
  <c r="D23" i="9"/>
  <c r="I17" i="32"/>
  <c r="I47" i="32"/>
  <c r="D53" i="9"/>
  <c r="I52" i="32"/>
  <c r="D58" i="9"/>
  <c r="I84" i="32"/>
  <c r="D90" i="9"/>
  <c r="I137" i="32"/>
  <c r="D143" i="9"/>
  <c r="I36" i="32"/>
  <c r="D42" i="9"/>
  <c r="I149" i="32"/>
  <c r="D155" i="9"/>
  <c r="I144" i="32"/>
  <c r="D150" i="9"/>
  <c r="D181" i="9"/>
  <c r="I175" i="32"/>
  <c r="I31" i="32"/>
  <c r="D37" i="9"/>
  <c r="D156" i="9"/>
  <c r="I150" i="32"/>
  <c r="I262" i="32"/>
  <c r="D268" i="9"/>
  <c r="I258" i="32"/>
  <c r="D264" i="9"/>
  <c r="I95" i="32"/>
  <c r="D101" i="9"/>
  <c r="I280" i="32"/>
  <c r="D286" i="9"/>
  <c r="I278" i="32"/>
  <c r="D284" i="9"/>
  <c r="I176" i="32"/>
  <c r="D182" i="9"/>
  <c r="D212" i="9"/>
  <c r="I206" i="32"/>
  <c r="I19" i="32"/>
  <c r="D25" i="9"/>
  <c r="D244" i="9"/>
  <c r="I238" i="32"/>
  <c r="I106" i="32"/>
  <c r="D112" i="9"/>
  <c r="I72" i="32"/>
  <c r="D78" i="9"/>
  <c r="I39" i="32"/>
  <c r="D45" i="9"/>
  <c r="I97" i="32"/>
  <c r="D103" i="9"/>
  <c r="I87" i="32"/>
  <c r="D93" i="9"/>
  <c r="I129" i="32"/>
  <c r="D135" i="9"/>
  <c r="D161" i="9"/>
  <c r="I155" i="32"/>
  <c r="I207" i="32"/>
  <c r="D213" i="9"/>
  <c r="I289" i="32"/>
  <c r="D295" i="9"/>
  <c r="I199" i="32"/>
  <c r="D205" i="9"/>
  <c r="D285" i="9"/>
  <c r="I279" i="32"/>
  <c r="D15" i="9"/>
  <c r="I9" i="32"/>
  <c r="I102" i="32"/>
  <c r="D108" i="9"/>
  <c r="D43" i="9"/>
  <c r="I37" i="32"/>
  <c r="I73" i="32"/>
  <c r="D79" i="9"/>
  <c r="D125" i="9"/>
  <c r="I119" i="32"/>
  <c r="D186" i="9"/>
  <c r="I180" i="32"/>
  <c r="D121" i="9"/>
  <c r="I115" i="32"/>
  <c r="I225" i="32"/>
  <c r="D231" i="9"/>
  <c r="D188" i="9"/>
  <c r="I182" i="32"/>
  <c r="I35" i="32"/>
  <c r="D41" i="9"/>
  <c r="I48" i="32"/>
  <c r="D54" i="9"/>
  <c r="I224" i="32"/>
  <c r="D230" i="9"/>
  <c r="I212" i="32"/>
  <c r="D218" i="9"/>
  <c r="I112" i="32"/>
  <c r="D118" i="9"/>
  <c r="D80" i="9"/>
  <c r="I74" i="32"/>
  <c r="I189" i="32"/>
  <c r="D195" i="9"/>
  <c r="I164" i="32"/>
  <c r="D170" i="9"/>
  <c r="D88" i="9"/>
  <c r="I82" i="32"/>
  <c r="D109" i="9"/>
  <c r="I103" i="32"/>
  <c r="I298" i="32"/>
  <c r="D304" i="9"/>
  <c r="I276" i="32"/>
  <c r="D282" i="9"/>
  <c r="K42" i="36"/>
  <c r="F49" i="34" s="1"/>
  <c r="K93" i="36"/>
  <c r="F100" i="34" s="1"/>
  <c r="K197" i="36"/>
  <c r="F204" i="34" s="1"/>
  <c r="K250" i="36"/>
  <c r="F257" i="34" s="1"/>
  <c r="K285" i="36"/>
  <c r="F292" i="34" s="1"/>
  <c r="K301" i="36"/>
  <c r="F308" i="34" s="1"/>
  <c r="K136" i="36"/>
  <c r="F143" i="34" s="1"/>
  <c r="K168" i="36"/>
  <c r="F175" i="34" s="1"/>
  <c r="K30" i="36"/>
  <c r="F37" i="34" s="1"/>
  <c r="K117" i="36"/>
  <c r="F124" i="34" s="1"/>
  <c r="K130" i="36"/>
  <c r="F137" i="34" s="1"/>
  <c r="K213" i="36"/>
  <c r="F220" i="34" s="1"/>
  <c r="K121" i="36"/>
  <c r="F128" i="34" s="1"/>
  <c r="K148" i="36"/>
  <c r="F155" i="34" s="1"/>
  <c r="K275" i="36"/>
  <c r="F282" i="34" s="1"/>
  <c r="K150" i="36"/>
  <c r="F157" i="34" s="1"/>
  <c r="K190" i="36"/>
  <c r="F197" i="34" s="1"/>
  <c r="K299" i="36"/>
  <c r="F306" i="34" s="1"/>
  <c r="K146" i="36"/>
  <c r="F153" i="34" s="1"/>
  <c r="K279" i="36"/>
  <c r="F286" i="34" s="1"/>
  <c r="K246" i="36"/>
  <c r="F253" i="34" s="1"/>
  <c r="K29" i="36"/>
  <c r="F36" i="34" s="1"/>
  <c r="K120" i="36"/>
  <c r="F127" i="34" s="1"/>
  <c r="K137" i="36"/>
  <c r="F144" i="34" s="1"/>
  <c r="K184" i="36"/>
  <c r="F191" i="34" s="1"/>
  <c r="K132" i="36"/>
  <c r="F139" i="34" s="1"/>
  <c r="K268" i="36"/>
  <c r="F275" i="34" s="1"/>
  <c r="K69" i="36"/>
  <c r="F76" i="34" s="1"/>
  <c r="K237" i="36"/>
  <c r="F244" i="34" s="1"/>
  <c r="K185" i="36"/>
  <c r="F192" i="34" s="1"/>
  <c r="K96" i="36"/>
  <c r="F103" i="34" s="1"/>
  <c r="K272" i="36"/>
  <c r="F279" i="34" s="1"/>
  <c r="K257" i="36"/>
  <c r="F264" i="34" s="1"/>
  <c r="K60" i="36"/>
  <c r="F67" i="34" s="1"/>
  <c r="K76" i="36"/>
  <c r="F83" i="34" s="1"/>
  <c r="K33" i="36"/>
  <c r="F40" i="34" s="1"/>
  <c r="K111" i="36"/>
  <c r="F118" i="34" s="1"/>
  <c r="K153" i="36"/>
  <c r="F160" i="34" s="1"/>
  <c r="K198" i="36"/>
  <c r="F205" i="34" s="1"/>
  <c r="K226" i="36"/>
  <c r="F233" i="34" s="1"/>
  <c r="K219" i="36"/>
  <c r="F226" i="34" s="1"/>
  <c r="K104" i="36"/>
  <c r="F111" i="34" s="1"/>
  <c r="K265" i="36"/>
  <c r="F272" i="34" s="1"/>
  <c r="K229" i="36"/>
  <c r="F236" i="34" s="1"/>
  <c r="K70" i="36"/>
  <c r="F77" i="34" s="1"/>
  <c r="K31" i="36"/>
  <c r="F38" i="34" s="1"/>
  <c r="K207" i="36"/>
  <c r="F214" i="34" s="1"/>
  <c r="K51" i="36"/>
  <c r="F58" i="34" s="1"/>
  <c r="K223" i="36"/>
  <c r="F230" i="34" s="1"/>
  <c r="K251" i="36"/>
  <c r="F258" i="34" s="1"/>
  <c r="K123" i="36"/>
  <c r="F130" i="34" s="1"/>
  <c r="K292" i="36"/>
  <c r="F299" i="34" s="1"/>
  <c r="K131" i="36"/>
  <c r="F138" i="34" s="1"/>
  <c r="K267" i="36"/>
  <c r="F274" i="34" s="1"/>
  <c r="K115" i="36"/>
  <c r="F122" i="34" s="1"/>
  <c r="K110" i="36"/>
  <c r="F117" i="34" s="1"/>
  <c r="K139" i="36"/>
  <c r="F146" i="34" s="1"/>
  <c r="K231" i="36"/>
  <c r="F238" i="34" s="1"/>
  <c r="K304" i="36"/>
  <c r="F311" i="34" s="1"/>
  <c r="K227" i="36"/>
  <c r="F234" i="34" s="1"/>
  <c r="K78" i="36"/>
  <c r="F85" i="34" s="1"/>
  <c r="K259" i="36"/>
  <c r="F266" i="34" s="1"/>
  <c r="K182" i="36"/>
  <c r="F189" i="34" s="1"/>
  <c r="K147" i="36"/>
  <c r="F154" i="34" s="1"/>
  <c r="K43" i="36"/>
  <c r="F50" i="34" s="1"/>
  <c r="K39" i="36"/>
  <c r="F46" i="34" s="1"/>
  <c r="K175" i="36"/>
  <c r="F182" i="34" s="1"/>
  <c r="K55" i="36"/>
  <c r="F62" i="34" s="1"/>
  <c r="K296" i="36"/>
  <c r="F303" i="34" s="1"/>
  <c r="K199" i="36"/>
  <c r="F206" i="34" s="1"/>
  <c r="D317" i="9"/>
  <c r="I311" i="32"/>
  <c r="D215" i="9"/>
  <c r="I209" i="32"/>
  <c r="I75" i="32"/>
  <c r="D81" i="9"/>
  <c r="I43" i="32"/>
  <c r="D49" i="9"/>
  <c r="I270" i="32"/>
  <c r="D276" i="9"/>
  <c r="I203" i="32"/>
  <c r="D209" i="9"/>
  <c r="D302" i="9"/>
  <c r="I296" i="32"/>
  <c r="D216" i="9"/>
  <c r="I210" i="32"/>
  <c r="D16" i="9"/>
  <c r="I10" i="32"/>
  <c r="D184" i="9"/>
  <c r="I178" i="32"/>
  <c r="I128" i="32"/>
  <c r="D134" i="9"/>
  <c r="I145" i="32"/>
  <c r="D151" i="9"/>
  <c r="D116" i="9"/>
  <c r="I110" i="32"/>
  <c r="D164" i="9"/>
  <c r="I158" i="32"/>
  <c r="D248" i="9"/>
  <c r="I242" i="32"/>
  <c r="D224" i="9"/>
  <c r="I218" i="32"/>
  <c r="I293" i="32"/>
  <c r="D299" i="9"/>
  <c r="I153" i="32"/>
  <c r="D159" i="9"/>
  <c r="I282" i="32"/>
  <c r="D288" i="9"/>
  <c r="I255" i="32"/>
  <c r="D261" i="9"/>
  <c r="D44" i="9"/>
  <c r="I38" i="32"/>
  <c r="I168" i="32"/>
  <c r="D174" i="9"/>
  <c r="D47" i="9"/>
  <c r="I41" i="32"/>
  <c r="I60" i="32"/>
  <c r="D66" i="9"/>
  <c r="I113" i="32"/>
  <c r="D119" i="9"/>
  <c r="D192" i="9"/>
  <c r="I186" i="32"/>
  <c r="K200" i="36"/>
  <c r="F207" i="34" s="1"/>
  <c r="K291" i="36"/>
  <c r="F298" i="34" s="1"/>
  <c r="K287" i="36"/>
  <c r="F294" i="34" s="1"/>
  <c r="K298" i="36"/>
  <c r="F305" i="34" s="1"/>
  <c r="K188" i="36"/>
  <c r="F195" i="34" s="1"/>
  <c r="K145" i="36"/>
  <c r="F152" i="34" s="1"/>
  <c r="K241" i="36"/>
  <c r="F248" i="34" s="1"/>
  <c r="K261" i="36"/>
  <c r="F268" i="34" s="1"/>
  <c r="K80" i="36"/>
  <c r="F87" i="34" s="1"/>
  <c r="K124" i="36"/>
  <c r="F131" i="34" s="1"/>
  <c r="K84" i="36"/>
  <c r="F91" i="34" s="1"/>
  <c r="K106" i="36"/>
  <c r="F113" i="34" s="1"/>
  <c r="K163" i="36"/>
  <c r="F170" i="34" s="1"/>
  <c r="K179" i="36"/>
  <c r="F186" i="34" s="1"/>
  <c r="K66" i="36"/>
  <c r="F73" i="34" s="1"/>
  <c r="K151" i="36"/>
  <c r="F158" i="34" s="1"/>
  <c r="K273" i="36"/>
  <c r="F280" i="34" s="1"/>
  <c r="K167" i="36"/>
  <c r="F174" i="34" s="1"/>
  <c r="K171" i="36"/>
  <c r="F178" i="34" s="1"/>
  <c r="K283" i="36"/>
  <c r="F290" i="34" s="1"/>
  <c r="K191" i="36"/>
  <c r="F198" i="34" s="1"/>
  <c r="K48" i="36"/>
  <c r="F55" i="34" s="1"/>
  <c r="K256" i="36"/>
  <c r="F263" i="34" s="1"/>
  <c r="K67" i="36"/>
  <c r="F74" i="34" s="1"/>
  <c r="K228" i="36"/>
  <c r="F235" i="34" s="1"/>
  <c r="K71" i="36"/>
  <c r="F78" i="34" s="1"/>
  <c r="K28" i="36"/>
  <c r="F35" i="34" s="1"/>
  <c r="K91" i="36"/>
  <c r="F98" i="34" s="1"/>
  <c r="K204" i="36"/>
  <c r="F211" i="34" s="1"/>
  <c r="K118" i="36"/>
  <c r="F125" i="34" s="1"/>
  <c r="K26" i="36"/>
  <c r="F33" i="34" s="1"/>
  <c r="K286" i="36"/>
  <c r="F293" i="34" s="1"/>
  <c r="K302" i="36"/>
  <c r="F309" i="34" s="1"/>
  <c r="K270" i="36"/>
  <c r="F277" i="34" s="1"/>
  <c r="K277" i="36"/>
  <c r="F284" i="34" s="1"/>
  <c r="D100" i="9"/>
  <c r="I94" i="32"/>
  <c r="I27" i="32"/>
  <c r="D33" i="9"/>
  <c r="D293" i="9"/>
  <c r="I287" i="32"/>
  <c r="D67" i="9"/>
  <c r="I61" i="32"/>
  <c r="I7" i="32"/>
  <c r="D13" i="9"/>
  <c r="I256" i="32"/>
  <c r="D262" i="9"/>
  <c r="D172" i="9"/>
  <c r="I166" i="32"/>
  <c r="D220" i="9"/>
  <c r="I214" i="32"/>
  <c r="I40" i="32"/>
  <c r="D46" i="9"/>
  <c r="I12" i="32"/>
  <c r="D18" i="9"/>
  <c r="I96" i="32"/>
  <c r="D102" i="9"/>
  <c r="I173" i="32"/>
  <c r="D179" i="9"/>
  <c r="I71" i="32"/>
  <c r="D77" i="9"/>
  <c r="I288" i="32"/>
  <c r="D294" i="9"/>
  <c r="D140" i="9"/>
  <c r="I134" i="32"/>
  <c r="I191" i="32"/>
  <c r="D197" i="9"/>
  <c r="I294" i="32"/>
  <c r="D300" i="9"/>
  <c r="I243" i="32"/>
  <c r="D249" i="9"/>
  <c r="D232" i="9"/>
  <c r="I226" i="32"/>
  <c r="I302" i="32"/>
  <c r="D308" i="9"/>
  <c r="I313" i="32"/>
  <c r="D319" i="9"/>
  <c r="D120" i="9"/>
  <c r="I114" i="32"/>
  <c r="I160" i="32"/>
  <c r="D166" i="9"/>
  <c r="D176" i="9"/>
  <c r="I170" i="32"/>
  <c r="D211" i="9"/>
  <c r="I205" i="32"/>
  <c r="D180" i="9"/>
  <c r="I174" i="32"/>
  <c r="I53" i="32"/>
  <c r="D59" i="9"/>
  <c r="I68" i="32"/>
  <c r="D74" i="9"/>
  <c r="I16" i="32"/>
  <c r="D22" i="9"/>
  <c r="I161" i="32"/>
  <c r="D167" i="9"/>
  <c r="I196" i="32"/>
  <c r="D202" i="9"/>
  <c r="I235" i="32"/>
  <c r="D241" i="9"/>
  <c r="I228" i="32"/>
  <c r="D234" i="9"/>
  <c r="I11" i="32"/>
  <c r="D17" i="9"/>
  <c r="I290" i="32"/>
  <c r="D296" i="9"/>
  <c r="D309" i="9"/>
  <c r="I303" i="32"/>
  <c r="D84" i="9"/>
  <c r="I78" i="32"/>
  <c r="I63" i="32"/>
  <c r="D69" i="9"/>
  <c r="I227" i="32"/>
  <c r="D233" i="9"/>
  <c r="I312" i="32"/>
  <c r="D318" i="9"/>
  <c r="I265" i="32"/>
  <c r="D271" i="9"/>
  <c r="I100" i="32"/>
  <c r="D106" i="9"/>
  <c r="D298" i="9"/>
  <c r="I292" i="32"/>
  <c r="I13" i="32"/>
  <c r="D19" i="9"/>
  <c r="I120" i="32"/>
  <c r="D126" i="9"/>
  <c r="D117" i="9"/>
  <c r="I111" i="32"/>
  <c r="I136" i="32"/>
  <c r="D142" i="9"/>
  <c r="I64" i="32"/>
  <c r="D70" i="9"/>
  <c r="I184" i="32"/>
  <c r="D190" i="9"/>
  <c r="I109" i="32"/>
  <c r="D115" i="9"/>
  <c r="I232" i="32"/>
  <c r="D238" i="9"/>
  <c r="I192" i="32"/>
  <c r="D198" i="9"/>
  <c r="D301" i="9"/>
  <c r="I295" i="32"/>
  <c r="I122" i="32"/>
  <c r="D128" i="9"/>
  <c r="D148" i="9"/>
  <c r="I142" i="32"/>
  <c r="I179" i="32"/>
  <c r="D185" i="9"/>
  <c r="I193" i="32"/>
  <c r="D199" i="9"/>
  <c r="I211" i="32"/>
  <c r="D217" i="9"/>
  <c r="I284" i="32"/>
  <c r="D290" i="9"/>
  <c r="D64" i="9"/>
  <c r="I58" i="32"/>
  <c r="D60" i="9"/>
  <c r="I54" i="32"/>
  <c r="I14" i="32"/>
  <c r="D20" i="9"/>
  <c r="I308" i="32"/>
  <c r="D314" i="9"/>
  <c r="I92" i="32"/>
  <c r="D98" i="9"/>
  <c r="D31" i="9"/>
  <c r="I25" i="32"/>
  <c r="D177" i="9"/>
  <c r="I171" i="32"/>
  <c r="I83" i="32"/>
  <c r="D89" i="9"/>
  <c r="I117" i="32"/>
  <c r="D123" i="9"/>
  <c r="I215" i="32"/>
  <c r="D221" i="9"/>
  <c r="I177" i="32"/>
  <c r="D183" i="9"/>
  <c r="I220" i="32"/>
  <c r="D226" i="9"/>
  <c r="I104" i="32"/>
  <c r="D110" i="9"/>
  <c r="I300" i="32"/>
  <c r="D306" i="9"/>
  <c r="I51" i="32"/>
  <c r="D57" i="9"/>
  <c r="D200" i="9"/>
  <c r="I194" i="32"/>
  <c r="I22" i="32"/>
  <c r="D28" i="9"/>
  <c r="D87" i="9"/>
  <c r="I81" i="32"/>
  <c r="K108" i="36"/>
  <c r="F115" i="34" s="1"/>
  <c r="K114" i="36"/>
  <c r="F121" i="34" s="1"/>
  <c r="K221" i="36"/>
  <c r="F228" i="34" s="1"/>
  <c r="K234" i="36"/>
  <c r="F241" i="34" s="1"/>
  <c r="K293" i="36"/>
  <c r="F300" i="34" s="1"/>
  <c r="K309" i="36"/>
  <c r="F316" i="34" s="1"/>
  <c r="K58" i="36"/>
  <c r="F65" i="34" s="1"/>
  <c r="K152" i="36"/>
  <c r="F159" i="34" s="1"/>
  <c r="K193" i="36"/>
  <c r="F200" i="34" s="1"/>
  <c r="K14" i="36"/>
  <c r="F21" i="34" s="1"/>
  <c r="K46" i="36"/>
  <c r="F53" i="34" s="1"/>
  <c r="K101" i="36"/>
  <c r="F108" i="34" s="1"/>
  <c r="K269" i="36"/>
  <c r="F276" i="34" s="1"/>
  <c r="K262" i="36"/>
  <c r="F269" i="34" s="1"/>
  <c r="K125" i="36"/>
  <c r="F132" i="34" s="1"/>
  <c r="K164" i="36"/>
  <c r="F171" i="34" s="1"/>
  <c r="K225" i="36"/>
  <c r="F232" i="34" s="1"/>
  <c r="K186" i="36"/>
  <c r="F193" i="34" s="1"/>
  <c r="K307" i="36"/>
  <c r="F314" i="34" s="1"/>
  <c r="K166" i="36"/>
  <c r="F173" i="34" s="1"/>
  <c r="K162" i="36"/>
  <c r="F169" i="34" s="1"/>
  <c r="K311" i="36"/>
  <c r="F318" i="34" s="1"/>
  <c r="K230" i="36"/>
  <c r="F237" i="34" s="1"/>
  <c r="K13" i="36"/>
  <c r="F20" i="34" s="1"/>
  <c r="K45" i="36"/>
  <c r="F52" i="34" s="1"/>
  <c r="K73" i="36"/>
  <c r="F80" i="34" s="1"/>
  <c r="K176" i="36"/>
  <c r="F183" i="34" s="1"/>
  <c r="K157" i="36"/>
  <c r="F164" i="34" s="1"/>
  <c r="K214" i="36"/>
  <c r="F221" i="34" s="1"/>
  <c r="K202" i="36"/>
  <c r="F209" i="34" s="1"/>
  <c r="K105" i="36"/>
  <c r="F112" i="34" s="1"/>
  <c r="K245" i="36"/>
  <c r="F252" i="34" s="1"/>
  <c r="K74" i="36"/>
  <c r="F81" i="34" s="1"/>
  <c r="K100" i="36"/>
  <c r="F107" i="34" s="1"/>
  <c r="K89" i="36"/>
  <c r="F96" i="34" s="1"/>
  <c r="K165" i="36"/>
  <c r="F172" i="34" s="1"/>
  <c r="K68" i="36"/>
  <c r="F75" i="34" s="1"/>
  <c r="K17" i="36"/>
  <c r="F24" i="34" s="1"/>
  <c r="K49" i="36"/>
  <c r="F56" i="34" s="1"/>
  <c r="K77" i="36"/>
  <c r="F84" i="34" s="1"/>
  <c r="K141" i="36"/>
  <c r="F148" i="34" s="1"/>
  <c r="K189" i="36"/>
  <c r="F196" i="34" s="1"/>
  <c r="K236" i="36"/>
  <c r="F243" i="34" s="1"/>
  <c r="K107" i="36"/>
  <c r="F114" i="34" s="1"/>
  <c r="K196" i="36"/>
  <c r="F203" i="34" s="1"/>
  <c r="K218" i="36"/>
  <c r="F225" i="34" s="1"/>
  <c r="K264" i="36"/>
  <c r="F271" i="34" s="1"/>
  <c r="K159" i="36"/>
  <c r="F166" i="34" s="1"/>
  <c r="K15" i="36"/>
  <c r="F22" i="34" s="1"/>
  <c r="K133" i="36"/>
  <c r="F140" i="34" s="1"/>
  <c r="K94" i="36"/>
  <c r="F101" i="34" s="1"/>
  <c r="K215" i="36"/>
  <c r="F222" i="34" s="1"/>
  <c r="K183" i="36"/>
  <c r="F190" i="34" s="1"/>
  <c r="K303" i="36"/>
  <c r="F310" i="34" s="1"/>
  <c r="K224" i="36"/>
  <c r="F231" i="34" s="1"/>
  <c r="K247" i="36"/>
  <c r="F254" i="34" s="1"/>
  <c r="K243" i="36"/>
  <c r="F250" i="34" s="1"/>
  <c r="K170" i="36"/>
  <c r="F177" i="34" s="1"/>
  <c r="K263" i="36"/>
  <c r="F270" i="34" s="1"/>
  <c r="K271" i="36"/>
  <c r="F278" i="34" s="1"/>
  <c r="K143" i="36"/>
  <c r="F150" i="34" s="1"/>
  <c r="K315" i="36"/>
  <c r="F322" i="34" s="1"/>
  <c r="K300" i="36"/>
  <c r="F307" i="34" s="1"/>
  <c r="K23" i="36"/>
  <c r="F30" i="34" s="1"/>
  <c r="K135" i="36"/>
  <c r="F142" i="34" s="1"/>
  <c r="I247" i="32"/>
  <c r="D253" i="9"/>
  <c r="D24" i="9"/>
  <c r="I18" i="32"/>
  <c r="I8" i="32"/>
  <c r="D14" i="9"/>
  <c r="I28" i="32"/>
  <c r="D34" i="9"/>
  <c r="I116" i="32"/>
  <c r="D122" i="9"/>
  <c r="I76" i="32"/>
  <c r="D82" i="9"/>
  <c r="D71" i="9"/>
  <c r="I65" i="32"/>
  <c r="I121" i="32"/>
  <c r="D127" i="9"/>
  <c r="I286" i="32"/>
  <c r="D292" i="9"/>
  <c r="D96" i="9"/>
  <c r="I90" i="32"/>
  <c r="D235" i="9"/>
  <c r="I229" i="32"/>
  <c r="I281" i="32"/>
  <c r="D287" i="9"/>
  <c r="I101" i="32"/>
  <c r="D107" i="9"/>
  <c r="I269" i="32"/>
  <c r="D275" i="9"/>
  <c r="I268" i="32"/>
  <c r="D274" i="9"/>
  <c r="I79" i="32"/>
  <c r="D85" i="9"/>
  <c r="D144" i="9"/>
  <c r="I138" i="32"/>
  <c r="I124" i="32"/>
  <c r="D130" i="9"/>
  <c r="D163" i="9"/>
  <c r="I157" i="32"/>
  <c r="D35" i="9"/>
  <c r="I29" i="32"/>
  <c r="D152" i="9"/>
  <c r="I146" i="32"/>
  <c r="K18" i="36"/>
  <c r="F25" i="34" s="1"/>
  <c r="K158" i="36"/>
  <c r="F165" i="34" s="1"/>
  <c r="K37" i="36"/>
  <c r="F44" i="34" s="1"/>
  <c r="K64" i="36"/>
  <c r="F71" i="34" s="1"/>
  <c r="K41" i="36"/>
  <c r="F48" i="34" s="1"/>
  <c r="K210" i="36"/>
  <c r="F217" i="34" s="1"/>
  <c r="K181" i="36"/>
  <c r="F188" i="34" s="1"/>
  <c r="K63" i="36"/>
  <c r="F70" i="34" s="1"/>
  <c r="K20" i="36"/>
  <c r="F27" i="34" s="1"/>
  <c r="K201" i="36"/>
  <c r="F208" i="34" s="1"/>
  <c r="K244" i="36"/>
  <c r="F251" i="34" s="1"/>
  <c r="K24" i="36"/>
  <c r="F31" i="34" s="1"/>
  <c r="K87" i="36"/>
  <c r="F94" i="34" s="1"/>
  <c r="K232" i="36"/>
  <c r="F239" i="34" s="1"/>
  <c r="K44" i="36"/>
  <c r="F51" i="34" s="1"/>
  <c r="K220" i="36"/>
  <c r="F227" i="34" s="1"/>
  <c r="K194" i="36"/>
  <c r="F201" i="34" s="1"/>
  <c r="K34" i="36"/>
  <c r="F41" i="34" s="1"/>
  <c r="K290" i="36"/>
  <c r="F297" i="34" s="1"/>
  <c r="D277" i="9"/>
  <c r="I271" i="32"/>
  <c r="I249" i="32"/>
  <c r="D255" i="9"/>
  <c r="I156" i="32"/>
  <c r="D162" i="9"/>
  <c r="I245" i="32"/>
  <c r="D251" i="9"/>
  <c r="I285" i="32"/>
  <c r="D291" i="9"/>
  <c r="I172" i="32"/>
  <c r="D178" i="9"/>
  <c r="D40" i="9"/>
  <c r="I34" i="32"/>
  <c r="D56" i="9"/>
  <c r="I50" i="32"/>
  <c r="I20" i="32"/>
  <c r="D26" i="9"/>
  <c r="I169" i="32"/>
  <c r="D175" i="9"/>
  <c r="I231" i="32"/>
  <c r="D237" i="9"/>
  <c r="I257" i="32"/>
  <c r="D263" i="9"/>
  <c r="I236" i="32"/>
  <c r="D242" i="9"/>
  <c r="D129" i="9"/>
  <c r="I123" i="32"/>
  <c r="D219" i="9"/>
  <c r="I213" i="32"/>
  <c r="D165" i="9"/>
  <c r="I159" i="32"/>
  <c r="I304" i="32"/>
  <c r="D310" i="9"/>
  <c r="I310" i="32"/>
  <c r="D316" i="9"/>
  <c r="I86" i="32"/>
  <c r="D92" i="9"/>
  <c r="D252" i="9"/>
  <c r="I246" i="32"/>
  <c r="D191" i="9"/>
  <c r="I185" i="32"/>
  <c r="D105" i="9"/>
  <c r="I99" i="32"/>
  <c r="I277" i="32"/>
  <c r="D283" i="9"/>
  <c r="I45" i="32"/>
  <c r="D51" i="9"/>
  <c r="D196" i="9"/>
  <c r="I190" i="32"/>
  <c r="D313" i="9"/>
  <c r="I307" i="32"/>
  <c r="D141" i="9"/>
  <c r="I135" i="32"/>
  <c r="I24" i="32"/>
  <c r="D30" i="9"/>
  <c r="I91" i="32"/>
  <c r="D97" i="9"/>
  <c r="I248" i="32"/>
  <c r="D254" i="9"/>
  <c r="I80" i="32"/>
  <c r="D86" i="9"/>
  <c r="I108" i="32"/>
  <c r="D114" i="9"/>
  <c r="I140" i="32"/>
  <c r="D146" i="9"/>
  <c r="D36" i="9"/>
  <c r="I30" i="32"/>
  <c r="I309" i="32"/>
  <c r="D315" i="9"/>
  <c r="I130" i="32"/>
  <c r="D136" i="9"/>
  <c r="D260" i="9"/>
  <c r="I254" i="32"/>
  <c r="D113" i="9"/>
  <c r="I107" i="32"/>
  <c r="I15" i="32"/>
  <c r="D21" i="9"/>
  <c r="I118" i="32"/>
  <c r="D124" i="9"/>
  <c r="D305" i="9"/>
  <c r="I299" i="32"/>
  <c r="D239" i="9"/>
  <c r="I233" i="32"/>
  <c r="D32" i="9"/>
  <c r="I26" i="32"/>
  <c r="D270" i="9"/>
  <c r="I264" i="32"/>
  <c r="D104" i="9"/>
  <c r="I98" i="32"/>
  <c r="D204" i="9"/>
  <c r="I198" i="32"/>
  <c r="I88" i="32"/>
  <c r="D94" i="9"/>
  <c r="I32" i="32"/>
  <c r="D38" i="9"/>
  <c r="I188" i="32"/>
  <c r="D194" i="9"/>
  <c r="I204" i="32"/>
  <c r="D210" i="9"/>
  <c r="I244" i="32"/>
  <c r="D250" i="9"/>
  <c r="D269" i="9"/>
  <c r="I263" i="32"/>
  <c r="D52" i="9"/>
  <c r="I46" i="32"/>
  <c r="D132" i="9"/>
  <c r="I126" i="32"/>
  <c r="I274" i="32"/>
  <c r="D280" i="9"/>
  <c r="I70" i="32"/>
  <c r="D76" i="9"/>
  <c r="D145" i="9"/>
  <c r="I139" i="32"/>
  <c r="I251" i="32"/>
  <c r="D257" i="9"/>
  <c r="D281" i="9"/>
  <c r="I275" i="32"/>
  <c r="D207" i="9"/>
  <c r="I201" i="32"/>
  <c r="D68" i="9"/>
  <c r="I62" i="32"/>
  <c r="D63" i="9"/>
  <c r="I57" i="32"/>
  <c r="D256" i="9"/>
  <c r="I250" i="32"/>
  <c r="D27" i="9"/>
  <c r="I21" i="32"/>
  <c r="I195" i="32"/>
  <c r="D201" i="9"/>
  <c r="I77" i="32"/>
  <c r="D83" i="9"/>
  <c r="I44" i="32"/>
  <c r="D50" i="9"/>
  <c r="I252" i="32"/>
  <c r="D258" i="9"/>
  <c r="I125" i="32"/>
  <c r="D131" i="9"/>
  <c r="I183" i="32"/>
  <c r="D189" i="9"/>
  <c r="I200" i="32"/>
  <c r="D206" i="9"/>
  <c r="I261" i="32"/>
  <c r="D267" i="9"/>
  <c r="D168" i="9"/>
  <c r="I162" i="32"/>
  <c r="D153" i="9"/>
  <c r="I147" i="32"/>
  <c r="D187" i="9"/>
  <c r="I181" i="32"/>
  <c r="D137" i="9"/>
  <c r="I131" i="32"/>
  <c r="D297" i="9"/>
  <c r="I291" i="32"/>
  <c r="K242" i="36"/>
  <c r="F249" i="34" s="1"/>
  <c r="K297" i="36"/>
  <c r="F304" i="34" s="1"/>
  <c r="K313" i="36"/>
  <c r="F320" i="34" s="1"/>
  <c r="K160" i="36"/>
  <c r="F167" i="34" s="1"/>
  <c r="K22" i="36"/>
  <c r="F29" i="34" s="1"/>
  <c r="K54" i="36"/>
  <c r="F61" i="34" s="1"/>
  <c r="K238" i="36"/>
  <c r="F245" i="34" s="1"/>
  <c r="K140" i="36"/>
  <c r="F147" i="34" s="1"/>
  <c r="K172" i="36"/>
  <c r="F179" i="34" s="1"/>
  <c r="K142" i="36"/>
  <c r="F149" i="34" s="1"/>
  <c r="K174" i="36"/>
  <c r="F181" i="34" s="1"/>
  <c r="K138" i="36"/>
  <c r="F145" i="34" s="1"/>
  <c r="K274" i="36"/>
  <c r="F281" i="34" s="1"/>
  <c r="K21" i="36"/>
  <c r="F28" i="34" s="1"/>
  <c r="K53" i="36"/>
  <c r="F60" i="34" s="1"/>
  <c r="K113" i="36"/>
  <c r="F120" i="34" s="1"/>
  <c r="K180" i="36"/>
  <c r="F187" i="34" s="1"/>
  <c r="K126" i="36"/>
  <c r="F133" i="34" s="1"/>
  <c r="K177" i="36"/>
  <c r="F184" i="34" s="1"/>
  <c r="K129" i="36"/>
  <c r="F136" i="34" s="1"/>
  <c r="K206" i="36"/>
  <c r="F213" i="34" s="1"/>
  <c r="K249" i="36"/>
  <c r="F256" i="34" s="1"/>
  <c r="K65" i="36"/>
  <c r="F72" i="34" s="1"/>
  <c r="K112" i="36"/>
  <c r="F119" i="34" s="1"/>
  <c r="K253" i="36"/>
  <c r="F260" i="34" s="1"/>
  <c r="K72" i="36"/>
  <c r="F79" i="34" s="1"/>
  <c r="K25" i="36"/>
  <c r="F32" i="34" s="1"/>
  <c r="K57" i="36"/>
  <c r="F64" i="34" s="1"/>
  <c r="K92" i="36"/>
  <c r="F99" i="34" s="1"/>
  <c r="K173" i="36"/>
  <c r="F180" i="34" s="1"/>
  <c r="K81" i="36"/>
  <c r="F88" i="34" s="1"/>
  <c r="K82" i="36"/>
  <c r="F89" i="34" s="1"/>
  <c r="K88" i="36"/>
  <c r="F95" i="34" s="1"/>
  <c r="K161" i="36"/>
  <c r="F168" i="34" s="1"/>
  <c r="K222" i="36"/>
  <c r="F229" i="34" s="1"/>
  <c r="K19" i="36"/>
  <c r="F26" i="34" s="1"/>
  <c r="K178" i="36"/>
  <c r="F185" i="34" s="1"/>
  <c r="K195" i="36"/>
  <c r="F202" i="34" s="1"/>
  <c r="K119" i="36"/>
  <c r="F126" i="34" s="1"/>
  <c r="K98" i="36"/>
  <c r="F105" i="34" s="1"/>
  <c r="K27" i="36"/>
  <c r="F34" i="34" s="1"/>
  <c r="K308" i="36"/>
  <c r="F315" i="34" s="1"/>
  <c r="K102" i="36"/>
  <c r="F109" i="34" s="1"/>
  <c r="K90" i="36"/>
  <c r="F97" i="34" s="1"/>
  <c r="K35" i="36"/>
  <c r="F42" i="34" s="1"/>
  <c r="K276" i="36"/>
  <c r="F283" i="34" s="1"/>
  <c r="K280" i="36"/>
  <c r="F287" i="34" s="1"/>
  <c r="K235" i="36"/>
  <c r="F242" i="34" s="1"/>
  <c r="K211" i="36"/>
  <c r="F218" i="34" s="1"/>
  <c r="K288" i="36"/>
  <c r="F295" i="34" s="1"/>
  <c r="K255" i="36"/>
  <c r="F262" i="34" s="1"/>
  <c r="K155" i="36"/>
  <c r="F162" i="34" s="1"/>
  <c r="K86" i="36"/>
  <c r="F93" i="34" s="1"/>
  <c r="K295" i="36"/>
  <c r="F302" i="34" s="1"/>
  <c r="K127" i="36"/>
  <c r="F134" i="34" s="1"/>
  <c r="M8" i="13"/>
  <c r="I59" i="49"/>
  <c r="I89" i="49"/>
  <c r="I265" i="49"/>
  <c r="I225" i="49"/>
  <c r="I302" i="49"/>
  <c r="I16" i="49"/>
  <c r="I83" i="49"/>
  <c r="I205" i="49"/>
  <c r="I124" i="49"/>
  <c r="I129" i="49"/>
  <c r="I84" i="49"/>
  <c r="I35" i="49"/>
  <c r="I156" i="49"/>
  <c r="I8" i="49"/>
  <c r="I46" i="49"/>
  <c r="I79" i="49"/>
  <c r="I163" i="49"/>
  <c r="I47" i="49"/>
  <c r="I50" i="49"/>
  <c r="I162" i="49"/>
  <c r="I149" i="49"/>
  <c r="I279" i="49"/>
  <c r="I264" i="49"/>
  <c r="I51" i="49"/>
  <c r="I67" i="49"/>
  <c r="I190" i="49"/>
  <c r="I171" i="49"/>
  <c r="I164" i="49"/>
  <c r="I247" i="49"/>
  <c r="I298" i="49"/>
  <c r="I175" i="49"/>
  <c r="I230" i="49"/>
  <c r="I105" i="49"/>
  <c r="I239" i="49"/>
  <c r="I234" i="49"/>
  <c r="I134" i="49"/>
  <c r="I272" i="49"/>
  <c r="I14" i="49"/>
  <c r="I55" i="49"/>
  <c r="I71" i="49"/>
  <c r="I113" i="49"/>
  <c r="I206" i="49"/>
  <c r="I76" i="49"/>
  <c r="I222" i="49"/>
  <c r="I13" i="49"/>
  <c r="I258" i="49"/>
  <c r="I174" i="49"/>
  <c r="I125" i="49"/>
  <c r="I229" i="49"/>
  <c r="I58" i="49"/>
  <c r="H21" i="49"/>
  <c r="I21" i="49" s="1"/>
  <c r="E15" i="48"/>
  <c r="H12" i="49"/>
  <c r="I12" i="49" s="1"/>
  <c r="H53" i="49"/>
  <c r="I53" i="49" s="1"/>
  <c r="H110" i="49"/>
  <c r="I110" i="49" s="1"/>
  <c r="H226" i="49"/>
  <c r="I226" i="49" s="1"/>
  <c r="H283" i="49"/>
  <c r="I283" i="49" s="1"/>
  <c r="H97" i="49"/>
  <c r="I97" i="49" s="1"/>
  <c r="H127" i="49"/>
  <c r="I127" i="49" s="1"/>
  <c r="H147" i="49"/>
  <c r="I147" i="49" s="1"/>
  <c r="H191" i="49"/>
  <c r="I191" i="49" s="1"/>
  <c r="H207" i="49"/>
  <c r="I207" i="49" s="1"/>
  <c r="H251" i="49"/>
  <c r="I251" i="49" s="1"/>
  <c r="H280" i="49"/>
  <c r="I280" i="49" s="1"/>
  <c r="H296" i="49"/>
  <c r="I296" i="49" s="1"/>
  <c r="H30" i="49"/>
  <c r="I30" i="49" s="1"/>
  <c r="H61" i="49"/>
  <c r="I61" i="49" s="1"/>
  <c r="H85" i="49"/>
  <c r="I85" i="49" s="1"/>
  <c r="H108" i="49"/>
  <c r="I108" i="49" s="1"/>
  <c r="H135" i="49"/>
  <c r="I135" i="49" s="1"/>
  <c r="H153" i="49"/>
  <c r="I153" i="49" s="1"/>
  <c r="H170" i="49"/>
  <c r="I170" i="49" s="1"/>
  <c r="H184" i="49"/>
  <c r="I184" i="49" s="1"/>
  <c r="H204" i="49"/>
  <c r="I204" i="49" s="1"/>
  <c r="H224" i="49"/>
  <c r="I224" i="49" s="1"/>
  <c r="H256" i="49"/>
  <c r="I256" i="49" s="1"/>
  <c r="H273" i="49"/>
  <c r="I273" i="49" s="1"/>
  <c r="H293" i="49"/>
  <c r="I293" i="49" s="1"/>
  <c r="H307" i="49"/>
  <c r="I307" i="49" s="1"/>
  <c r="H101" i="49"/>
  <c r="I101" i="49" s="1"/>
  <c r="H121" i="49"/>
  <c r="I121" i="49" s="1"/>
  <c r="H136" i="49"/>
  <c r="I136" i="49" s="1"/>
  <c r="H185" i="49"/>
  <c r="I185" i="49" s="1"/>
  <c r="H201" i="49"/>
  <c r="I201" i="49" s="1"/>
  <c r="H217" i="49"/>
  <c r="I217" i="49" s="1"/>
  <c r="H245" i="49"/>
  <c r="I245" i="49" s="1"/>
  <c r="H270" i="49"/>
  <c r="I270" i="49" s="1"/>
  <c r="H286" i="49"/>
  <c r="I286" i="49" s="1"/>
  <c r="H304" i="49"/>
  <c r="I304" i="49" s="1"/>
  <c r="H103" i="49"/>
  <c r="I103" i="49" s="1"/>
  <c r="H150" i="49"/>
  <c r="I150" i="49" s="1"/>
  <c r="H32" i="49"/>
  <c r="I32" i="49" s="1"/>
  <c r="H128" i="49"/>
  <c r="I128" i="49" s="1"/>
  <c r="H7" i="49"/>
  <c r="I7" i="49" s="1"/>
  <c r="H176" i="49"/>
  <c r="I176" i="49" s="1"/>
  <c r="H294" i="49"/>
  <c r="I294" i="49" s="1"/>
  <c r="H198" i="49"/>
  <c r="I198" i="49" s="1"/>
  <c r="H40" i="49"/>
  <c r="I40" i="49" s="1"/>
  <c r="H242" i="49"/>
  <c r="I242" i="49" s="1"/>
  <c r="H87" i="49"/>
  <c r="I87" i="49" s="1"/>
  <c r="H250" i="49"/>
  <c r="I250" i="49" s="1"/>
  <c r="H42" i="49"/>
  <c r="I42" i="49" s="1"/>
  <c r="H49" i="49"/>
  <c r="I49" i="49" s="1"/>
  <c r="H81" i="49"/>
  <c r="I81" i="49" s="1"/>
  <c r="H232" i="49"/>
  <c r="I232" i="49" s="1"/>
  <c r="H26" i="49"/>
  <c r="I26" i="49" s="1"/>
  <c r="H72" i="49"/>
  <c r="I72" i="49" s="1"/>
  <c r="H91" i="49"/>
  <c r="I91" i="49" s="1"/>
  <c r="H133" i="49"/>
  <c r="I133" i="49" s="1"/>
  <c r="H214" i="49"/>
  <c r="I214" i="49" s="1"/>
  <c r="H231" i="49"/>
  <c r="I231" i="49" s="1"/>
  <c r="H263" i="49"/>
  <c r="I263" i="49" s="1"/>
  <c r="H313" i="49"/>
  <c r="I313" i="49" s="1"/>
  <c r="H104" i="49"/>
  <c r="I104" i="49" s="1"/>
  <c r="H151" i="49"/>
  <c r="I151" i="49" s="1"/>
  <c r="H179" i="49"/>
  <c r="I179" i="49" s="1"/>
  <c r="H211" i="49"/>
  <c r="I211" i="49" s="1"/>
  <c r="H223" i="49"/>
  <c r="I223" i="49" s="1"/>
  <c r="H255" i="49"/>
  <c r="I255" i="49" s="1"/>
  <c r="H268" i="49"/>
  <c r="I268" i="49" s="1"/>
  <c r="H284" i="49"/>
  <c r="I284" i="49" s="1"/>
  <c r="H65" i="49"/>
  <c r="I65" i="49" s="1"/>
  <c r="H88" i="49"/>
  <c r="I88" i="49" s="1"/>
  <c r="H112" i="49"/>
  <c r="I112" i="49" s="1"/>
  <c r="H139" i="49"/>
  <c r="I139" i="49" s="1"/>
  <c r="H157" i="49"/>
  <c r="I157" i="49" s="1"/>
  <c r="H173" i="49"/>
  <c r="I173" i="49" s="1"/>
  <c r="H192" i="49"/>
  <c r="I192" i="49" s="1"/>
  <c r="H208" i="49"/>
  <c r="I208" i="49" s="1"/>
  <c r="H228" i="49"/>
  <c r="I228" i="49" s="1"/>
  <c r="H244" i="49"/>
  <c r="I244" i="49" s="1"/>
  <c r="H261" i="49"/>
  <c r="I261" i="49" s="1"/>
  <c r="H281" i="49"/>
  <c r="I281" i="49" s="1"/>
  <c r="H297" i="49"/>
  <c r="I297" i="49" s="1"/>
  <c r="H17" i="49"/>
  <c r="I17" i="49" s="1"/>
  <c r="H52" i="49"/>
  <c r="I52" i="49" s="1"/>
  <c r="H109" i="49"/>
  <c r="I109" i="49" s="1"/>
  <c r="H141" i="49"/>
  <c r="I141" i="49" s="1"/>
  <c r="H189" i="49"/>
  <c r="I189" i="49" s="1"/>
  <c r="H221" i="49"/>
  <c r="I221" i="49" s="1"/>
  <c r="H249" i="49"/>
  <c r="I249" i="49" s="1"/>
  <c r="H274" i="49"/>
  <c r="I274" i="49" s="1"/>
  <c r="H290" i="49"/>
  <c r="I290" i="49" s="1"/>
  <c r="H308" i="49"/>
  <c r="I308" i="49" s="1"/>
  <c r="H63" i="49"/>
  <c r="I63" i="49" s="1"/>
  <c r="H137" i="49"/>
  <c r="I137" i="49" s="1"/>
  <c r="H159" i="49"/>
  <c r="I159" i="49" s="1"/>
  <c r="H202" i="49"/>
  <c r="I202" i="49" s="1"/>
  <c r="H33" i="49"/>
  <c r="I33" i="49" s="1"/>
  <c r="H152" i="49"/>
  <c r="I152" i="49" s="1"/>
  <c r="H116" i="49"/>
  <c r="I116" i="49" s="1"/>
  <c r="H180" i="49"/>
  <c r="I180" i="49" s="1"/>
  <c r="H18" i="49"/>
  <c r="I18" i="49" s="1"/>
  <c r="H172" i="49"/>
  <c r="I172" i="49" s="1"/>
  <c r="H235" i="49"/>
  <c r="I235" i="49" s="1"/>
  <c r="H210" i="49"/>
  <c r="I210" i="49" s="1"/>
  <c r="H111" i="49"/>
  <c r="I111" i="49" s="1"/>
  <c r="H246" i="49"/>
  <c r="I246" i="49" s="1"/>
  <c r="H305" i="49"/>
  <c r="I305" i="49" s="1"/>
  <c r="H43" i="49"/>
  <c r="I43" i="49" s="1"/>
  <c r="H92" i="49"/>
  <c r="I92" i="49" s="1"/>
  <c r="H98" i="49"/>
  <c r="I98" i="49" s="1"/>
  <c r="H266" i="49"/>
  <c r="I266" i="49" s="1"/>
  <c r="H23" i="49"/>
  <c r="I23" i="49" s="1"/>
  <c r="H27" i="49"/>
  <c r="I27" i="49" s="1"/>
  <c r="H154" i="49"/>
  <c r="I154" i="49" s="1"/>
  <c r="H165" i="49"/>
  <c r="I165" i="49" s="1"/>
  <c r="H237" i="49"/>
  <c r="I237" i="49" s="1"/>
  <c r="H96" i="49"/>
  <c r="I96" i="49" s="1"/>
  <c r="H155" i="49"/>
  <c r="I155" i="49" s="1"/>
  <c r="H64" i="49"/>
  <c r="I64" i="49" s="1"/>
  <c r="H115" i="49"/>
  <c r="I115" i="49" s="1"/>
  <c r="H183" i="49"/>
  <c r="I183" i="49" s="1"/>
  <c r="H199" i="49"/>
  <c r="I199" i="49" s="1"/>
  <c r="H215" i="49"/>
  <c r="I215" i="49" s="1"/>
  <c r="H259" i="49"/>
  <c r="I259" i="49" s="1"/>
  <c r="H36" i="49"/>
  <c r="I36" i="49" s="1"/>
  <c r="H93" i="49"/>
  <c r="I93" i="49" s="1"/>
  <c r="H120" i="49"/>
  <c r="I120" i="49" s="1"/>
  <c r="H144" i="49"/>
  <c r="I144" i="49" s="1"/>
  <c r="H161" i="49"/>
  <c r="I161" i="49" s="1"/>
  <c r="H196" i="49"/>
  <c r="I196" i="49" s="1"/>
  <c r="H212" i="49"/>
  <c r="I212" i="49" s="1"/>
  <c r="H233" i="49"/>
  <c r="I233" i="49" s="1"/>
  <c r="H248" i="49"/>
  <c r="I248" i="49" s="1"/>
  <c r="H285" i="49"/>
  <c r="I285" i="49" s="1"/>
  <c r="H299" i="49"/>
  <c r="I299" i="49" s="1"/>
  <c r="H9" i="49"/>
  <c r="I9" i="49" s="1"/>
  <c r="H22" i="49"/>
  <c r="I22" i="49" s="1"/>
  <c r="H56" i="49"/>
  <c r="I56" i="49" s="1"/>
  <c r="H131" i="49"/>
  <c r="I131" i="49" s="1"/>
  <c r="H145" i="49"/>
  <c r="I145" i="49" s="1"/>
  <c r="H177" i="49"/>
  <c r="I177" i="49" s="1"/>
  <c r="H193" i="49"/>
  <c r="I193" i="49" s="1"/>
  <c r="H209" i="49"/>
  <c r="I209" i="49" s="1"/>
  <c r="H253" i="49"/>
  <c r="I253" i="49" s="1"/>
  <c r="H278" i="49"/>
  <c r="I278" i="49" s="1"/>
  <c r="H310" i="49"/>
  <c r="I310" i="49" s="1"/>
  <c r="H68" i="49"/>
  <c r="I68" i="49" s="1"/>
  <c r="H178" i="49"/>
  <c r="I178" i="49" s="1"/>
  <c r="H301" i="49"/>
  <c r="I301" i="49" s="1"/>
  <c r="H227" i="49"/>
  <c r="I227" i="49" s="1"/>
  <c r="H130" i="49"/>
  <c r="I130" i="49" s="1"/>
  <c r="H220" i="49"/>
  <c r="I220" i="49" s="1"/>
  <c r="H95" i="49"/>
  <c r="I95" i="49" s="1"/>
  <c r="H306" i="49"/>
  <c r="I306" i="49" s="1"/>
  <c r="H291" i="49"/>
  <c r="I291" i="49" s="1"/>
  <c r="H123" i="49"/>
  <c r="I123" i="49" s="1"/>
  <c r="H271" i="49"/>
  <c r="I271" i="49" s="1"/>
  <c r="H29" i="49"/>
  <c r="I29" i="49" s="1"/>
  <c r="H44" i="49"/>
  <c r="I44" i="49" s="1"/>
  <c r="H73" i="49"/>
  <c r="I73" i="49" s="1"/>
  <c r="H188" i="49"/>
  <c r="I188" i="49" s="1"/>
  <c r="H24" i="49"/>
  <c r="I24" i="49" s="1"/>
  <c r="H45" i="49"/>
  <c r="I45" i="49" s="1"/>
  <c r="H80" i="49"/>
  <c r="I80" i="49" s="1"/>
  <c r="H166" i="49"/>
  <c r="I166" i="49" s="1"/>
  <c r="H241" i="49"/>
  <c r="I241" i="49" s="1"/>
  <c r="H69" i="49"/>
  <c r="I69" i="49" s="1"/>
  <c r="H119" i="49"/>
  <c r="I119" i="49" s="1"/>
  <c r="H143" i="49"/>
  <c r="I143" i="49" s="1"/>
  <c r="H160" i="49"/>
  <c r="I160" i="49" s="1"/>
  <c r="H187" i="49"/>
  <c r="I187" i="49" s="1"/>
  <c r="H203" i="49"/>
  <c r="I203" i="49" s="1"/>
  <c r="H260" i="49"/>
  <c r="I260" i="49" s="1"/>
  <c r="H276" i="49"/>
  <c r="I276" i="49" s="1"/>
  <c r="H292" i="49"/>
  <c r="I292" i="49" s="1"/>
  <c r="H37" i="49"/>
  <c r="I37" i="49" s="1"/>
  <c r="H60" i="49"/>
  <c r="I60" i="49" s="1"/>
  <c r="H148" i="49"/>
  <c r="I148" i="49" s="1"/>
  <c r="H200" i="49"/>
  <c r="I200" i="49" s="1"/>
  <c r="H216" i="49"/>
  <c r="I216" i="49" s="1"/>
  <c r="H236" i="49"/>
  <c r="I236" i="49" s="1"/>
  <c r="H252" i="49"/>
  <c r="I252" i="49" s="1"/>
  <c r="H269" i="49"/>
  <c r="I269" i="49" s="1"/>
  <c r="H289" i="49"/>
  <c r="I289" i="49" s="1"/>
  <c r="H303" i="49"/>
  <c r="I303" i="49" s="1"/>
  <c r="H57" i="49"/>
  <c r="I57" i="49" s="1"/>
  <c r="H75" i="49"/>
  <c r="I75" i="49" s="1"/>
  <c r="H99" i="49"/>
  <c r="I99" i="49" s="1"/>
  <c r="H117" i="49"/>
  <c r="I117" i="49" s="1"/>
  <c r="H132" i="49"/>
  <c r="I132" i="49" s="1"/>
  <c r="H158" i="49"/>
  <c r="I158" i="49" s="1"/>
  <c r="H181" i="49"/>
  <c r="I181" i="49" s="1"/>
  <c r="H197" i="49"/>
  <c r="I197" i="49" s="1"/>
  <c r="H213" i="49"/>
  <c r="I213" i="49" s="1"/>
  <c r="H240" i="49"/>
  <c r="I240" i="49" s="1"/>
  <c r="H257" i="49"/>
  <c r="I257" i="49" s="1"/>
  <c r="H282" i="49"/>
  <c r="I282" i="49" s="1"/>
  <c r="H300" i="49"/>
  <c r="I300" i="49" s="1"/>
  <c r="H100" i="49"/>
  <c r="I100" i="49" s="1"/>
  <c r="H146" i="49"/>
  <c r="I146" i="49" s="1"/>
  <c r="H186" i="49"/>
  <c r="I186" i="49" s="1"/>
  <c r="H267" i="49"/>
  <c r="I267" i="49" s="1"/>
  <c r="H309" i="49"/>
  <c r="I309" i="49" s="1"/>
  <c r="H39" i="49"/>
  <c r="I39" i="49" s="1"/>
  <c r="H312" i="49"/>
  <c r="I312" i="49" s="1"/>
  <c r="H277" i="49"/>
  <c r="I277" i="49" s="1"/>
  <c r="H167" i="49"/>
  <c r="I167" i="49" s="1"/>
  <c r="H262" i="49"/>
  <c r="I262" i="49" s="1"/>
  <c r="H140" i="49"/>
  <c r="I140" i="49" s="1"/>
  <c r="H311" i="49"/>
  <c r="I311" i="49" s="1"/>
  <c r="H41" i="49"/>
  <c r="I41" i="49" s="1"/>
  <c r="H168" i="49"/>
  <c r="I168" i="49" s="1"/>
  <c r="H10" i="49"/>
  <c r="I10" i="49" s="1"/>
  <c r="H48" i="49"/>
  <c r="I48" i="49" s="1"/>
  <c r="H77" i="49"/>
  <c r="I77" i="49" s="1"/>
  <c r="H107" i="49"/>
  <c r="I107" i="49" s="1"/>
  <c r="T7" i="19"/>
  <c r="H6" i="49" s="1"/>
  <c r="I6" i="49" s="1"/>
  <c r="H20" i="49"/>
  <c r="I20" i="49" s="1"/>
  <c r="H25" i="49"/>
  <c r="I25" i="49" s="1"/>
  <c r="H254" i="49"/>
  <c r="I254" i="49" s="1"/>
  <c r="C314" i="32"/>
  <c r="Y315" i="19"/>
  <c r="F16" i="49"/>
  <c r="F59" i="49"/>
  <c r="F11" i="49"/>
  <c r="F190" i="49"/>
  <c r="F287" i="49"/>
  <c r="F234" i="49"/>
  <c r="F15" i="49"/>
  <c r="F195" i="49"/>
  <c r="F31" i="49"/>
  <c r="F13" i="49"/>
  <c r="F129" i="49"/>
  <c r="F90" i="49"/>
  <c r="F126" i="49"/>
  <c r="F182" i="49"/>
  <c r="F258" i="49"/>
  <c r="F47" i="49"/>
  <c r="F247" i="49"/>
  <c r="F14" i="49"/>
  <c r="F74" i="49"/>
  <c r="F84" i="49"/>
  <c r="F94" i="49"/>
  <c r="F124" i="49"/>
  <c r="F175" i="49"/>
  <c r="F71" i="49"/>
  <c r="F89" i="49"/>
  <c r="F113" i="49"/>
  <c r="F225" i="49"/>
  <c r="F295" i="49"/>
  <c r="F105" i="49"/>
  <c r="F19" i="49"/>
  <c r="F194" i="49"/>
  <c r="F50" i="49"/>
  <c r="F78" i="49"/>
  <c r="F239" i="49"/>
  <c r="F28" i="49"/>
  <c r="F229" i="49"/>
  <c r="F58" i="49"/>
  <c r="F163" i="49"/>
  <c r="F34" i="49"/>
  <c r="F76" i="49"/>
  <c r="F118" i="49"/>
  <c r="F275" i="49"/>
  <c r="F298" i="49"/>
  <c r="F51" i="49"/>
  <c r="F82" i="49"/>
  <c r="F79" i="49"/>
  <c r="F162" i="49"/>
  <c r="F230" i="49"/>
  <c r="F171" i="49"/>
  <c r="F164" i="49"/>
  <c r="F122" i="49"/>
  <c r="F222" i="49"/>
  <c r="F279" i="49"/>
  <c r="F138" i="49"/>
  <c r="F156" i="49"/>
  <c r="F238" i="49"/>
  <c r="F288" i="49"/>
  <c r="F55" i="49"/>
  <c r="F83" i="49"/>
  <c r="F174" i="49"/>
  <c r="F265" i="49"/>
  <c r="F66" i="49"/>
  <c r="F67" i="49"/>
  <c r="F125" i="49"/>
  <c r="F205" i="49"/>
  <c r="F46" i="49"/>
  <c r="F142" i="49"/>
  <c r="F206" i="49"/>
  <c r="F38" i="49"/>
  <c r="F106" i="49"/>
  <c r="F149" i="49"/>
  <c r="O315" i="19"/>
  <c r="K9" i="36"/>
  <c r="I317" i="36"/>
  <c r="E317" i="36"/>
  <c r="J317" i="36"/>
  <c r="H317" i="36"/>
  <c r="F317" i="36"/>
  <c r="D317" i="36"/>
  <c r="G315" i="19"/>
  <c r="G317" i="36"/>
  <c r="H314" i="32" l="1"/>
  <c r="C6" i="9" s="1"/>
  <c r="K317" i="36"/>
  <c r="E6" i="32"/>
  <c r="E314" i="32" s="1"/>
  <c r="I314" i="49"/>
  <c r="J6" i="49" s="1"/>
  <c r="E14" i="48"/>
  <c r="F15" i="48" s="1"/>
  <c r="H6" i="32"/>
  <c r="D12" i="9" s="1"/>
  <c r="D320" i="9" s="1"/>
  <c r="U7" i="19"/>
  <c r="G6" i="49" s="1"/>
  <c r="F6" i="49"/>
  <c r="F16" i="34"/>
  <c r="F28" i="48"/>
  <c r="F114" i="49"/>
  <c r="J233" i="13"/>
  <c r="F232" i="49"/>
  <c r="F250" i="49"/>
  <c r="F198" i="49"/>
  <c r="F128" i="49"/>
  <c r="F304" i="49"/>
  <c r="J218" i="13"/>
  <c r="F217" i="49"/>
  <c r="F121" i="49"/>
  <c r="F273" i="49"/>
  <c r="F153" i="49"/>
  <c r="F61" i="49"/>
  <c r="F296" i="49"/>
  <c r="F207" i="49"/>
  <c r="F127" i="49"/>
  <c r="F283" i="49"/>
  <c r="F12" i="49"/>
  <c r="F134" i="49"/>
  <c r="F62" i="49"/>
  <c r="F77" i="49"/>
  <c r="F167" i="49"/>
  <c r="F267" i="49"/>
  <c r="F300" i="49"/>
  <c r="F257" i="49"/>
  <c r="F181" i="49"/>
  <c r="F99" i="49"/>
  <c r="F57" i="49"/>
  <c r="F252" i="49"/>
  <c r="F260" i="49"/>
  <c r="F143" i="49"/>
  <c r="F69" i="49"/>
  <c r="F45" i="49"/>
  <c r="F73" i="49"/>
  <c r="F123" i="49"/>
  <c r="F95" i="49"/>
  <c r="F301" i="49"/>
  <c r="F278" i="49"/>
  <c r="J194" i="13"/>
  <c r="F193" i="49"/>
  <c r="F56" i="49"/>
  <c r="F285" i="49"/>
  <c r="J197" i="13"/>
  <c r="F196" i="49"/>
  <c r="F199" i="49"/>
  <c r="F96" i="49"/>
  <c r="J28" i="13"/>
  <c r="F27" i="49"/>
  <c r="F92" i="49"/>
  <c r="F111" i="49"/>
  <c r="F18" i="49"/>
  <c r="J34" i="13"/>
  <c r="F33" i="49"/>
  <c r="F137" i="49"/>
  <c r="F274" i="49"/>
  <c r="F141" i="49"/>
  <c r="J298" i="13"/>
  <c r="F297" i="49"/>
  <c r="F228" i="49"/>
  <c r="F157" i="49"/>
  <c r="F65" i="49"/>
  <c r="F223" i="49"/>
  <c r="J215" i="13"/>
  <c r="F214" i="49"/>
  <c r="J27" i="13"/>
  <c r="F26" i="49"/>
  <c r="F264" i="49"/>
  <c r="F87" i="49"/>
  <c r="F294" i="49"/>
  <c r="J8" i="13"/>
  <c r="F7" i="49"/>
  <c r="F32" i="49"/>
  <c r="F103" i="49"/>
  <c r="F286" i="49"/>
  <c r="J246" i="13"/>
  <c r="F245" i="49"/>
  <c r="F201" i="49"/>
  <c r="F136" i="49"/>
  <c r="F293" i="49"/>
  <c r="F256" i="49"/>
  <c r="F204" i="49"/>
  <c r="F170" i="49"/>
  <c r="F135" i="49"/>
  <c r="F30" i="49"/>
  <c r="F280" i="49"/>
  <c r="F191" i="49"/>
  <c r="F147" i="49"/>
  <c r="F97" i="49"/>
  <c r="F226" i="49"/>
  <c r="J54" i="13"/>
  <c r="F53" i="49"/>
  <c r="F8" i="49"/>
  <c r="F49" i="49"/>
  <c r="F242" i="49"/>
  <c r="F176" i="49"/>
  <c r="F150" i="49"/>
  <c r="J271" i="13"/>
  <c r="F270" i="49"/>
  <c r="F185" i="49"/>
  <c r="F307" i="49"/>
  <c r="F224" i="49"/>
  <c r="F184" i="49"/>
  <c r="F108" i="49"/>
  <c r="F251" i="49"/>
  <c r="J111" i="13"/>
  <c r="F110" i="49"/>
  <c r="F86" i="49"/>
  <c r="J303" i="13"/>
  <c r="F302" i="49"/>
  <c r="F219" i="49"/>
  <c r="F25" i="49"/>
  <c r="J11" i="13"/>
  <c r="F10" i="49"/>
  <c r="J141" i="13"/>
  <c r="F140" i="49"/>
  <c r="F39" i="49"/>
  <c r="F146" i="49"/>
  <c r="F213" i="49"/>
  <c r="F132" i="49"/>
  <c r="F289" i="49"/>
  <c r="J217" i="13"/>
  <c r="F216" i="49"/>
  <c r="F60" i="49"/>
  <c r="F292" i="49"/>
  <c r="F187" i="49"/>
  <c r="J167" i="13"/>
  <c r="F166" i="49"/>
  <c r="J25" i="13"/>
  <c r="F24" i="49"/>
  <c r="F306" i="49"/>
  <c r="J131" i="13"/>
  <c r="F130" i="49"/>
  <c r="F145" i="49"/>
  <c r="F9" i="49"/>
  <c r="F233" i="49"/>
  <c r="F144" i="49"/>
  <c r="F259" i="49"/>
  <c r="J116" i="13"/>
  <c r="F115" i="49"/>
  <c r="F165" i="49"/>
  <c r="F266" i="49"/>
  <c r="F305" i="49"/>
  <c r="J236" i="13"/>
  <c r="F235" i="49"/>
  <c r="F116" i="49"/>
  <c r="F202" i="49"/>
  <c r="F308" i="49"/>
  <c r="F189" i="49"/>
  <c r="J262" i="13"/>
  <c r="F261" i="49"/>
  <c r="F192" i="49"/>
  <c r="F112" i="49"/>
  <c r="F268" i="49"/>
  <c r="F179" i="49"/>
  <c r="F263" i="49"/>
  <c r="F91" i="49"/>
  <c r="F70" i="49"/>
  <c r="F102" i="49"/>
  <c r="J255" i="13"/>
  <c r="F254" i="49"/>
  <c r="F20" i="49"/>
  <c r="F48" i="49"/>
  <c r="F168" i="49"/>
  <c r="F311" i="49"/>
  <c r="F262" i="49"/>
  <c r="F277" i="49"/>
  <c r="F312" i="49"/>
  <c r="F309" i="49"/>
  <c r="F186" i="49"/>
  <c r="F282" i="49"/>
  <c r="F240" i="49"/>
  <c r="F197" i="49"/>
  <c r="F158" i="49"/>
  <c r="F117" i="49"/>
  <c r="F303" i="49"/>
  <c r="F269" i="49"/>
  <c r="F236" i="49"/>
  <c r="F200" i="49"/>
  <c r="F148" i="49"/>
  <c r="F37" i="49"/>
  <c r="J277" i="13"/>
  <c r="F276" i="49"/>
  <c r="F203" i="49"/>
  <c r="F160" i="49"/>
  <c r="J120" i="13"/>
  <c r="F119" i="49"/>
  <c r="F241" i="49"/>
  <c r="F80" i="49"/>
  <c r="F188" i="49"/>
  <c r="J272" i="13"/>
  <c r="F271" i="49"/>
  <c r="F291" i="49"/>
  <c r="F220" i="49"/>
  <c r="F227" i="49"/>
  <c r="F178" i="49"/>
  <c r="F310" i="49"/>
  <c r="F253" i="49"/>
  <c r="J210" i="13"/>
  <c r="F209" i="49"/>
  <c r="F177" i="49"/>
  <c r="F131" i="49"/>
  <c r="F22" i="49"/>
  <c r="J300" i="13"/>
  <c r="F299" i="49"/>
  <c r="F248" i="49"/>
  <c r="F212" i="49"/>
  <c r="F161" i="49"/>
  <c r="J121" i="13"/>
  <c r="F120" i="49"/>
  <c r="F36" i="49"/>
  <c r="F215" i="49"/>
  <c r="F183" i="49"/>
  <c r="F64" i="49"/>
  <c r="F155" i="49"/>
  <c r="F237" i="49"/>
  <c r="F154" i="49"/>
  <c r="F98" i="49"/>
  <c r="F246" i="49"/>
  <c r="F210" i="49"/>
  <c r="J173" i="13"/>
  <c r="F172" i="49"/>
  <c r="F180" i="49"/>
  <c r="F152" i="49"/>
  <c r="F159" i="49"/>
  <c r="F63" i="49"/>
  <c r="F290" i="49"/>
  <c r="F249" i="49"/>
  <c r="F221" i="49"/>
  <c r="J110" i="13"/>
  <c r="F109" i="49"/>
  <c r="F17" i="49"/>
  <c r="F281" i="49"/>
  <c r="F244" i="49"/>
  <c r="F208" i="49"/>
  <c r="F173" i="49"/>
  <c r="F139" i="49"/>
  <c r="J285" i="13"/>
  <c r="F284" i="49"/>
  <c r="F255" i="49"/>
  <c r="F211" i="49"/>
  <c r="F151" i="49"/>
  <c r="F313" i="49"/>
  <c r="F231" i="49"/>
  <c r="F133" i="49"/>
  <c r="F72" i="49"/>
  <c r="F107" i="49"/>
  <c r="F104" i="49"/>
  <c r="F101" i="49"/>
  <c r="F100" i="49"/>
  <c r="F93" i="49"/>
  <c r="F88" i="49"/>
  <c r="F85" i="49"/>
  <c r="F81" i="49"/>
  <c r="F75" i="49"/>
  <c r="F68" i="49"/>
  <c r="F54" i="49"/>
  <c r="J53" i="13"/>
  <c r="F52" i="49"/>
  <c r="J45" i="13"/>
  <c r="F44" i="49"/>
  <c r="F43" i="49"/>
  <c r="F42" i="49"/>
  <c r="F41" i="49"/>
  <c r="F40" i="49"/>
  <c r="F35" i="49"/>
  <c r="F29" i="49"/>
  <c r="H314" i="49"/>
  <c r="F23" i="49"/>
  <c r="F21" i="49"/>
  <c r="T315" i="19"/>
  <c r="G205" i="49"/>
  <c r="G171" i="49"/>
  <c r="G34" i="49"/>
  <c r="G58" i="49"/>
  <c r="G71" i="49"/>
  <c r="G84" i="49"/>
  <c r="G126" i="49"/>
  <c r="G206" i="49"/>
  <c r="G125" i="49"/>
  <c r="G55" i="49"/>
  <c r="G279" i="49"/>
  <c r="G230" i="49"/>
  <c r="G275" i="49"/>
  <c r="G229" i="49"/>
  <c r="G194" i="49"/>
  <c r="G175" i="49"/>
  <c r="G47" i="49"/>
  <c r="G234" i="49"/>
  <c r="G11" i="49"/>
  <c r="G142" i="49"/>
  <c r="G174" i="49"/>
  <c r="G156" i="49"/>
  <c r="G222" i="49"/>
  <c r="G164" i="49"/>
  <c r="G162" i="49"/>
  <c r="G51" i="49"/>
  <c r="G118" i="49"/>
  <c r="G163" i="49"/>
  <c r="G28" i="49"/>
  <c r="G50" i="49"/>
  <c r="G19" i="49"/>
  <c r="G113" i="49"/>
  <c r="G124" i="49"/>
  <c r="G14" i="49"/>
  <c r="G258" i="49"/>
  <c r="G31" i="49"/>
  <c r="G38" i="49"/>
  <c r="G66" i="49"/>
  <c r="G295" i="49"/>
  <c r="G15" i="49"/>
  <c r="G190" i="49"/>
  <c r="G149" i="49"/>
  <c r="G265" i="49"/>
  <c r="G238" i="49"/>
  <c r="G82" i="49"/>
  <c r="G78" i="49"/>
  <c r="G225" i="49"/>
  <c r="G74" i="49"/>
  <c r="G90" i="49"/>
  <c r="G13" i="49"/>
  <c r="G16" i="49"/>
  <c r="G106" i="49"/>
  <c r="G46" i="49"/>
  <c r="G67" i="49"/>
  <c r="G83" i="49"/>
  <c r="G288" i="49"/>
  <c r="G138" i="49"/>
  <c r="G122" i="49"/>
  <c r="G79" i="49"/>
  <c r="G298" i="49"/>
  <c r="G76" i="49"/>
  <c r="G239" i="49"/>
  <c r="G105" i="49"/>
  <c r="G89" i="49"/>
  <c r="G94" i="49"/>
  <c r="G247" i="49"/>
  <c r="G182" i="49"/>
  <c r="G129" i="49"/>
  <c r="G195" i="49"/>
  <c r="G287" i="49"/>
  <c r="G59" i="49"/>
  <c r="D314" i="25"/>
  <c r="D314" i="33"/>
  <c r="J169" i="49" l="1"/>
  <c r="K169" i="49" s="1"/>
  <c r="J243" i="49"/>
  <c r="J218" i="49"/>
  <c r="F324" i="34"/>
  <c r="J128" i="13"/>
  <c r="J46" i="13"/>
  <c r="J199" i="13"/>
  <c r="J112" i="13"/>
  <c r="J124" i="13"/>
  <c r="J158" i="13"/>
  <c r="J275" i="13"/>
  <c r="J10" i="13"/>
  <c r="J65" i="13"/>
  <c r="J228" i="13"/>
  <c r="J208" i="13"/>
  <c r="J50" i="13"/>
  <c r="J145" i="13"/>
  <c r="J8" i="49"/>
  <c r="K8" i="49" s="1"/>
  <c r="J297" i="13"/>
  <c r="C6" i="39"/>
  <c r="G35" i="49"/>
  <c r="J36" i="13"/>
  <c r="G41" i="49"/>
  <c r="J42" i="13"/>
  <c r="G43" i="49"/>
  <c r="G52" i="49"/>
  <c r="G81" i="49"/>
  <c r="G88" i="49"/>
  <c r="J89" i="13"/>
  <c r="G100" i="49"/>
  <c r="G104" i="49"/>
  <c r="G72" i="49"/>
  <c r="J73" i="13"/>
  <c r="G231" i="49"/>
  <c r="G151" i="49"/>
  <c r="G255" i="49"/>
  <c r="G139" i="49"/>
  <c r="J140" i="13"/>
  <c r="G208" i="49"/>
  <c r="J209" i="13"/>
  <c r="G281" i="49"/>
  <c r="G109" i="49"/>
  <c r="G221" i="49"/>
  <c r="G290" i="49"/>
  <c r="J291" i="13"/>
  <c r="G159" i="49"/>
  <c r="J160" i="13"/>
  <c r="G152" i="49"/>
  <c r="J153" i="13"/>
  <c r="G172" i="49"/>
  <c r="G246" i="49"/>
  <c r="J247" i="13"/>
  <c r="G154" i="49"/>
  <c r="J155" i="13"/>
  <c r="G155" i="49"/>
  <c r="G183" i="49"/>
  <c r="J184" i="13"/>
  <c r="G36" i="49"/>
  <c r="G161" i="49"/>
  <c r="G248" i="49"/>
  <c r="G22" i="49"/>
  <c r="G177" i="49"/>
  <c r="G253" i="49"/>
  <c r="G178" i="49"/>
  <c r="G220" i="49"/>
  <c r="J221" i="13"/>
  <c r="G291" i="49"/>
  <c r="G188" i="49"/>
  <c r="G80" i="49"/>
  <c r="G119" i="49"/>
  <c r="G203" i="49"/>
  <c r="G37" i="49"/>
  <c r="G200" i="49"/>
  <c r="G269" i="49"/>
  <c r="G117" i="49"/>
  <c r="G197" i="49"/>
  <c r="J198" i="13"/>
  <c r="G282" i="49"/>
  <c r="G309" i="49"/>
  <c r="G277" i="49"/>
  <c r="J278" i="13"/>
  <c r="G311" i="49"/>
  <c r="J312" i="13"/>
  <c r="G48" i="49"/>
  <c r="J49" i="13"/>
  <c r="G254" i="49"/>
  <c r="G91" i="49"/>
  <c r="J92" i="13"/>
  <c r="G179" i="49"/>
  <c r="J180" i="13"/>
  <c r="G112" i="49"/>
  <c r="J113" i="13"/>
  <c r="G261" i="49"/>
  <c r="G202" i="49"/>
  <c r="J203" i="13"/>
  <c r="G235" i="49"/>
  <c r="G266" i="49"/>
  <c r="J267" i="13"/>
  <c r="G259" i="49"/>
  <c r="J260" i="13"/>
  <c r="G233" i="49"/>
  <c r="G145" i="49"/>
  <c r="J146" i="13"/>
  <c r="G130" i="49"/>
  <c r="G24" i="49"/>
  <c r="G187" i="49"/>
  <c r="J188" i="13"/>
  <c r="G60" i="49"/>
  <c r="J61" i="13"/>
  <c r="G289" i="49"/>
  <c r="J290" i="13"/>
  <c r="G213" i="49"/>
  <c r="J214" i="13"/>
  <c r="G39" i="49"/>
  <c r="G140" i="49"/>
  <c r="G25" i="49"/>
  <c r="J26" i="13"/>
  <c r="G302" i="49"/>
  <c r="G110" i="49"/>
  <c r="G251" i="49"/>
  <c r="J252" i="13"/>
  <c r="G184" i="49"/>
  <c r="J185" i="13"/>
  <c r="G307" i="49"/>
  <c r="J308" i="13"/>
  <c r="G270" i="49"/>
  <c r="G176" i="49"/>
  <c r="J177" i="13"/>
  <c r="G49" i="49"/>
  <c r="G53" i="49"/>
  <c r="G97" i="49"/>
  <c r="J98" i="13"/>
  <c r="G191" i="49"/>
  <c r="J192" i="13"/>
  <c r="G280" i="49"/>
  <c r="J281" i="13"/>
  <c r="G135" i="49"/>
  <c r="J136" i="13"/>
  <c r="G204" i="49"/>
  <c r="J205" i="13"/>
  <c r="G293" i="49"/>
  <c r="J294" i="13"/>
  <c r="G201" i="49"/>
  <c r="J202" i="13"/>
  <c r="G286" i="49"/>
  <c r="J287" i="13"/>
  <c r="G32" i="49"/>
  <c r="J33" i="13"/>
  <c r="G294" i="49"/>
  <c r="J295" i="13"/>
  <c r="G264" i="49"/>
  <c r="J265" i="13"/>
  <c r="G214" i="49"/>
  <c r="G65" i="49"/>
  <c r="J66" i="13"/>
  <c r="G228" i="49"/>
  <c r="J229" i="13"/>
  <c r="G141" i="49"/>
  <c r="J142" i="13"/>
  <c r="G137" i="49"/>
  <c r="J138" i="13"/>
  <c r="G18" i="49"/>
  <c r="J19" i="13"/>
  <c r="G92" i="49"/>
  <c r="J93" i="13"/>
  <c r="G96" i="49"/>
  <c r="J97" i="13"/>
  <c r="G196" i="49"/>
  <c r="G56" i="49"/>
  <c r="J57" i="13"/>
  <c r="G278" i="49"/>
  <c r="J279" i="13"/>
  <c r="G95" i="49"/>
  <c r="G73" i="49"/>
  <c r="J74" i="13"/>
  <c r="G69" i="49"/>
  <c r="G260" i="49"/>
  <c r="J261" i="13"/>
  <c r="G252" i="49"/>
  <c r="J253" i="13"/>
  <c r="G99" i="49"/>
  <c r="J100" i="13"/>
  <c r="G257" i="49"/>
  <c r="J258" i="13"/>
  <c r="G267" i="49"/>
  <c r="J268" i="13"/>
  <c r="G77" i="49"/>
  <c r="J78" i="13"/>
  <c r="G134" i="49"/>
  <c r="J135" i="13"/>
  <c r="G283" i="49"/>
  <c r="J284" i="13"/>
  <c r="G207" i="49"/>
  <c r="G61" i="49"/>
  <c r="G273" i="49"/>
  <c r="G217" i="49"/>
  <c r="G128" i="49"/>
  <c r="J129" i="13"/>
  <c r="G250" i="49"/>
  <c r="J251" i="13"/>
  <c r="G114" i="49"/>
  <c r="J115" i="13"/>
  <c r="J62" i="13"/>
  <c r="J274" i="13"/>
  <c r="J105" i="13"/>
  <c r="J234" i="13"/>
  <c r="J40" i="13"/>
  <c r="J152" i="13"/>
  <c r="J118" i="13"/>
  <c r="G68" i="49"/>
  <c r="J69" i="13"/>
  <c r="J96" i="13"/>
  <c r="J70" i="13"/>
  <c r="J282" i="13"/>
  <c r="J310" i="13"/>
  <c r="G21" i="49"/>
  <c r="J159" i="13"/>
  <c r="C6" i="12"/>
  <c r="F6" i="32"/>
  <c r="J7" i="13"/>
  <c r="J305" i="13"/>
  <c r="J302" i="13"/>
  <c r="C6" i="33"/>
  <c r="J7" i="49"/>
  <c r="J9" i="49"/>
  <c r="J13" i="49"/>
  <c r="J17" i="49"/>
  <c r="J21" i="49"/>
  <c r="J25" i="49"/>
  <c r="J29" i="49"/>
  <c r="J32" i="49"/>
  <c r="J36" i="49"/>
  <c r="J40" i="49"/>
  <c r="J44" i="49"/>
  <c r="J48" i="49"/>
  <c r="J52" i="49"/>
  <c r="J56" i="49"/>
  <c r="J60" i="49"/>
  <c r="J64" i="49"/>
  <c r="J68" i="49"/>
  <c r="J12" i="49"/>
  <c r="J18" i="49"/>
  <c r="J23" i="49"/>
  <c r="J28" i="49"/>
  <c r="J33" i="49"/>
  <c r="J38" i="49"/>
  <c r="J43" i="49"/>
  <c r="J49" i="49"/>
  <c r="J54" i="49"/>
  <c r="J59" i="49"/>
  <c r="J65" i="49"/>
  <c r="J70" i="49"/>
  <c r="J74" i="49"/>
  <c r="J78" i="49"/>
  <c r="J82" i="49"/>
  <c r="J86" i="49"/>
  <c r="J90" i="49"/>
  <c r="J94" i="49"/>
  <c r="J98" i="49"/>
  <c r="J102" i="49"/>
  <c r="J106" i="49"/>
  <c r="J110" i="49"/>
  <c r="J114" i="49"/>
  <c r="J118" i="49"/>
  <c r="J122" i="49"/>
  <c r="J126" i="49"/>
  <c r="J130" i="49"/>
  <c r="J134" i="49"/>
  <c r="J138" i="49"/>
  <c r="J142" i="49"/>
  <c r="J146" i="49"/>
  <c r="J150" i="49"/>
  <c r="J154" i="49"/>
  <c r="J158" i="49"/>
  <c r="J162" i="49"/>
  <c r="J170" i="49"/>
  <c r="J177" i="49"/>
  <c r="J181" i="49"/>
  <c r="J185" i="49"/>
  <c r="J189" i="49"/>
  <c r="J193" i="49"/>
  <c r="J197" i="49"/>
  <c r="J201" i="49"/>
  <c r="J205" i="49"/>
  <c r="J209" i="49"/>
  <c r="J213" i="49"/>
  <c r="J217" i="49"/>
  <c r="J220" i="49"/>
  <c r="J224" i="49"/>
  <c r="J228" i="49"/>
  <c r="J11" i="49"/>
  <c r="J19" i="49"/>
  <c r="J26" i="49"/>
  <c r="J39" i="49"/>
  <c r="J46" i="49"/>
  <c r="J53" i="49"/>
  <c r="J61" i="49"/>
  <c r="J67" i="49"/>
  <c r="J73" i="49"/>
  <c r="J79" i="49"/>
  <c r="J84" i="49"/>
  <c r="J89" i="49"/>
  <c r="J95" i="49"/>
  <c r="J100" i="49"/>
  <c r="J105" i="49"/>
  <c r="J111" i="49"/>
  <c r="J116" i="49"/>
  <c r="J121" i="49"/>
  <c r="J127" i="49"/>
  <c r="J132" i="49"/>
  <c r="J137" i="49"/>
  <c r="J143" i="49"/>
  <c r="J148" i="49"/>
  <c r="J153" i="49"/>
  <c r="J159" i="49"/>
  <c r="J163" i="49"/>
  <c r="J166" i="49"/>
  <c r="J171" i="49"/>
  <c r="J175" i="49"/>
  <c r="J180" i="49"/>
  <c r="J186" i="49"/>
  <c r="J191" i="49"/>
  <c r="J196" i="49"/>
  <c r="J202" i="49"/>
  <c r="J207" i="49"/>
  <c r="J212" i="49"/>
  <c r="J222" i="49"/>
  <c r="J227" i="49"/>
  <c r="J232" i="49"/>
  <c r="J235" i="49"/>
  <c r="J237" i="49"/>
  <c r="J241" i="49"/>
  <c r="J246" i="49"/>
  <c r="J250" i="49"/>
  <c r="J254" i="49"/>
  <c r="J258" i="49"/>
  <c r="J262" i="49"/>
  <c r="J266" i="49"/>
  <c r="J270" i="49"/>
  <c r="J274" i="49"/>
  <c r="J278" i="49"/>
  <c r="J282" i="49"/>
  <c r="J286" i="49"/>
  <c r="J290" i="49"/>
  <c r="J294" i="49"/>
  <c r="J297" i="49"/>
  <c r="J301" i="49"/>
  <c r="J305" i="49"/>
  <c r="J309" i="49"/>
  <c r="J313" i="49"/>
  <c r="J10" i="49"/>
  <c r="J20" i="49"/>
  <c r="J30" i="49"/>
  <c r="J37" i="49"/>
  <c r="J47" i="49"/>
  <c r="J57" i="49"/>
  <c r="J66" i="49"/>
  <c r="J75" i="49"/>
  <c r="J81" i="49"/>
  <c r="J88" i="49"/>
  <c r="J96" i="49"/>
  <c r="J103" i="49"/>
  <c r="J109" i="49"/>
  <c r="J117" i="49"/>
  <c r="J124" i="49"/>
  <c r="J131" i="49"/>
  <c r="J139" i="49"/>
  <c r="J145" i="49"/>
  <c r="J152" i="49"/>
  <c r="J160" i="49"/>
  <c r="J176" i="49"/>
  <c r="J183" i="49"/>
  <c r="J190" i="49"/>
  <c r="J198" i="49"/>
  <c r="J204" i="49"/>
  <c r="J211" i="49"/>
  <c r="J219" i="49"/>
  <c r="J225" i="49"/>
  <c r="J231" i="49"/>
  <c r="J239" i="49"/>
  <c r="J245" i="49"/>
  <c r="J251" i="49"/>
  <c r="J256" i="49"/>
  <c r="J261" i="49"/>
  <c r="J267" i="49"/>
  <c r="J272" i="49"/>
  <c r="J277" i="49"/>
  <c r="J283" i="49"/>
  <c r="J288" i="49"/>
  <c r="J293" i="49"/>
  <c r="J298" i="49"/>
  <c r="J303" i="49"/>
  <c r="J308" i="49"/>
  <c r="J14" i="49"/>
  <c r="J22" i="49"/>
  <c r="J31" i="49"/>
  <c r="J41" i="49"/>
  <c r="J50" i="49"/>
  <c r="J58" i="49"/>
  <c r="J69" i="49"/>
  <c r="J76" i="49"/>
  <c r="J83" i="49"/>
  <c r="J91" i="49"/>
  <c r="J97" i="49"/>
  <c r="J104" i="49"/>
  <c r="J112" i="49"/>
  <c r="J119" i="49"/>
  <c r="J125" i="49"/>
  <c r="J133" i="49"/>
  <c r="J140" i="49"/>
  <c r="J147" i="49"/>
  <c r="J155" i="49"/>
  <c r="J161" i="49"/>
  <c r="J165" i="49"/>
  <c r="J172" i="49"/>
  <c r="J178" i="49"/>
  <c r="J184" i="49"/>
  <c r="J192" i="49"/>
  <c r="J199" i="49"/>
  <c r="J206" i="49"/>
  <c r="J214" i="49"/>
  <c r="J226" i="49"/>
  <c r="J233" i="49"/>
  <c r="J236" i="49"/>
  <c r="J240" i="49"/>
  <c r="J247" i="49"/>
  <c r="J252" i="49"/>
  <c r="J257" i="49"/>
  <c r="J263" i="49"/>
  <c r="J268" i="49"/>
  <c r="J273" i="49"/>
  <c r="J279" i="49"/>
  <c r="J284" i="49"/>
  <c r="J289" i="49"/>
  <c r="J295" i="49"/>
  <c r="J299" i="49"/>
  <c r="J304" i="49"/>
  <c r="J310" i="49"/>
  <c r="J15" i="49"/>
  <c r="J24" i="49"/>
  <c r="J34" i="49"/>
  <c r="J42" i="49"/>
  <c r="J51" i="49"/>
  <c r="J62" i="49"/>
  <c r="J71" i="49"/>
  <c r="J77" i="49"/>
  <c r="J85" i="49"/>
  <c r="J92" i="49"/>
  <c r="J99" i="49"/>
  <c r="J107" i="49"/>
  <c r="J113" i="49"/>
  <c r="J120" i="49"/>
  <c r="J128" i="49"/>
  <c r="J135" i="49"/>
  <c r="J141" i="49"/>
  <c r="J149" i="49"/>
  <c r="J156" i="49"/>
  <c r="J167" i="49"/>
  <c r="J173" i="49"/>
  <c r="J179" i="49"/>
  <c r="J187" i="49"/>
  <c r="J194" i="49"/>
  <c r="J200" i="49"/>
  <c r="J208" i="49"/>
  <c r="J215" i="49"/>
  <c r="J221" i="49"/>
  <c r="J229" i="49"/>
  <c r="J242" i="49"/>
  <c r="J248" i="49"/>
  <c r="J253" i="49"/>
  <c r="J259" i="49"/>
  <c r="J264" i="49"/>
  <c r="J269" i="49"/>
  <c r="J275" i="49"/>
  <c r="J280" i="49"/>
  <c r="J285" i="49"/>
  <c r="J291" i="49"/>
  <c r="J300" i="49"/>
  <c r="J306" i="49"/>
  <c r="J311" i="49"/>
  <c r="J45" i="49"/>
  <c r="J80" i="49"/>
  <c r="J108" i="49"/>
  <c r="J136" i="49"/>
  <c r="J164" i="49"/>
  <c r="J188" i="49"/>
  <c r="J216" i="49"/>
  <c r="J238" i="49"/>
  <c r="J260" i="49"/>
  <c r="J281" i="49"/>
  <c r="J302" i="49"/>
  <c r="J63" i="49"/>
  <c r="J174" i="49"/>
  <c r="J249" i="49"/>
  <c r="J292" i="49"/>
  <c r="J35" i="49"/>
  <c r="J72" i="49"/>
  <c r="J101" i="49"/>
  <c r="J129" i="49"/>
  <c r="J157" i="49"/>
  <c r="J182" i="49"/>
  <c r="J210" i="49"/>
  <c r="J234" i="49"/>
  <c r="J255" i="49"/>
  <c r="J276" i="49"/>
  <c r="J296" i="49"/>
  <c r="J16" i="49"/>
  <c r="J55" i="49"/>
  <c r="J87" i="49"/>
  <c r="J115" i="49"/>
  <c r="J144" i="49"/>
  <c r="J168" i="49"/>
  <c r="J195" i="49"/>
  <c r="J223" i="49"/>
  <c r="J244" i="49"/>
  <c r="J265" i="49"/>
  <c r="J287" i="49"/>
  <c r="J307" i="49"/>
  <c r="J27" i="49"/>
  <c r="J93" i="49"/>
  <c r="J123" i="49"/>
  <c r="J151" i="49"/>
  <c r="J203" i="49"/>
  <c r="J230" i="49"/>
  <c r="J271" i="49"/>
  <c r="J312" i="49"/>
  <c r="J254" i="13"/>
  <c r="J222" i="13"/>
  <c r="J94" i="13"/>
  <c r="J44" i="13"/>
  <c r="J30" i="13"/>
  <c r="G23" i="49"/>
  <c r="G29" i="49"/>
  <c r="G40" i="49"/>
  <c r="J41" i="13"/>
  <c r="G42" i="49"/>
  <c r="G44" i="49"/>
  <c r="G54" i="49"/>
  <c r="G75" i="49"/>
  <c r="J76" i="13"/>
  <c r="G85" i="49"/>
  <c r="J86" i="13"/>
  <c r="G93" i="49"/>
  <c r="G101" i="49"/>
  <c r="J102" i="13"/>
  <c r="G107" i="49"/>
  <c r="J108" i="13"/>
  <c r="G133" i="49"/>
  <c r="J134" i="13"/>
  <c r="G313" i="49"/>
  <c r="G211" i="49"/>
  <c r="J212" i="13"/>
  <c r="G284" i="49"/>
  <c r="G173" i="49"/>
  <c r="J174" i="13"/>
  <c r="G244" i="49"/>
  <c r="J245" i="13"/>
  <c r="G17" i="49"/>
  <c r="J18" i="13"/>
  <c r="G249" i="49"/>
  <c r="J250" i="13"/>
  <c r="G63" i="49"/>
  <c r="J64" i="13"/>
  <c r="G180" i="49"/>
  <c r="J181" i="13"/>
  <c r="G210" i="49"/>
  <c r="J211" i="13"/>
  <c r="G98" i="49"/>
  <c r="J99" i="13"/>
  <c r="G237" i="49"/>
  <c r="J238" i="13"/>
  <c r="G64" i="49"/>
  <c r="G215" i="49"/>
  <c r="J216" i="13"/>
  <c r="G120" i="49"/>
  <c r="G212" i="49"/>
  <c r="J213" i="13"/>
  <c r="G299" i="49"/>
  <c r="G131" i="49"/>
  <c r="J132" i="13"/>
  <c r="G209" i="49"/>
  <c r="G310" i="49"/>
  <c r="J311" i="13"/>
  <c r="G227" i="49"/>
  <c r="G271" i="49"/>
  <c r="G241" i="49"/>
  <c r="G160" i="49"/>
  <c r="J161" i="13"/>
  <c r="G276" i="49"/>
  <c r="G148" i="49"/>
  <c r="J149" i="13"/>
  <c r="G236" i="49"/>
  <c r="G303" i="49"/>
  <c r="J304" i="13"/>
  <c r="G158" i="49"/>
  <c r="G240" i="49"/>
  <c r="J241" i="13"/>
  <c r="G186" i="49"/>
  <c r="J187" i="13"/>
  <c r="G312" i="49"/>
  <c r="J313" i="13"/>
  <c r="G262" i="49"/>
  <c r="J263" i="13"/>
  <c r="G168" i="49"/>
  <c r="J169" i="13"/>
  <c r="G20" i="49"/>
  <c r="J21" i="13"/>
  <c r="G102" i="49"/>
  <c r="J103" i="13"/>
  <c r="G70" i="49"/>
  <c r="J71" i="13"/>
  <c r="G263" i="49"/>
  <c r="G268" i="49"/>
  <c r="G192" i="49"/>
  <c r="J193" i="13"/>
  <c r="G189" i="49"/>
  <c r="J190" i="13"/>
  <c r="G308" i="49"/>
  <c r="J309" i="13"/>
  <c r="G116" i="49"/>
  <c r="J117" i="13"/>
  <c r="G305" i="49"/>
  <c r="J306" i="13"/>
  <c r="G165" i="49"/>
  <c r="J166" i="13"/>
  <c r="G115" i="49"/>
  <c r="G144" i="49"/>
  <c r="G9" i="49"/>
  <c r="G306" i="49"/>
  <c r="J307" i="13"/>
  <c r="G166" i="49"/>
  <c r="G292" i="49"/>
  <c r="J293" i="13"/>
  <c r="G216" i="49"/>
  <c r="G132" i="49"/>
  <c r="J133" i="13"/>
  <c r="G146" i="49"/>
  <c r="J147" i="13"/>
  <c r="G10" i="49"/>
  <c r="G219" i="49"/>
  <c r="J220" i="13"/>
  <c r="G86" i="49"/>
  <c r="J87" i="13"/>
  <c r="G108" i="49"/>
  <c r="J109" i="13"/>
  <c r="G224" i="49"/>
  <c r="J225" i="13"/>
  <c r="G185" i="49"/>
  <c r="J186" i="13"/>
  <c r="G150" i="49"/>
  <c r="J151" i="13"/>
  <c r="G242" i="49"/>
  <c r="J243" i="13"/>
  <c r="G8" i="49"/>
  <c r="J9" i="13"/>
  <c r="G226" i="49"/>
  <c r="G147" i="49"/>
  <c r="J148" i="13"/>
  <c r="G30" i="49"/>
  <c r="J31" i="13"/>
  <c r="G170" i="49"/>
  <c r="J171" i="13"/>
  <c r="G256" i="49"/>
  <c r="J257" i="13"/>
  <c r="G136" i="49"/>
  <c r="J137" i="13"/>
  <c r="G245" i="49"/>
  <c r="G103" i="49"/>
  <c r="J104" i="13"/>
  <c r="G7" i="49"/>
  <c r="G87" i="49"/>
  <c r="J88" i="13"/>
  <c r="G26" i="49"/>
  <c r="G223" i="49"/>
  <c r="J224" i="13"/>
  <c r="G157" i="49"/>
  <c r="G297" i="49"/>
  <c r="G274" i="49"/>
  <c r="G33" i="49"/>
  <c r="G111" i="49"/>
  <c r="G27" i="49"/>
  <c r="G199" i="49"/>
  <c r="J200" i="13"/>
  <c r="G285" i="49"/>
  <c r="J286" i="13"/>
  <c r="G193" i="49"/>
  <c r="G301" i="49"/>
  <c r="G123" i="49"/>
  <c r="G45" i="49"/>
  <c r="G143" i="49"/>
  <c r="J144" i="13"/>
  <c r="G57" i="49"/>
  <c r="G181" i="49"/>
  <c r="J182" i="13"/>
  <c r="G300" i="49"/>
  <c r="G167" i="49"/>
  <c r="J168" i="13"/>
  <c r="G62" i="49"/>
  <c r="J63" i="13"/>
  <c r="G12" i="49"/>
  <c r="J13" i="13"/>
  <c r="G127" i="49"/>
  <c r="G296" i="49"/>
  <c r="G153" i="49"/>
  <c r="G121" i="49"/>
  <c r="G304" i="49"/>
  <c r="G198" i="49"/>
  <c r="G232" i="49"/>
  <c r="J154" i="13"/>
  <c r="J122" i="13"/>
  <c r="J264" i="13"/>
  <c r="J269" i="13"/>
  <c r="J58" i="13"/>
  <c r="J301" i="13"/>
  <c r="J227" i="13"/>
  <c r="J314" i="13"/>
  <c r="J242" i="13"/>
  <c r="J237" i="13"/>
  <c r="J82" i="13"/>
  <c r="J22" i="13"/>
  <c r="J232" i="13"/>
  <c r="J256" i="13"/>
  <c r="J156" i="13"/>
  <c r="J37" i="13"/>
  <c r="J162" i="13"/>
  <c r="J249" i="13"/>
  <c r="J23" i="13"/>
  <c r="J178" i="13"/>
  <c r="J179" i="13"/>
  <c r="J292" i="13"/>
  <c r="J189" i="13"/>
  <c r="J81" i="13"/>
  <c r="J204" i="13"/>
  <c r="J38" i="13"/>
  <c r="J201" i="13"/>
  <c r="J270" i="13"/>
  <c r="J283" i="13"/>
  <c r="J101" i="13"/>
  <c r="J55" i="13"/>
  <c r="J43" i="13"/>
  <c r="J24" i="13"/>
  <c r="J196" i="13"/>
  <c r="J289" i="13"/>
  <c r="J17" i="13"/>
  <c r="J239" i="13"/>
  <c r="J67" i="13"/>
  <c r="J51" i="13"/>
  <c r="J143" i="13"/>
  <c r="J230" i="13"/>
  <c r="J207" i="13"/>
  <c r="J90" i="13"/>
  <c r="J14" i="13"/>
  <c r="J266" i="13"/>
  <c r="J125" i="13"/>
  <c r="J52" i="13"/>
  <c r="J12" i="13"/>
  <c r="J56" i="13"/>
  <c r="J35" i="13"/>
  <c r="J60" i="13"/>
  <c r="J183" i="13"/>
  <c r="J106" i="13"/>
  <c r="J299" i="13"/>
  <c r="J123" i="13"/>
  <c r="J84" i="13"/>
  <c r="J91" i="13"/>
  <c r="J79" i="13"/>
  <c r="J150" i="13"/>
  <c r="J16" i="13"/>
  <c r="J32" i="13"/>
  <c r="J114" i="13"/>
  <c r="J29" i="13"/>
  <c r="J163" i="13"/>
  <c r="J157" i="13"/>
  <c r="J176" i="13"/>
  <c r="J276" i="13"/>
  <c r="J126" i="13"/>
  <c r="J85" i="13"/>
  <c r="J95" i="13"/>
  <c r="J68" i="13"/>
  <c r="J75" i="13"/>
  <c r="J191" i="13"/>
  <c r="J15" i="13"/>
  <c r="J119" i="13"/>
  <c r="J223" i="13"/>
  <c r="J48" i="13"/>
  <c r="J280" i="13"/>
  <c r="J59" i="13"/>
  <c r="J130" i="13"/>
  <c r="J77" i="13"/>
  <c r="J47" i="13"/>
  <c r="J226" i="13"/>
  <c r="J39" i="13"/>
  <c r="J127" i="13"/>
  <c r="J206" i="13"/>
  <c r="J288" i="13"/>
  <c r="J248" i="13"/>
  <c r="J240" i="13"/>
  <c r="J80" i="13"/>
  <c r="J139" i="13"/>
  <c r="J107" i="13"/>
  <c r="J83" i="13"/>
  <c r="J296" i="13"/>
  <c r="J259" i="13"/>
  <c r="J20" i="13"/>
  <c r="J164" i="13"/>
  <c r="J165" i="13"/>
  <c r="J175" i="13"/>
  <c r="J235" i="13"/>
  <c r="J195" i="13"/>
  <c r="J231" i="13"/>
  <c r="J72" i="13"/>
  <c r="J172" i="13"/>
  <c r="I6" i="32" l="1"/>
  <c r="F314" i="32"/>
  <c r="K224" i="49"/>
  <c r="F9" i="48"/>
  <c r="E6" i="25"/>
  <c r="L6" i="49"/>
  <c r="C6" i="11"/>
  <c r="C16" i="34"/>
  <c r="K218" i="49"/>
  <c r="K243" i="49"/>
  <c r="E6" i="33"/>
  <c r="D6" i="37" s="1"/>
  <c r="G6" i="32"/>
  <c r="K230" i="49"/>
  <c r="K265" i="49"/>
  <c r="K55" i="49"/>
  <c r="K63" i="49"/>
  <c r="K253" i="49"/>
  <c r="K179" i="49"/>
  <c r="K71" i="49"/>
  <c r="K34" i="49"/>
  <c r="K284" i="49"/>
  <c r="K240" i="49"/>
  <c r="K192" i="49"/>
  <c r="K140" i="49"/>
  <c r="K83" i="49"/>
  <c r="K50" i="49"/>
  <c r="K293" i="49"/>
  <c r="K251" i="49"/>
  <c r="K231" i="49"/>
  <c r="K176" i="49"/>
  <c r="K124" i="49"/>
  <c r="K66" i="49"/>
  <c r="K309" i="49"/>
  <c r="K294" i="49"/>
  <c r="K262" i="49"/>
  <c r="K232" i="49"/>
  <c r="K191" i="49"/>
  <c r="K171" i="49"/>
  <c r="K132" i="49"/>
  <c r="K89" i="49"/>
  <c r="K39" i="49"/>
  <c r="K170" i="49"/>
  <c r="K94" i="49"/>
  <c r="K78" i="49"/>
  <c r="K18" i="49"/>
  <c r="K44" i="49"/>
  <c r="K13" i="49"/>
  <c r="K203" i="49"/>
  <c r="K244" i="49"/>
  <c r="K16" i="49"/>
  <c r="K234" i="49"/>
  <c r="K292" i="49"/>
  <c r="K216" i="49"/>
  <c r="K311" i="49"/>
  <c r="K269" i="49"/>
  <c r="K248" i="49"/>
  <c r="K200" i="49"/>
  <c r="K173" i="49"/>
  <c r="K62" i="49"/>
  <c r="K236" i="49"/>
  <c r="K184" i="49"/>
  <c r="K76" i="49"/>
  <c r="K308" i="49"/>
  <c r="K267" i="49"/>
  <c r="K225" i="49"/>
  <c r="K117" i="49"/>
  <c r="K57" i="49"/>
  <c r="K305" i="49"/>
  <c r="K241" i="49"/>
  <c r="K186" i="49"/>
  <c r="K105" i="49"/>
  <c r="K61" i="49"/>
  <c r="K228" i="49"/>
  <c r="K197" i="49"/>
  <c r="K181" i="49"/>
  <c r="K138" i="49"/>
  <c r="K122" i="49"/>
  <c r="K106" i="49"/>
  <c r="K90" i="49"/>
  <c r="K74" i="49"/>
  <c r="K54" i="49"/>
  <c r="K33" i="49"/>
  <c r="K12" i="49"/>
  <c r="K56" i="49"/>
  <c r="K40" i="49"/>
  <c r="K9" i="49"/>
  <c r="K271" i="49"/>
  <c r="K287" i="49"/>
  <c r="K195" i="49"/>
  <c r="K87" i="49"/>
  <c r="K182" i="49"/>
  <c r="K72" i="49"/>
  <c r="K174" i="49"/>
  <c r="K260" i="49"/>
  <c r="K164" i="49"/>
  <c r="K45" i="49"/>
  <c r="K300" i="49"/>
  <c r="K259" i="49"/>
  <c r="K215" i="49"/>
  <c r="K187" i="49"/>
  <c r="K135" i="49"/>
  <c r="K107" i="49"/>
  <c r="K77" i="49"/>
  <c r="K42" i="49"/>
  <c r="K310" i="49"/>
  <c r="K289" i="49"/>
  <c r="K268" i="49"/>
  <c r="K247" i="49"/>
  <c r="K226" i="49"/>
  <c r="K199" i="49"/>
  <c r="K172" i="49"/>
  <c r="K147" i="49"/>
  <c r="K91" i="49"/>
  <c r="K58" i="49"/>
  <c r="K22" i="49"/>
  <c r="K298" i="49"/>
  <c r="K256" i="49"/>
  <c r="K211" i="49"/>
  <c r="K183" i="49"/>
  <c r="K160" i="49"/>
  <c r="K131" i="49"/>
  <c r="K103" i="49"/>
  <c r="K75" i="49"/>
  <c r="K37" i="49"/>
  <c r="K313" i="49"/>
  <c r="K297" i="49"/>
  <c r="K266" i="49"/>
  <c r="K250" i="49"/>
  <c r="K235" i="49"/>
  <c r="K196" i="49"/>
  <c r="K175" i="49"/>
  <c r="K159" i="49"/>
  <c r="K137" i="49"/>
  <c r="K95" i="49"/>
  <c r="K73" i="49"/>
  <c r="K46" i="49"/>
  <c r="K19" i="49"/>
  <c r="K220" i="49"/>
  <c r="K205" i="49"/>
  <c r="K189" i="49"/>
  <c r="K162" i="49"/>
  <c r="K146" i="49"/>
  <c r="K114" i="49"/>
  <c r="K98" i="49"/>
  <c r="K82" i="49"/>
  <c r="K65" i="49"/>
  <c r="K43" i="49"/>
  <c r="K23" i="49"/>
  <c r="K64" i="49"/>
  <c r="K48" i="49"/>
  <c r="K32" i="49"/>
  <c r="K17" i="49"/>
  <c r="K93" i="49"/>
  <c r="K168" i="49"/>
  <c r="K255" i="49"/>
  <c r="K35" i="49"/>
  <c r="K238" i="49"/>
  <c r="K208" i="49"/>
  <c r="K156" i="49"/>
  <c r="K99" i="49"/>
  <c r="K263" i="49"/>
  <c r="K165" i="49"/>
  <c r="K112" i="49"/>
  <c r="K272" i="49"/>
  <c r="K204" i="49"/>
  <c r="K152" i="49"/>
  <c r="K96" i="49"/>
  <c r="K30" i="49"/>
  <c r="K246" i="49"/>
  <c r="K212" i="49"/>
  <c r="K67" i="49"/>
  <c r="K11" i="49"/>
  <c r="K217" i="49"/>
  <c r="K185" i="49"/>
  <c r="K158" i="49"/>
  <c r="K142" i="49"/>
  <c r="K110" i="49"/>
  <c r="K59" i="49"/>
  <c r="K38" i="49"/>
  <c r="K60" i="49"/>
  <c r="K29" i="49"/>
  <c r="K27" i="49"/>
  <c r="K144" i="49"/>
  <c r="K108" i="49"/>
  <c r="K291" i="49"/>
  <c r="K229" i="49"/>
  <c r="K92" i="49"/>
  <c r="K24" i="49"/>
  <c r="K299" i="49"/>
  <c r="K257" i="49"/>
  <c r="K214" i="49"/>
  <c r="K161" i="49"/>
  <c r="K104" i="49"/>
  <c r="K41" i="49"/>
  <c r="K288" i="49"/>
  <c r="K245" i="49"/>
  <c r="K198" i="49"/>
  <c r="K145" i="49"/>
  <c r="K88" i="49"/>
  <c r="K20" i="49"/>
  <c r="K290" i="49"/>
  <c r="K258" i="49"/>
  <c r="K227" i="49"/>
  <c r="K207" i="49"/>
  <c r="K166" i="49"/>
  <c r="K84" i="49"/>
  <c r="K213" i="49"/>
  <c r="K25" i="49"/>
  <c r="K151" i="49"/>
  <c r="K307" i="49"/>
  <c r="K115" i="49"/>
  <c r="K296" i="49"/>
  <c r="K210" i="49"/>
  <c r="K101" i="49"/>
  <c r="K249" i="49"/>
  <c r="K188" i="49"/>
  <c r="K80" i="49"/>
  <c r="K306" i="49"/>
  <c r="K285" i="49"/>
  <c r="K264" i="49"/>
  <c r="K242" i="49"/>
  <c r="K221" i="49"/>
  <c r="K194" i="49"/>
  <c r="K167" i="49"/>
  <c r="K141" i="49"/>
  <c r="K85" i="49"/>
  <c r="K51" i="49"/>
  <c r="K15" i="49"/>
  <c r="K273" i="49"/>
  <c r="K252" i="49"/>
  <c r="K233" i="49"/>
  <c r="K206" i="49"/>
  <c r="K178" i="49"/>
  <c r="K97" i="49"/>
  <c r="K69" i="49"/>
  <c r="K31" i="49"/>
  <c r="K303" i="49"/>
  <c r="K261" i="49"/>
  <c r="K239" i="49"/>
  <c r="K219" i="49"/>
  <c r="K139" i="49"/>
  <c r="K109" i="49"/>
  <c r="K81" i="49"/>
  <c r="K47" i="49"/>
  <c r="K10" i="49"/>
  <c r="K301" i="49"/>
  <c r="K286" i="49"/>
  <c r="K270" i="49"/>
  <c r="K254" i="49"/>
  <c r="K237" i="49"/>
  <c r="K222" i="49"/>
  <c r="K180" i="49"/>
  <c r="K163" i="49"/>
  <c r="K100" i="49"/>
  <c r="K79" i="49"/>
  <c r="K53" i="49"/>
  <c r="K26" i="49"/>
  <c r="K209" i="49"/>
  <c r="K193" i="49"/>
  <c r="K177" i="49"/>
  <c r="K102" i="49"/>
  <c r="K86" i="49"/>
  <c r="K70" i="49"/>
  <c r="K49" i="49"/>
  <c r="K28" i="49"/>
  <c r="K68" i="49"/>
  <c r="K52" i="49"/>
  <c r="K36" i="49"/>
  <c r="K21" i="49"/>
  <c r="J314" i="49"/>
  <c r="I314" i="32" l="1"/>
  <c r="G314" i="32"/>
  <c r="E47" i="48"/>
  <c r="K314" i="49"/>
  <c r="M314" i="49" s="1"/>
  <c r="K6" i="11" l="1"/>
  <c r="Q6" i="11" l="1"/>
  <c r="F315" i="42" l="1"/>
  <c r="M273" i="42"/>
  <c r="T273" i="42" s="1"/>
  <c r="M315" i="42"/>
  <c r="T315" i="42" l="1"/>
  <c r="I315" i="19"/>
  <c r="F272" i="49" l="1"/>
  <c r="F314" i="49" s="1"/>
  <c r="R315" i="19"/>
  <c r="U315" i="19" l="1"/>
  <c r="G272" i="49"/>
  <c r="G314" i="49" s="1"/>
  <c r="C314" i="12"/>
  <c r="J273" i="13"/>
  <c r="J315" i="13" s="1"/>
  <c r="C314" i="39" l="1"/>
  <c r="B54" i="40"/>
  <c r="E272" i="25"/>
  <c r="E314" i="25" s="1"/>
  <c r="C314" i="33"/>
  <c r="L272" i="49"/>
  <c r="L314" i="49" s="1"/>
  <c r="M5" i="49" s="1"/>
  <c r="S315" i="19"/>
  <c r="C324" i="34" l="1"/>
  <c r="G36" i="40"/>
  <c r="G38" i="40" s="1"/>
  <c r="E5" i="9"/>
  <c r="E314" i="33"/>
  <c r="M303" i="49"/>
  <c r="N303" i="49" s="1"/>
  <c r="M109" i="49"/>
  <c r="N109" i="49" s="1"/>
  <c r="M152" i="49"/>
  <c r="N152" i="49" s="1"/>
  <c r="M275" i="49"/>
  <c r="N275" i="49" s="1"/>
  <c r="M268" i="49"/>
  <c r="N268" i="49" s="1"/>
  <c r="M20" i="49"/>
  <c r="N20" i="49" s="1"/>
  <c r="M151" i="49"/>
  <c r="N151" i="49" s="1"/>
  <c r="M285" i="49"/>
  <c r="N285" i="49" s="1"/>
  <c r="M230" i="49"/>
  <c r="N230" i="49" s="1"/>
  <c r="M92" i="49"/>
  <c r="N92" i="49" s="1"/>
  <c r="M245" i="49"/>
  <c r="N245" i="49" s="1"/>
  <c r="M305" i="49"/>
  <c r="N305" i="49" s="1"/>
  <c r="M155" i="49"/>
  <c r="N155" i="49" s="1"/>
  <c r="M118" i="49"/>
  <c r="N118" i="49" s="1"/>
  <c r="M44" i="49"/>
  <c r="N44" i="49" s="1"/>
  <c r="M184" i="49"/>
  <c r="N184" i="49" s="1"/>
  <c r="M32" i="49"/>
  <c r="N32" i="49" s="1"/>
  <c r="M186" i="49"/>
  <c r="N186" i="49" s="1"/>
  <c r="M173" i="49"/>
  <c r="N173" i="49" s="1"/>
  <c r="M147" i="49"/>
  <c r="N147" i="49" s="1"/>
  <c r="M47" i="49"/>
  <c r="N47" i="49" s="1"/>
  <c r="M288" i="49"/>
  <c r="N288" i="49" s="1"/>
  <c r="M223" i="49"/>
  <c r="N223" i="49" s="1"/>
  <c r="M67" i="49"/>
  <c r="N67" i="49" s="1"/>
  <c r="M304" i="49"/>
  <c r="N304" i="49" s="1"/>
  <c r="M74" i="49"/>
  <c r="N74" i="49" s="1"/>
  <c r="M16" i="49"/>
  <c r="N16" i="49" s="1"/>
  <c r="M227" i="49"/>
  <c r="N227" i="49" s="1"/>
  <c r="M166" i="49"/>
  <c r="N166" i="49" s="1"/>
  <c r="M125" i="49"/>
  <c r="N125" i="49" s="1"/>
  <c r="M258" i="49"/>
  <c r="N258" i="49" s="1"/>
  <c r="M279" i="49"/>
  <c r="N279" i="49" s="1"/>
  <c r="M43" i="49"/>
  <c r="N43" i="49" s="1"/>
  <c r="M124" i="49"/>
  <c r="N124" i="49" s="1"/>
  <c r="M25" i="49"/>
  <c r="N25" i="49" s="1"/>
  <c r="M287" i="49"/>
  <c r="N287" i="49" s="1"/>
  <c r="M158" i="49"/>
  <c r="N158" i="49" s="1"/>
  <c r="M180" i="49"/>
  <c r="N180" i="49" s="1"/>
  <c r="M157" i="49"/>
  <c r="N157" i="49" s="1"/>
  <c r="M60" i="49"/>
  <c r="N60" i="49" s="1"/>
  <c r="M131" i="49"/>
  <c r="N131" i="49" s="1"/>
  <c r="M22" i="49"/>
  <c r="N22" i="49" s="1"/>
  <c r="M107" i="49"/>
  <c r="N107" i="49" s="1"/>
  <c r="M308" i="49"/>
  <c r="N308" i="49" s="1"/>
  <c r="M312" i="49"/>
  <c r="N312" i="49" s="1"/>
  <c r="M269" i="49"/>
  <c r="N269" i="49" s="1"/>
  <c r="M206" i="49"/>
  <c r="N206" i="49" s="1"/>
  <c r="M163" i="49"/>
  <c r="N163" i="49" s="1"/>
  <c r="M286" i="49"/>
  <c r="N286" i="49" s="1"/>
  <c r="M181" i="49"/>
  <c r="N181" i="49" s="1"/>
  <c r="M86" i="49"/>
  <c r="N86" i="49" s="1"/>
  <c r="M122" i="49"/>
  <c r="N122" i="49" s="1"/>
  <c r="M149" i="49"/>
  <c r="N149" i="49" s="1"/>
  <c r="M246" i="49"/>
  <c r="N246" i="49" s="1"/>
  <c r="M102" i="49"/>
  <c r="N102" i="49" s="1"/>
  <c r="M168" i="49"/>
  <c r="N168" i="49" s="1"/>
  <c r="M7" i="49"/>
  <c r="N7" i="49" s="1"/>
  <c r="M95" i="49"/>
  <c r="N95" i="49" s="1"/>
  <c r="M218" i="49"/>
  <c r="N218" i="49" s="1"/>
  <c r="M26" i="49"/>
  <c r="N26" i="49" s="1"/>
  <c r="M247" i="49"/>
  <c r="N247" i="49" s="1"/>
  <c r="M209" i="49"/>
  <c r="N209" i="49" s="1"/>
  <c r="M215" i="49"/>
  <c r="N215" i="49" s="1"/>
  <c r="M100" i="49"/>
  <c r="N100" i="49" s="1"/>
  <c r="M139" i="49"/>
  <c r="N139" i="49" s="1"/>
  <c r="M93" i="49"/>
  <c r="N93" i="49" s="1"/>
  <c r="M252" i="49"/>
  <c r="N252" i="49" s="1"/>
  <c r="M199" i="49"/>
  <c r="N199" i="49" s="1"/>
  <c r="M150" i="49"/>
  <c r="N150" i="49" s="1"/>
  <c r="M94" i="49"/>
  <c r="N94" i="49" s="1"/>
  <c r="M75" i="49"/>
  <c r="N75" i="49" s="1"/>
  <c r="M49" i="49"/>
  <c r="N49" i="49" s="1"/>
  <c r="M53" i="49"/>
  <c r="N53" i="49" s="1"/>
  <c r="M265" i="49"/>
  <c r="N265" i="49" s="1"/>
  <c r="M171" i="49"/>
  <c r="N171" i="49" s="1"/>
  <c r="M10" i="49"/>
  <c r="N10" i="49" s="1"/>
  <c r="M267" i="49"/>
  <c r="N267" i="49" s="1"/>
  <c r="M148" i="49"/>
  <c r="N148" i="49" s="1"/>
  <c r="M248" i="49"/>
  <c r="N248" i="49" s="1"/>
  <c r="M103" i="49"/>
  <c r="N103" i="49" s="1"/>
  <c r="M309" i="49"/>
  <c r="N309" i="49" s="1"/>
  <c r="M161" i="49"/>
  <c r="N161" i="49" s="1"/>
  <c r="M294" i="49"/>
  <c r="N294" i="49" s="1"/>
  <c r="M222" i="49"/>
  <c r="N222" i="49" s="1"/>
  <c r="M64" i="49"/>
  <c r="N64" i="49" s="1"/>
  <c r="M195" i="49"/>
  <c r="N195" i="49" s="1"/>
  <c r="M89" i="49"/>
  <c r="N89" i="49" s="1"/>
  <c r="M114" i="49"/>
  <c r="N114" i="49" s="1"/>
  <c r="M187" i="49"/>
  <c r="N187" i="49" s="1"/>
  <c r="M231" i="49"/>
  <c r="N231" i="49" s="1"/>
  <c r="M90" i="49"/>
  <c r="N90" i="49" s="1"/>
  <c r="M69" i="49"/>
  <c r="N69" i="49" s="1"/>
  <c r="M272" i="49"/>
  <c r="N272" i="49" s="1"/>
  <c r="M193" i="49"/>
  <c r="N193" i="49" s="1"/>
  <c r="M307" i="49"/>
  <c r="N307" i="49" s="1"/>
  <c r="M62" i="49"/>
  <c r="N62" i="49" s="1"/>
  <c r="M205" i="49"/>
  <c r="N205" i="49" s="1"/>
  <c r="M111" i="49"/>
  <c r="N111" i="49" s="1"/>
  <c r="M229" i="49"/>
  <c r="N229" i="49" s="1"/>
  <c r="M254" i="49"/>
  <c r="N254" i="49" s="1"/>
  <c r="M153" i="49"/>
  <c r="N153" i="49" s="1"/>
  <c r="M178" i="49"/>
  <c r="N178" i="49" s="1"/>
  <c r="M257" i="49"/>
  <c r="N257" i="49" s="1"/>
  <c r="M35" i="49"/>
  <c r="N35" i="49" s="1"/>
  <c r="M282" i="49"/>
  <c r="N282" i="49" s="1"/>
  <c r="M289" i="49"/>
  <c r="N289" i="49" s="1"/>
  <c r="M14" i="49"/>
  <c r="N14" i="49" s="1"/>
  <c r="M136" i="49"/>
  <c r="N136" i="49" s="1"/>
  <c r="M80" i="49"/>
  <c r="N80" i="49" s="1"/>
  <c r="M240" i="49"/>
  <c r="N240" i="49" s="1"/>
  <c r="M41" i="49"/>
  <c r="N41" i="49" s="1"/>
  <c r="M261" i="49"/>
  <c r="N261" i="49" s="1"/>
  <c r="M238" i="49"/>
  <c r="N238" i="49" s="1"/>
  <c r="M196" i="49"/>
  <c r="N196" i="49" s="1"/>
  <c r="M295" i="49"/>
  <c r="N295" i="49" s="1"/>
  <c r="M65" i="49"/>
  <c r="N65" i="49" s="1"/>
  <c r="M101" i="49"/>
  <c r="N101" i="49" s="1"/>
  <c r="M84" i="49"/>
  <c r="N84" i="49" s="1"/>
  <c r="M42" i="49"/>
  <c r="N42" i="49" s="1"/>
  <c r="M221" i="49"/>
  <c r="N221" i="49" s="1"/>
  <c r="M284" i="49"/>
  <c r="N284" i="49" s="1"/>
  <c r="M251" i="49"/>
  <c r="N251" i="49" s="1"/>
  <c r="M259" i="49"/>
  <c r="N259" i="49" s="1"/>
  <c r="M6" i="49"/>
  <c r="N6" i="49" s="1"/>
  <c r="J6" i="54" s="1"/>
  <c r="M233" i="49"/>
  <c r="N233" i="49" s="1"/>
  <c r="M208" i="49"/>
  <c r="N208" i="49" s="1"/>
  <c r="M29" i="49"/>
  <c r="N29" i="49" s="1"/>
  <c r="M311" i="49"/>
  <c r="N311" i="49" s="1"/>
  <c r="M263" i="49"/>
  <c r="N263" i="49" s="1"/>
  <c r="M83" i="49"/>
  <c r="N83" i="49" s="1"/>
  <c r="M177" i="49"/>
  <c r="N177" i="49" s="1"/>
  <c r="M194" i="49"/>
  <c r="N194" i="49" s="1"/>
  <c r="M292" i="49"/>
  <c r="N292" i="49" s="1"/>
  <c r="M99" i="49"/>
  <c r="N99" i="49" s="1"/>
  <c r="M59" i="49"/>
  <c r="N59" i="49" s="1"/>
  <c r="M137" i="49"/>
  <c r="N137" i="49" s="1"/>
  <c r="M290" i="49"/>
  <c r="N290" i="49" s="1"/>
  <c r="M38" i="49"/>
  <c r="N38" i="49" s="1"/>
  <c r="M189" i="49"/>
  <c r="N189" i="49" s="1"/>
  <c r="M202" i="49"/>
  <c r="N202" i="49" s="1"/>
  <c r="M145" i="49"/>
  <c r="N145" i="49" s="1"/>
  <c r="M27" i="49"/>
  <c r="N27" i="49" s="1"/>
  <c r="M57" i="49"/>
  <c r="N57" i="49" s="1"/>
  <c r="M126" i="49"/>
  <c r="N126" i="49" s="1"/>
  <c r="M167" i="49"/>
  <c r="N167" i="49" s="1"/>
  <c r="M249" i="49"/>
  <c r="N249" i="49" s="1"/>
  <c r="M299" i="49"/>
  <c r="N299" i="49" s="1"/>
  <c r="M154" i="49"/>
  <c r="N154" i="49" s="1"/>
  <c r="M270" i="49"/>
  <c r="N270" i="49" s="1"/>
  <c r="M36" i="49"/>
  <c r="N36" i="49" s="1"/>
  <c r="M105" i="49"/>
  <c r="N105" i="49" s="1"/>
  <c r="M225" i="49"/>
  <c r="N225" i="49" s="1"/>
  <c r="M179" i="49"/>
  <c r="N179" i="49" s="1"/>
  <c r="M23" i="49"/>
  <c r="N23" i="49" s="1"/>
  <c r="M213" i="49"/>
  <c r="N213" i="49" s="1"/>
  <c r="M138" i="49"/>
  <c r="N138" i="49" s="1"/>
  <c r="M9" i="49"/>
  <c r="N9" i="49" s="1"/>
  <c r="M12" i="49"/>
  <c r="N12" i="49" s="1"/>
  <c r="M174" i="49"/>
  <c r="N174" i="49" s="1"/>
  <c r="M73" i="49"/>
  <c r="N73" i="49" s="1"/>
  <c r="M132" i="49"/>
  <c r="N132" i="49" s="1"/>
  <c r="M244" i="49"/>
  <c r="N244" i="49" s="1"/>
  <c r="M159" i="49"/>
  <c r="N159" i="49" s="1"/>
  <c r="M113" i="49"/>
  <c r="N113" i="49" s="1"/>
  <c r="M165" i="49"/>
  <c r="N165" i="49" s="1"/>
  <c r="M88" i="49"/>
  <c r="N88" i="49" s="1"/>
  <c r="M108" i="49"/>
  <c r="N108" i="49" s="1"/>
  <c r="M79" i="49"/>
  <c r="N79" i="49" s="1"/>
  <c r="M15" i="49"/>
  <c r="N15" i="49" s="1"/>
  <c r="M30" i="49"/>
  <c r="N30" i="49" s="1"/>
  <c r="M243" i="49"/>
  <c r="N243" i="49" s="1"/>
  <c r="M183" i="49"/>
  <c r="N183" i="49" s="1"/>
  <c r="M130" i="49"/>
  <c r="N130" i="49" s="1"/>
  <c r="M232" i="49"/>
  <c r="N232" i="49" s="1"/>
  <c r="M182" i="49"/>
  <c r="N182" i="49" s="1"/>
  <c r="M97" i="49"/>
  <c r="N97" i="49" s="1"/>
  <c r="M274" i="49"/>
  <c r="N274" i="49" s="1"/>
  <c r="M115" i="49"/>
  <c r="N115" i="49" s="1"/>
  <c r="M156" i="49"/>
  <c r="N156" i="49" s="1"/>
  <c r="M134" i="49"/>
  <c r="N134" i="49" s="1"/>
  <c r="M24" i="49"/>
  <c r="N24" i="49" s="1"/>
  <c r="M66" i="49"/>
  <c r="N66" i="49" s="1"/>
  <c r="M52" i="49"/>
  <c r="N52" i="49" s="1"/>
  <c r="M123" i="49"/>
  <c r="N123" i="49" s="1"/>
  <c r="M226" i="49"/>
  <c r="N226" i="49" s="1"/>
  <c r="M143" i="49"/>
  <c r="N143" i="49" s="1"/>
  <c r="M48" i="49"/>
  <c r="N48" i="49" s="1"/>
  <c r="M256" i="49"/>
  <c r="N256" i="49" s="1"/>
  <c r="M82" i="49"/>
  <c r="N82" i="49" s="1"/>
  <c r="M214" i="49"/>
  <c r="N214" i="49" s="1"/>
  <c r="M160" i="49"/>
  <c r="N160" i="49" s="1"/>
  <c r="M277" i="49"/>
  <c r="N277" i="49" s="1"/>
  <c r="M291" i="49"/>
  <c r="N291" i="49" s="1"/>
  <c r="M45" i="49"/>
  <c r="N45" i="49" s="1"/>
  <c r="M313" i="49"/>
  <c r="N313" i="49" s="1"/>
  <c r="M37" i="49"/>
  <c r="N37" i="49" s="1"/>
  <c r="M239" i="49"/>
  <c r="N239" i="49" s="1"/>
  <c r="M264" i="49"/>
  <c r="N264" i="49" s="1"/>
  <c r="M81" i="49"/>
  <c r="N81" i="49" s="1"/>
  <c r="M117" i="49"/>
  <c r="N117" i="49" s="1"/>
  <c r="M212" i="49"/>
  <c r="N212" i="49" s="1"/>
  <c r="M46" i="49"/>
  <c r="N46" i="49" s="1"/>
  <c r="M296" i="49"/>
  <c r="N296" i="49" s="1"/>
  <c r="M310" i="49"/>
  <c r="N310" i="49" s="1"/>
  <c r="M31" i="49"/>
  <c r="N31" i="49" s="1"/>
  <c r="M51" i="49"/>
  <c r="N51" i="49" s="1"/>
  <c r="M306" i="49"/>
  <c r="N306" i="49" s="1"/>
  <c r="M34" i="49"/>
  <c r="N34" i="49" s="1"/>
  <c r="M216" i="49"/>
  <c r="N216" i="49" s="1"/>
  <c r="M203" i="49"/>
  <c r="N203" i="49" s="1"/>
  <c r="M68" i="49"/>
  <c r="N68" i="49" s="1"/>
  <c r="M98" i="49"/>
  <c r="N98" i="49" s="1"/>
  <c r="M61" i="49"/>
  <c r="N61" i="49" s="1"/>
  <c r="M21" i="49"/>
  <c r="N21" i="49" s="1"/>
  <c r="M129" i="49"/>
  <c r="N129" i="49" s="1"/>
  <c r="M266" i="49"/>
  <c r="N266" i="49" s="1"/>
  <c r="M207" i="49"/>
  <c r="N207" i="49" s="1"/>
  <c r="M236" i="49"/>
  <c r="N236" i="49" s="1"/>
  <c r="M70" i="49"/>
  <c r="N70" i="49" s="1"/>
  <c r="M104" i="49"/>
  <c r="N104" i="49" s="1"/>
  <c r="M211" i="49"/>
  <c r="M188" i="49"/>
  <c r="N188" i="49" s="1"/>
  <c r="M55" i="49"/>
  <c r="N55" i="49" s="1"/>
  <c r="M33" i="49"/>
  <c r="M39" i="49"/>
  <c r="N39" i="49" s="1"/>
  <c r="M276" i="49"/>
  <c r="N276" i="49" s="1"/>
  <c r="M71" i="49"/>
  <c r="N71" i="49" s="1"/>
  <c r="M176" i="49"/>
  <c r="N176" i="49" s="1"/>
  <c r="M141" i="49"/>
  <c r="N141" i="49" s="1"/>
  <c r="M128" i="49"/>
  <c r="N128" i="49" s="1"/>
  <c r="M192" i="49"/>
  <c r="N192" i="49" s="1"/>
  <c r="M237" i="49"/>
  <c r="N237" i="49" s="1"/>
  <c r="M219" i="49"/>
  <c r="N219" i="49" s="1"/>
  <c r="M40" i="49"/>
  <c r="N40" i="49" s="1"/>
  <c r="M197" i="49"/>
  <c r="N197" i="49" s="1"/>
  <c r="M241" i="49"/>
  <c r="N241" i="49" s="1"/>
  <c r="M217" i="49"/>
  <c r="N217" i="49" s="1"/>
  <c r="M54" i="49"/>
  <c r="N54" i="49" s="1"/>
  <c r="M190" i="49"/>
  <c r="N190" i="49" s="1"/>
  <c r="M278" i="49"/>
  <c r="N278" i="49" s="1"/>
  <c r="M72" i="49"/>
  <c r="N72" i="49" s="1"/>
  <c r="M250" i="49"/>
  <c r="N250" i="49" s="1"/>
  <c r="M235" i="49"/>
  <c r="N235" i="49" s="1"/>
  <c r="M106" i="49"/>
  <c r="N106" i="49" s="1"/>
  <c r="M140" i="49"/>
  <c r="N140" i="49" s="1"/>
  <c r="M63" i="49"/>
  <c r="N63" i="49" s="1"/>
  <c r="M300" i="49"/>
  <c r="N300" i="49" s="1"/>
  <c r="M169" i="49"/>
  <c r="N169" i="49" s="1"/>
  <c r="M110" i="49"/>
  <c r="N110" i="49" s="1"/>
  <c r="M224" i="49"/>
  <c r="N224" i="49" s="1"/>
  <c r="M242" i="49"/>
  <c r="N242" i="49" s="1"/>
  <c r="M162" i="49"/>
  <c r="N162" i="49" s="1"/>
  <c r="M201" i="49"/>
  <c r="N201" i="49" s="1"/>
  <c r="M191" i="49"/>
  <c r="N191" i="49" s="1"/>
  <c r="M271" i="49"/>
  <c r="N271" i="49" s="1"/>
  <c r="M91" i="49"/>
  <c r="N91" i="49" s="1"/>
  <c r="M56" i="49"/>
  <c r="N56" i="49" s="1"/>
  <c r="M133" i="49"/>
  <c r="N133" i="49" s="1"/>
  <c r="M255" i="49"/>
  <c r="N255" i="49" s="1"/>
  <c r="M8" i="49"/>
  <c r="N8" i="49" s="1"/>
  <c r="M112" i="49"/>
  <c r="N112" i="49" s="1"/>
  <c r="M119" i="49"/>
  <c r="N119" i="49" s="1"/>
  <c r="M127" i="49"/>
  <c r="N127" i="49" s="1"/>
  <c r="M280" i="49"/>
  <c r="N280" i="49" s="1"/>
  <c r="M120" i="49"/>
  <c r="N120" i="49" s="1"/>
  <c r="M146" i="49"/>
  <c r="N146" i="49" s="1"/>
  <c r="M77" i="49"/>
  <c r="N77" i="49" s="1"/>
  <c r="M204" i="49"/>
  <c r="N204" i="49" s="1"/>
  <c r="M298" i="49"/>
  <c r="N298" i="49" s="1"/>
  <c r="M234" i="49"/>
  <c r="N234" i="49" s="1"/>
  <c r="M283" i="49"/>
  <c r="N283" i="49" s="1"/>
  <c r="M164" i="49"/>
  <c r="N164" i="49" s="1"/>
  <c r="M262" i="49"/>
  <c r="N262" i="49" s="1"/>
  <c r="M210" i="49"/>
  <c r="N210" i="49" s="1"/>
  <c r="M228" i="49"/>
  <c r="N228" i="49" s="1"/>
  <c r="M18" i="49"/>
  <c r="N18" i="49" s="1"/>
  <c r="M273" i="49"/>
  <c r="N273" i="49" s="1"/>
  <c r="M121" i="49"/>
  <c r="N121" i="49" s="1"/>
  <c r="M85" i="49"/>
  <c r="N85" i="49" s="1"/>
  <c r="M260" i="49"/>
  <c r="N260" i="49" s="1"/>
  <c r="M198" i="49"/>
  <c r="N198" i="49" s="1"/>
  <c r="M170" i="49"/>
  <c r="N170" i="49" s="1"/>
  <c r="M142" i="49"/>
  <c r="N142" i="49" s="1"/>
  <c r="M297" i="49"/>
  <c r="N297" i="49" s="1"/>
  <c r="M19" i="49"/>
  <c r="N19" i="49" s="1"/>
  <c r="M78" i="49"/>
  <c r="M293" i="49"/>
  <c r="N293" i="49" s="1"/>
  <c r="M302" i="49"/>
  <c r="N302" i="49" s="1"/>
  <c r="M58" i="49"/>
  <c r="N58" i="49" s="1"/>
  <c r="M185" i="49"/>
  <c r="N185" i="49" s="1"/>
  <c r="M87" i="49"/>
  <c r="N87" i="49" s="1"/>
  <c r="M172" i="49"/>
  <c r="N172" i="49" s="1"/>
  <c r="M220" i="49"/>
  <c r="N220" i="49" s="1"/>
  <c r="M135" i="49"/>
  <c r="N135" i="49" s="1"/>
  <c r="M200" i="49"/>
  <c r="N200" i="49" s="1"/>
  <c r="M116" i="49"/>
  <c r="N116" i="49" s="1"/>
  <c r="M253" i="49"/>
  <c r="N253" i="49" s="1"/>
  <c r="M96" i="49"/>
  <c r="N96" i="49" s="1"/>
  <c r="M301" i="49"/>
  <c r="N301" i="49" s="1"/>
  <c r="M28" i="49"/>
  <c r="N28" i="49" s="1"/>
  <c r="M281" i="49"/>
  <c r="N281" i="49" s="1"/>
  <c r="M11" i="49"/>
  <c r="N11" i="49" s="1"/>
  <c r="M17" i="49"/>
  <c r="N17" i="49" s="1"/>
  <c r="M76" i="49"/>
  <c r="N76" i="49" s="1"/>
  <c r="M175" i="49"/>
  <c r="N175" i="49" s="1"/>
  <c r="M144" i="49"/>
  <c r="N144" i="49" s="1"/>
  <c r="M50" i="49"/>
  <c r="N50" i="49" s="1"/>
  <c r="M13" i="49"/>
  <c r="N13" i="49" s="1"/>
  <c r="G314" i="37"/>
  <c r="L315" i="13"/>
  <c r="C314" i="11"/>
  <c r="H10" i="37" l="1"/>
  <c r="H15" i="37"/>
  <c r="H21" i="37"/>
  <c r="H23" i="37"/>
  <c r="H27" i="37"/>
  <c r="H33" i="37"/>
  <c r="H39" i="37"/>
  <c r="H45" i="37"/>
  <c r="H49" i="37"/>
  <c r="H57" i="37"/>
  <c r="H62" i="37"/>
  <c r="H66" i="37"/>
  <c r="H73" i="37"/>
  <c r="H78" i="37"/>
  <c r="H82" i="37"/>
  <c r="H9" i="37"/>
  <c r="H29" i="37"/>
  <c r="H31" i="37"/>
  <c r="H35" i="37"/>
  <c r="H38" i="37"/>
  <c r="H47" i="37"/>
  <c r="H53" i="37"/>
  <c r="H55" i="37"/>
  <c r="H59" i="37"/>
  <c r="H65" i="37"/>
  <c r="H71" i="37"/>
  <c r="H77" i="37"/>
  <c r="H81" i="37"/>
  <c r="H89" i="37"/>
  <c r="H93" i="37"/>
  <c r="H7" i="37"/>
  <c r="H11" i="37"/>
  <c r="H14" i="37"/>
  <c r="H18" i="37"/>
  <c r="H22" i="37"/>
  <c r="H26" i="37"/>
  <c r="H37" i="37"/>
  <c r="H42" i="37"/>
  <c r="H61" i="37"/>
  <c r="H63" i="37"/>
  <c r="H67" i="37"/>
  <c r="H70" i="37"/>
  <c r="H79" i="37"/>
  <c r="H85" i="37"/>
  <c r="H87" i="37"/>
  <c r="H91" i="37"/>
  <c r="H95" i="37"/>
  <c r="H13" i="37"/>
  <c r="H41" i="37"/>
  <c r="H50" i="37"/>
  <c r="H103" i="37"/>
  <c r="H111" i="37"/>
  <c r="H119" i="37"/>
  <c r="H127" i="37"/>
  <c r="H135" i="37"/>
  <c r="H143" i="37"/>
  <c r="H151" i="37"/>
  <c r="H159" i="37"/>
  <c r="H167" i="37"/>
  <c r="H175" i="37"/>
  <c r="H184" i="37"/>
  <c r="H189" i="37"/>
  <c r="H194" i="37"/>
  <c r="H201" i="37"/>
  <c r="H206" i="37"/>
  <c r="H221" i="37"/>
  <c r="H226" i="37"/>
  <c r="H234" i="37"/>
  <c r="H242" i="37"/>
  <c r="H250" i="37"/>
  <c r="H258" i="37"/>
  <c r="H266" i="37"/>
  <c r="H274" i="37"/>
  <c r="H282" i="37"/>
  <c r="H286" i="37"/>
  <c r="H290" i="37"/>
  <c r="H301" i="37"/>
  <c r="H308" i="37"/>
  <c r="H17" i="37"/>
  <c r="H30" i="37"/>
  <c r="H100" i="37"/>
  <c r="H108" i="37"/>
  <c r="H116" i="37"/>
  <c r="H124" i="37"/>
  <c r="H132" i="37"/>
  <c r="H140" i="37"/>
  <c r="H148" i="37"/>
  <c r="H156" i="37"/>
  <c r="H164" i="37"/>
  <c r="H172" i="37"/>
  <c r="H180" i="37"/>
  <c r="H183" i="37"/>
  <c r="H193" i="37"/>
  <c r="H198" i="37"/>
  <c r="H213" i="37"/>
  <c r="H218" i="37"/>
  <c r="H225" i="37"/>
  <c r="H230" i="37"/>
  <c r="H233" i="37"/>
  <c r="H238" i="37"/>
  <c r="H241" i="37"/>
  <c r="H246" i="37"/>
  <c r="H249" i="37"/>
  <c r="H254" i="37"/>
  <c r="H257" i="37"/>
  <c r="H262" i="37"/>
  <c r="H265" i="37"/>
  <c r="H270" i="37"/>
  <c r="H273" i="37"/>
  <c r="H278" i="37"/>
  <c r="H281" i="37"/>
  <c r="H296" i="37"/>
  <c r="H305" i="37"/>
  <c r="H312" i="37"/>
  <c r="H25" i="37"/>
  <c r="H46" i="37"/>
  <c r="H54" i="37"/>
  <c r="H69" i="37"/>
  <c r="H74" i="37"/>
  <c r="H86" i="37"/>
  <c r="H90" i="37"/>
  <c r="H96" i="37"/>
  <c r="H104" i="37"/>
  <c r="H107" i="37"/>
  <c r="H112" i="37"/>
  <c r="H115" i="37"/>
  <c r="H120" i="37"/>
  <c r="H123" i="37"/>
  <c r="H128" i="37"/>
  <c r="H131" i="37"/>
  <c r="H136" i="37"/>
  <c r="H139" i="37"/>
  <c r="H144" i="37"/>
  <c r="H147" i="37"/>
  <c r="H152" i="37"/>
  <c r="H155" i="37"/>
  <c r="H160" i="37"/>
  <c r="H163" i="37"/>
  <c r="H168" i="37"/>
  <c r="H171" i="37"/>
  <c r="H176" i="37"/>
  <c r="H185" i="37"/>
  <c r="H190" i="37"/>
  <c r="H205" i="37"/>
  <c r="H210" i="37"/>
  <c r="H217" i="37"/>
  <c r="H222" i="37"/>
  <c r="H235" i="37"/>
  <c r="H243" i="37"/>
  <c r="H251" i="37"/>
  <c r="H259" i="37"/>
  <c r="H267" i="37"/>
  <c r="H275" i="37"/>
  <c r="H283" i="37"/>
  <c r="H285" i="37"/>
  <c r="H287" i="37"/>
  <c r="H289" i="37"/>
  <c r="H291" i="37"/>
  <c r="H293" i="37"/>
  <c r="H300" i="37"/>
  <c r="H309" i="37"/>
  <c r="H34" i="37"/>
  <c r="H101" i="37"/>
  <c r="H133" i="37"/>
  <c r="H165" i="37"/>
  <c r="H297" i="37"/>
  <c r="H173" i="37"/>
  <c r="H99" i="37"/>
  <c r="H125" i="37"/>
  <c r="H157" i="37"/>
  <c r="H202" i="37"/>
  <c r="H214" i="37"/>
  <c r="H229" i="37"/>
  <c r="H237" i="37"/>
  <c r="H245" i="37"/>
  <c r="H253" i="37"/>
  <c r="H261" i="37"/>
  <c r="H269" i="37"/>
  <c r="H277" i="37"/>
  <c r="H304" i="37"/>
  <c r="H313" i="37"/>
  <c r="H58" i="37"/>
  <c r="H117" i="37"/>
  <c r="H149" i="37"/>
  <c r="H197" i="37"/>
  <c r="H209" i="37"/>
  <c r="H109" i="37"/>
  <c r="H141" i="37"/>
  <c r="H186" i="37"/>
  <c r="H153" i="37"/>
  <c r="H294" i="37"/>
  <c r="H145" i="37"/>
  <c r="H310" i="37"/>
  <c r="H211" i="37"/>
  <c r="H105" i="37"/>
  <c r="H306" i="37"/>
  <c r="H295" i="37"/>
  <c r="H279" i="37"/>
  <c r="H247" i="37"/>
  <c r="H212" i="37"/>
  <c r="H187" i="37"/>
  <c r="H154" i="37"/>
  <c r="H122" i="37"/>
  <c r="H302" i="37"/>
  <c r="H272" i="37"/>
  <c r="H240" i="37"/>
  <c r="H188" i="37"/>
  <c r="H150" i="37"/>
  <c r="H118" i="37"/>
  <c r="H98" i="37"/>
  <c r="H36" i="37"/>
  <c r="H276" i="37"/>
  <c r="H244" i="37"/>
  <c r="H177" i="37"/>
  <c r="H299" i="37"/>
  <c r="H121" i="37"/>
  <c r="H191" i="37"/>
  <c r="H113" i="37"/>
  <c r="H271" i="37"/>
  <c r="H239" i="37"/>
  <c r="H224" i="37"/>
  <c r="H162" i="37"/>
  <c r="H130" i="37"/>
  <c r="H280" i="37"/>
  <c r="H248" i="37"/>
  <c r="H227" i="37"/>
  <c r="H200" i="37"/>
  <c r="H182" i="37"/>
  <c r="H158" i="37"/>
  <c r="H126" i="37"/>
  <c r="H298" i="37"/>
  <c r="H284" i="37"/>
  <c r="H252" i="37"/>
  <c r="H208" i="37"/>
  <c r="H84" i="37"/>
  <c r="H161" i="37"/>
  <c r="H204" i="37"/>
  <c r="H19" i="37"/>
  <c r="H169" i="37"/>
  <c r="H311" i="37"/>
  <c r="H263" i="37"/>
  <c r="H231" i="37"/>
  <c r="H192" i="37"/>
  <c r="H181" i="37"/>
  <c r="H170" i="37"/>
  <c r="H138" i="37"/>
  <c r="H106" i="37"/>
  <c r="H43" i="37"/>
  <c r="H307" i="37"/>
  <c r="H256" i="37"/>
  <c r="H220" i="37"/>
  <c r="H207" i="37"/>
  <c r="H166" i="37"/>
  <c r="H134" i="37"/>
  <c r="H102" i="37"/>
  <c r="H288" i="37"/>
  <c r="H260" i="37"/>
  <c r="H228" i="37"/>
  <c r="H215" i="37"/>
  <c r="H216" i="37"/>
  <c r="H129" i="37"/>
  <c r="H223" i="37"/>
  <c r="H137" i="37"/>
  <c r="H16" i="37"/>
  <c r="H255" i="37"/>
  <c r="H219" i="37"/>
  <c r="H199" i="37"/>
  <c r="H179" i="37"/>
  <c r="H146" i="37"/>
  <c r="H114" i="37"/>
  <c r="H94" i="37"/>
  <c r="H40" i="37"/>
  <c r="H264" i="37"/>
  <c r="H232" i="37"/>
  <c r="H195" i="37"/>
  <c r="H174" i="37"/>
  <c r="H142" i="37"/>
  <c r="H110" i="37"/>
  <c r="H60" i="37"/>
  <c r="H236" i="37"/>
  <c r="H24" i="37"/>
  <c r="H83" i="37"/>
  <c r="H20" i="37"/>
  <c r="H32" i="37"/>
  <c r="H303" i="37"/>
  <c r="H268" i="37"/>
  <c r="H178" i="37"/>
  <c r="H92" i="37"/>
  <c r="H80" i="37"/>
  <c r="H8" i="37"/>
  <c r="H68" i="37"/>
  <c r="H56" i="37"/>
  <c r="H292" i="37"/>
  <c r="H203" i="37"/>
  <c r="H52" i="37"/>
  <c r="H97" i="37"/>
  <c r="H64" i="37"/>
  <c r="H44" i="37"/>
  <c r="H75" i="37"/>
  <c r="H51" i="37"/>
  <c r="H196" i="37"/>
  <c r="H76" i="37"/>
  <c r="H28" i="37"/>
  <c r="H88" i="37"/>
  <c r="H72" i="37"/>
  <c r="H48" i="37"/>
  <c r="H12" i="37"/>
  <c r="F36" i="33"/>
  <c r="F28" i="33"/>
  <c r="F13" i="33"/>
  <c r="F37" i="33"/>
  <c r="F52" i="33"/>
  <c r="F57" i="33"/>
  <c r="F60" i="33"/>
  <c r="F20" i="33"/>
  <c r="F49" i="33"/>
  <c r="F68" i="33"/>
  <c r="F76" i="33"/>
  <c r="F84" i="33"/>
  <c r="F92" i="33"/>
  <c r="F100" i="33"/>
  <c r="F108" i="33"/>
  <c r="F116" i="33"/>
  <c r="F87" i="33"/>
  <c r="F12" i="33"/>
  <c r="F79" i="33"/>
  <c r="F111" i="33"/>
  <c r="F118" i="33"/>
  <c r="F71" i="33"/>
  <c r="F103" i="33"/>
  <c r="F117" i="33"/>
  <c r="F95" i="33"/>
  <c r="F127" i="33"/>
  <c r="F143" i="33"/>
  <c r="F159" i="33"/>
  <c r="F175" i="33"/>
  <c r="F184" i="33"/>
  <c r="F211" i="33"/>
  <c r="F227" i="33"/>
  <c r="F187" i="33"/>
  <c r="F191" i="33"/>
  <c r="F199" i="33"/>
  <c r="F195" i="33"/>
  <c r="F131" i="33"/>
  <c r="F147" i="33"/>
  <c r="F163" i="33"/>
  <c r="F179" i="33"/>
  <c r="F185" i="33"/>
  <c r="F207" i="33"/>
  <c r="F223" i="33"/>
  <c r="F239" i="33"/>
  <c r="F286" i="33"/>
  <c r="F270" i="33"/>
  <c r="F263" i="33"/>
  <c r="F281" i="33"/>
  <c r="F276" i="33"/>
  <c r="F259" i="33"/>
  <c r="F245" i="33"/>
  <c r="F285" i="33"/>
  <c r="F309" i="33"/>
  <c r="F303" i="33"/>
  <c r="F261" i="33"/>
  <c r="F256" i="33"/>
  <c r="F295" i="33"/>
  <c r="F290" i="33"/>
  <c r="F274" i="33"/>
  <c r="F268" i="33"/>
  <c r="F257" i="33"/>
  <c r="F251" i="33"/>
  <c r="F234" i="33"/>
  <c r="F171" i="33"/>
  <c r="F139" i="33"/>
  <c r="F230" i="33"/>
  <c r="F214" i="33"/>
  <c r="F236" i="33"/>
  <c r="F220" i="33"/>
  <c r="F204" i="33"/>
  <c r="F193" i="33"/>
  <c r="F190" i="33"/>
  <c r="F181" i="33"/>
  <c r="F165" i="33"/>
  <c r="F149" i="33"/>
  <c r="F91" i="33"/>
  <c r="F174" i="33"/>
  <c r="F161" i="33"/>
  <c r="F152" i="33"/>
  <c r="F142" i="33"/>
  <c r="F124" i="33"/>
  <c r="F47" i="33"/>
  <c r="F157" i="33"/>
  <c r="F141" i="33"/>
  <c r="F132" i="33"/>
  <c r="F182" i="33"/>
  <c r="F150" i="33"/>
  <c r="F128" i="33"/>
  <c r="F122" i="33"/>
  <c r="F63" i="33"/>
  <c r="F66" i="33"/>
  <c r="F65" i="33"/>
  <c r="F106" i="33"/>
  <c r="F105" i="33"/>
  <c r="F74" i="33"/>
  <c r="F73" i="33"/>
  <c r="F312" i="33"/>
  <c r="F296" i="33"/>
  <c r="F219" i="33"/>
  <c r="F298" i="33"/>
  <c r="F292" i="33"/>
  <c r="F275" i="33"/>
  <c r="F249" i="33"/>
  <c r="F311" i="33"/>
  <c r="F301" i="33"/>
  <c r="F203" i="33"/>
  <c r="F278" i="33"/>
  <c r="F272" i="33"/>
  <c r="F255" i="33"/>
  <c r="F246" i="33"/>
  <c r="F289" i="33"/>
  <c r="F284" i="33"/>
  <c r="F273" i="33"/>
  <c r="F267" i="33"/>
  <c r="F125" i="33"/>
  <c r="F221" i="33"/>
  <c r="F212" i="33"/>
  <c r="F202" i="33"/>
  <c r="F186" i="33"/>
  <c r="F81" i="33"/>
  <c r="F206" i="33"/>
  <c r="F233" i="33"/>
  <c r="F231" i="33"/>
  <c r="F217" i="33"/>
  <c r="F215" i="33"/>
  <c r="F201" i="33"/>
  <c r="F196" i="33"/>
  <c r="F156" i="33"/>
  <c r="F135" i="33"/>
  <c r="F238" i="33"/>
  <c r="F209" i="33"/>
  <c r="F242" i="33"/>
  <c r="F226" i="33"/>
  <c r="F210" i="33"/>
  <c r="F198" i="33"/>
  <c r="F183" i="33"/>
  <c r="F130" i="33"/>
  <c r="F82" i="33"/>
  <c r="F17" i="33"/>
  <c r="F173" i="33"/>
  <c r="F164" i="33"/>
  <c r="F148" i="33"/>
  <c r="F126" i="33"/>
  <c r="F72" i="33"/>
  <c r="F160" i="33"/>
  <c r="F153" i="33"/>
  <c r="F151" i="33"/>
  <c r="F134" i="33"/>
  <c r="F112" i="33"/>
  <c r="F67" i="33"/>
  <c r="F62" i="33"/>
  <c r="F58" i="33"/>
  <c r="F30" i="33"/>
  <c r="F75" i="33"/>
  <c r="F115" i="33"/>
  <c r="F83" i="33"/>
  <c r="F302" i="33"/>
  <c r="F280" i="33"/>
  <c r="F254" i="33"/>
  <c r="F308" i="33"/>
  <c r="F297" i="33"/>
  <c r="F291" i="33"/>
  <c r="F282" i="33"/>
  <c r="F250" i="33"/>
  <c r="F279" i="33"/>
  <c r="F264" i="33"/>
  <c r="F248" i="33"/>
  <c r="F294" i="33"/>
  <c r="F277" i="33"/>
  <c r="F271" i="33"/>
  <c r="F244" i="33"/>
  <c r="F306" i="33"/>
  <c r="F300" i="33"/>
  <c r="F283" i="33"/>
  <c r="F237" i="33"/>
  <c r="F228" i="33"/>
  <c r="F241" i="33"/>
  <c r="F216" i="33"/>
  <c r="F155" i="33"/>
  <c r="F113" i="33"/>
  <c r="F224" i="33"/>
  <c r="F208" i="33"/>
  <c r="F172" i="33"/>
  <c r="F222" i="33"/>
  <c r="F177" i="33"/>
  <c r="F168" i="33"/>
  <c r="F158" i="33"/>
  <c r="F145" i="33"/>
  <c r="F136" i="33"/>
  <c r="F180" i="33"/>
  <c r="F154" i="33"/>
  <c r="F138" i="33"/>
  <c r="F166" i="33"/>
  <c r="F119" i="33"/>
  <c r="F90" i="33"/>
  <c r="F89" i="33"/>
  <c r="F53" i="33"/>
  <c r="F98" i="33"/>
  <c r="F97" i="33"/>
  <c r="F24" i="33"/>
  <c r="F22" i="33"/>
  <c r="F96" i="33"/>
  <c r="F64" i="33"/>
  <c r="F109" i="33"/>
  <c r="F101" i="33"/>
  <c r="F93" i="33"/>
  <c r="F85" i="33"/>
  <c r="F77" i="33"/>
  <c r="F69" i="33"/>
  <c r="F59" i="33"/>
  <c r="F46" i="33"/>
  <c r="F44" i="33"/>
  <c r="F313" i="33"/>
  <c r="F235" i="33"/>
  <c r="F304" i="33"/>
  <c r="F293" i="33"/>
  <c r="F262" i="33"/>
  <c r="F305" i="33"/>
  <c r="F192" i="33"/>
  <c r="F194" i="33"/>
  <c r="F123" i="33"/>
  <c r="F200" i="33"/>
  <c r="F240" i="33"/>
  <c r="F140" i="33"/>
  <c r="F232" i="33"/>
  <c r="F229" i="33"/>
  <c r="F162" i="33"/>
  <c r="F114" i="33"/>
  <c r="F176" i="33"/>
  <c r="F167" i="33"/>
  <c r="F99" i="33"/>
  <c r="F80" i="33"/>
  <c r="F42" i="33"/>
  <c r="F56" i="33"/>
  <c r="F32" i="33"/>
  <c r="F23" i="33"/>
  <c r="F170" i="33"/>
  <c r="F144" i="33"/>
  <c r="F29" i="33"/>
  <c r="F25" i="33"/>
  <c r="F10" i="33"/>
  <c r="F266" i="33"/>
  <c r="F288" i="33"/>
  <c r="F258" i="33"/>
  <c r="F205" i="33"/>
  <c r="F213" i="33"/>
  <c r="F178" i="33"/>
  <c r="F120" i="33"/>
  <c r="F107" i="33"/>
  <c r="F88" i="33"/>
  <c r="F55" i="33"/>
  <c r="F54" i="33"/>
  <c r="F48" i="33"/>
  <c r="F34" i="33"/>
  <c r="F33" i="33"/>
  <c r="F40" i="33"/>
  <c r="F43" i="33"/>
  <c r="F35" i="33"/>
  <c r="F27" i="33"/>
  <c r="F19" i="33"/>
  <c r="F11" i="33"/>
  <c r="F269" i="33"/>
  <c r="F252" i="33"/>
  <c r="F188" i="33"/>
  <c r="F146" i="33"/>
  <c r="F104" i="33"/>
  <c r="F169" i="33"/>
  <c r="F61" i="33"/>
  <c r="F45" i="33"/>
  <c r="F247" i="33"/>
  <c r="F307" i="33"/>
  <c r="F265" i="33"/>
  <c r="F253" i="33"/>
  <c r="F310" i="33"/>
  <c r="F287" i="33"/>
  <c r="F299" i="33"/>
  <c r="F218" i="33"/>
  <c r="F137" i="33"/>
  <c r="F31" i="33"/>
  <c r="F38" i="33"/>
  <c r="F16" i="33"/>
  <c r="F14" i="33"/>
  <c r="F50" i="33"/>
  <c r="F21" i="33"/>
  <c r="F18" i="33"/>
  <c r="F41" i="33"/>
  <c r="F8" i="33"/>
  <c r="F260" i="33"/>
  <c r="F225" i="33"/>
  <c r="F243" i="33"/>
  <c r="F26" i="33"/>
  <c r="F9" i="33"/>
  <c r="F39" i="33"/>
  <c r="F15" i="33"/>
  <c r="F78" i="33"/>
  <c r="F51" i="33"/>
  <c r="F133" i="33"/>
  <c r="F86" i="33"/>
  <c r="F129" i="33"/>
  <c r="F189" i="33"/>
  <c r="F7" i="33"/>
  <c r="F197" i="33"/>
  <c r="F70" i="33"/>
  <c r="F102" i="33"/>
  <c r="F94" i="33"/>
  <c r="F121" i="33"/>
  <c r="F110" i="33"/>
  <c r="M253" i="25"/>
  <c r="J253" i="54"/>
  <c r="M58" i="25"/>
  <c r="J58" i="54"/>
  <c r="M19" i="25"/>
  <c r="J19" i="54"/>
  <c r="M273" i="25"/>
  <c r="J273" i="54"/>
  <c r="M298" i="25"/>
  <c r="J298" i="54"/>
  <c r="M112" i="25"/>
  <c r="J112" i="54"/>
  <c r="M201" i="25"/>
  <c r="J201" i="54"/>
  <c r="M140" i="25"/>
  <c r="J140" i="54"/>
  <c r="M72" i="25"/>
  <c r="J72" i="54"/>
  <c r="M219" i="25"/>
  <c r="J219" i="54"/>
  <c r="M13" i="25"/>
  <c r="J13" i="54"/>
  <c r="M76" i="25"/>
  <c r="J76" i="54"/>
  <c r="M28" i="25"/>
  <c r="J28" i="54"/>
  <c r="M116" i="25"/>
  <c r="J116" i="54"/>
  <c r="M172" i="25"/>
  <c r="J172" i="54"/>
  <c r="M302" i="25"/>
  <c r="J302" i="54"/>
  <c r="M297" i="25"/>
  <c r="J297" i="54"/>
  <c r="K297" i="54" s="1"/>
  <c r="M260" i="25"/>
  <c r="J260" i="54"/>
  <c r="M18" i="25"/>
  <c r="J18" i="54"/>
  <c r="M164" i="25"/>
  <c r="J164" i="54"/>
  <c r="M204" i="25"/>
  <c r="J204" i="54"/>
  <c r="M280" i="25"/>
  <c r="J280" i="54"/>
  <c r="M8" i="25"/>
  <c r="J8" i="54"/>
  <c r="M91" i="25"/>
  <c r="J91" i="54"/>
  <c r="M162" i="25"/>
  <c r="J162" i="54"/>
  <c r="M169" i="25"/>
  <c r="J169" i="54"/>
  <c r="M106" i="25"/>
  <c r="J106" i="54"/>
  <c r="M278" i="25"/>
  <c r="J278" i="54"/>
  <c r="M241" i="25"/>
  <c r="J241" i="54"/>
  <c r="M237" i="25"/>
  <c r="J237" i="54"/>
  <c r="M176" i="25"/>
  <c r="J176" i="54"/>
  <c r="N33" i="49"/>
  <c r="E48" i="48"/>
  <c r="F48" i="48" s="1"/>
  <c r="F50" i="48" s="1"/>
  <c r="M104" i="25"/>
  <c r="J104" i="54"/>
  <c r="M266" i="25"/>
  <c r="J266" i="54"/>
  <c r="M98" i="25"/>
  <c r="J98" i="54"/>
  <c r="M34" i="25"/>
  <c r="J34" i="54"/>
  <c r="M310" i="25"/>
  <c r="J310" i="54"/>
  <c r="M117" i="25"/>
  <c r="J117" i="54"/>
  <c r="M37" i="25"/>
  <c r="J37" i="54"/>
  <c r="M277" i="25"/>
  <c r="J277" i="54"/>
  <c r="M256" i="25"/>
  <c r="J256" i="54"/>
  <c r="M123" i="25"/>
  <c r="J123" i="54"/>
  <c r="M134" i="25"/>
  <c r="J134" i="54"/>
  <c r="M97" i="25"/>
  <c r="J97" i="54"/>
  <c r="M183" i="25"/>
  <c r="J183" i="54"/>
  <c r="M79" i="25"/>
  <c r="J79" i="54"/>
  <c r="M113" i="25"/>
  <c r="J113" i="54"/>
  <c r="M73" i="25"/>
  <c r="J73" i="54"/>
  <c r="M138" i="25"/>
  <c r="J138" i="54"/>
  <c r="M225" i="25"/>
  <c r="J225" i="54"/>
  <c r="M154" i="25"/>
  <c r="J154" i="54"/>
  <c r="M126" i="25"/>
  <c r="J126" i="54"/>
  <c r="M202" i="25"/>
  <c r="J202" i="54"/>
  <c r="M137" i="25"/>
  <c r="J137" i="54"/>
  <c r="M194" i="25"/>
  <c r="J194" i="54"/>
  <c r="M311" i="25"/>
  <c r="J311" i="54"/>
  <c r="M221" i="25"/>
  <c r="J221" i="54"/>
  <c r="M65" i="25"/>
  <c r="J65" i="54"/>
  <c r="M261" i="25"/>
  <c r="J261" i="54"/>
  <c r="M136" i="25"/>
  <c r="J136" i="54"/>
  <c r="M35" i="25"/>
  <c r="J35" i="54"/>
  <c r="M254" i="25"/>
  <c r="J254" i="54"/>
  <c r="M62" i="25"/>
  <c r="J62" i="54"/>
  <c r="M69" i="25"/>
  <c r="J69" i="54"/>
  <c r="M114" i="25"/>
  <c r="J114" i="54"/>
  <c r="M222" i="25"/>
  <c r="J222" i="54"/>
  <c r="M103" i="25"/>
  <c r="J103" i="54"/>
  <c r="M10" i="25"/>
  <c r="J10" i="54"/>
  <c r="M49" i="25"/>
  <c r="J49" i="54"/>
  <c r="M199" i="25"/>
  <c r="J199" i="54"/>
  <c r="M100" i="25"/>
  <c r="J100" i="54"/>
  <c r="M26" i="25"/>
  <c r="J26" i="54"/>
  <c r="M168" i="25"/>
  <c r="J168" i="54"/>
  <c r="M122" i="25"/>
  <c r="J122" i="54"/>
  <c r="M163" i="25"/>
  <c r="J163" i="54"/>
  <c r="M308" i="25"/>
  <c r="J308" i="54"/>
  <c r="M60" i="25"/>
  <c r="J60" i="54"/>
  <c r="M287" i="25"/>
  <c r="J287" i="54"/>
  <c r="M279" i="25"/>
  <c r="J279" i="54"/>
  <c r="M227" i="25"/>
  <c r="J227" i="54"/>
  <c r="M67" i="25"/>
  <c r="J67" i="54"/>
  <c r="M147" i="25"/>
  <c r="J147" i="54"/>
  <c r="M184" i="25"/>
  <c r="J184" i="54"/>
  <c r="M305" i="25"/>
  <c r="J305" i="54"/>
  <c r="M285" i="25"/>
  <c r="J285" i="54"/>
  <c r="M275" i="25"/>
  <c r="J275" i="54"/>
  <c r="M50" i="25"/>
  <c r="J50" i="54"/>
  <c r="M17" i="25"/>
  <c r="J17" i="54"/>
  <c r="M301" i="25"/>
  <c r="J301" i="54"/>
  <c r="M200" i="25"/>
  <c r="J200" i="54"/>
  <c r="M87" i="25"/>
  <c r="J87" i="54"/>
  <c r="M293" i="25"/>
  <c r="J293" i="54"/>
  <c r="M142" i="25"/>
  <c r="J142" i="54"/>
  <c r="M85" i="25"/>
  <c r="J85" i="54"/>
  <c r="M228" i="25"/>
  <c r="J228" i="54"/>
  <c r="M283" i="25"/>
  <c r="J283" i="54"/>
  <c r="M77" i="25"/>
  <c r="J77" i="54"/>
  <c r="M127" i="25"/>
  <c r="J127" i="54"/>
  <c r="M255" i="25"/>
  <c r="J255" i="54"/>
  <c r="M271" i="25"/>
  <c r="J271" i="54"/>
  <c r="M242" i="25"/>
  <c r="J242" i="54"/>
  <c r="M300" i="25"/>
  <c r="J300" i="54"/>
  <c r="M235" i="25"/>
  <c r="J235" i="54"/>
  <c r="M190" i="25"/>
  <c r="J190" i="54"/>
  <c r="M197" i="25"/>
  <c r="J197" i="54"/>
  <c r="M192" i="25"/>
  <c r="J192" i="54"/>
  <c r="M71" i="25"/>
  <c r="J71" i="54"/>
  <c r="M55" i="25"/>
  <c r="J55" i="54"/>
  <c r="M70" i="25"/>
  <c r="J70" i="54"/>
  <c r="M129" i="25"/>
  <c r="J129" i="54"/>
  <c r="M68" i="25"/>
  <c r="J68" i="54"/>
  <c r="M306" i="25"/>
  <c r="J306" i="54"/>
  <c r="M296" i="25"/>
  <c r="J296" i="54"/>
  <c r="M81" i="25"/>
  <c r="J81" i="54"/>
  <c r="M313" i="25"/>
  <c r="J313" i="54"/>
  <c r="M160" i="25"/>
  <c r="J160" i="54"/>
  <c r="M48" i="25"/>
  <c r="J48" i="54"/>
  <c r="M52" i="25"/>
  <c r="J52" i="54"/>
  <c r="M156" i="25"/>
  <c r="J156" i="54"/>
  <c r="M182" i="25"/>
  <c r="J182" i="54"/>
  <c r="M243" i="25"/>
  <c r="J243" i="54"/>
  <c r="M108" i="25"/>
  <c r="J108" i="54"/>
  <c r="M159" i="25"/>
  <c r="J159" i="54"/>
  <c r="M174" i="25"/>
  <c r="J174" i="54"/>
  <c r="M213" i="25"/>
  <c r="J213" i="54"/>
  <c r="M105" i="25"/>
  <c r="J105" i="54"/>
  <c r="M299" i="25"/>
  <c r="J299" i="54"/>
  <c r="M57" i="25"/>
  <c r="J57" i="54"/>
  <c r="M189" i="25"/>
  <c r="J189" i="54"/>
  <c r="M59" i="25"/>
  <c r="J59" i="54"/>
  <c r="M177" i="25"/>
  <c r="J177" i="54"/>
  <c r="M29" i="25"/>
  <c r="J29" i="54"/>
  <c r="M259" i="25"/>
  <c r="J259" i="54"/>
  <c r="M42" i="25"/>
  <c r="J42" i="54"/>
  <c r="M295" i="25"/>
  <c r="J295" i="54"/>
  <c r="M41" i="25"/>
  <c r="J41" i="54"/>
  <c r="M14" i="25"/>
  <c r="J14" i="54"/>
  <c r="M257" i="25"/>
  <c r="J257" i="54"/>
  <c r="M229" i="25"/>
  <c r="J229" i="54"/>
  <c r="M307" i="25"/>
  <c r="J307" i="54"/>
  <c r="M90" i="25"/>
  <c r="J90" i="54"/>
  <c r="M89" i="25"/>
  <c r="J89" i="54"/>
  <c r="M294" i="25"/>
  <c r="J294" i="54"/>
  <c r="M248" i="25"/>
  <c r="J248" i="54"/>
  <c r="M171" i="25"/>
  <c r="J171" i="54"/>
  <c r="M75" i="25"/>
  <c r="J75" i="54"/>
  <c r="M252" i="25"/>
  <c r="J252" i="54"/>
  <c r="M215" i="25"/>
  <c r="J215" i="54"/>
  <c r="M218" i="25"/>
  <c r="J218" i="54"/>
  <c r="M102" i="25"/>
  <c r="J102" i="54"/>
  <c r="M86" i="25"/>
  <c r="J86" i="54"/>
  <c r="M206" i="25"/>
  <c r="J206" i="54"/>
  <c r="M107" i="25"/>
  <c r="J107" i="54"/>
  <c r="M157" i="25"/>
  <c r="J157" i="54"/>
  <c r="M25" i="25"/>
  <c r="J25" i="54"/>
  <c r="M258" i="25"/>
  <c r="J258" i="54"/>
  <c r="M16" i="25"/>
  <c r="J16" i="54"/>
  <c r="M223" i="25"/>
  <c r="J223" i="54"/>
  <c r="M173" i="25"/>
  <c r="J173" i="54"/>
  <c r="M44" i="25"/>
  <c r="J44" i="54"/>
  <c r="M245" i="25"/>
  <c r="J245" i="54"/>
  <c r="M151" i="25"/>
  <c r="J151" i="54"/>
  <c r="M152" i="25"/>
  <c r="J152" i="54"/>
  <c r="M175" i="25"/>
  <c r="J175" i="54"/>
  <c r="M144" i="25"/>
  <c r="J144" i="54"/>
  <c r="M11" i="25"/>
  <c r="J11" i="54"/>
  <c r="M96" i="25"/>
  <c r="J96" i="54"/>
  <c r="M135" i="25"/>
  <c r="J135" i="54"/>
  <c r="M185" i="25"/>
  <c r="J185" i="54"/>
  <c r="M170" i="25"/>
  <c r="J170" i="54"/>
  <c r="M121" i="25"/>
  <c r="J121" i="54"/>
  <c r="M210" i="25"/>
  <c r="J210" i="54"/>
  <c r="M234" i="25"/>
  <c r="J234" i="54"/>
  <c r="M146" i="25"/>
  <c r="J146" i="54"/>
  <c r="M119" i="25"/>
  <c r="J119" i="54"/>
  <c r="M133" i="25"/>
  <c r="J133" i="54"/>
  <c r="M191" i="25"/>
  <c r="J191" i="54"/>
  <c r="M224" i="25"/>
  <c r="J224" i="54"/>
  <c r="M63" i="25"/>
  <c r="J63" i="54"/>
  <c r="M250" i="25"/>
  <c r="J250" i="54"/>
  <c r="M54" i="25"/>
  <c r="J54" i="54"/>
  <c r="M40" i="25"/>
  <c r="J40" i="54"/>
  <c r="M128" i="25"/>
  <c r="J128" i="54"/>
  <c r="M276" i="25"/>
  <c r="J276" i="54"/>
  <c r="M188" i="25"/>
  <c r="J188" i="54"/>
  <c r="M236" i="25"/>
  <c r="J236" i="54"/>
  <c r="M21" i="25"/>
  <c r="J21" i="54"/>
  <c r="M203" i="25"/>
  <c r="J203" i="54"/>
  <c r="M51" i="25"/>
  <c r="J51" i="54"/>
  <c r="M46" i="25"/>
  <c r="J46" i="54"/>
  <c r="M264" i="25"/>
  <c r="J264" i="54"/>
  <c r="M45" i="25"/>
  <c r="J45" i="54"/>
  <c r="M214" i="25"/>
  <c r="J214" i="54"/>
  <c r="M143" i="25"/>
  <c r="J143" i="54"/>
  <c r="M66" i="25"/>
  <c r="J66" i="54"/>
  <c r="M115" i="25"/>
  <c r="J115" i="54"/>
  <c r="M232" i="25"/>
  <c r="J232" i="54"/>
  <c r="M30" i="25"/>
  <c r="J30" i="54"/>
  <c r="M88" i="25"/>
  <c r="J88" i="54"/>
  <c r="M244" i="25"/>
  <c r="J244" i="54"/>
  <c r="M12" i="25"/>
  <c r="J12" i="54"/>
  <c r="M23" i="25"/>
  <c r="J23" i="54"/>
  <c r="M36" i="25"/>
  <c r="J36" i="54"/>
  <c r="M249" i="25"/>
  <c r="J249" i="54"/>
  <c r="M27" i="25"/>
  <c r="J27" i="54"/>
  <c r="M38" i="25"/>
  <c r="J38" i="54"/>
  <c r="M99" i="25"/>
  <c r="J99" i="54"/>
  <c r="M83" i="25"/>
  <c r="J83" i="54"/>
  <c r="M208" i="25"/>
  <c r="J208" i="54"/>
  <c r="M251" i="25"/>
  <c r="J251" i="54"/>
  <c r="M84" i="25"/>
  <c r="J84" i="54"/>
  <c r="M196" i="25"/>
  <c r="J196" i="54"/>
  <c r="M240" i="25"/>
  <c r="J240" i="54"/>
  <c r="M289" i="25"/>
  <c r="J289" i="54"/>
  <c r="M178" i="25"/>
  <c r="J178" i="54"/>
  <c r="M111" i="25"/>
  <c r="J111" i="54"/>
  <c r="M193" i="25"/>
  <c r="J193" i="54"/>
  <c r="M231" i="25"/>
  <c r="J231" i="54"/>
  <c r="M195" i="25"/>
  <c r="J195" i="54"/>
  <c r="M161" i="25"/>
  <c r="J161" i="54"/>
  <c r="M148" i="25"/>
  <c r="J148" i="54"/>
  <c r="M265" i="25"/>
  <c r="J265" i="54"/>
  <c r="M94" i="25"/>
  <c r="J94" i="54"/>
  <c r="M93" i="25"/>
  <c r="J93" i="54"/>
  <c r="M209" i="25"/>
  <c r="J209" i="54"/>
  <c r="M95" i="25"/>
  <c r="J95" i="54"/>
  <c r="M246" i="25"/>
  <c r="J246" i="54"/>
  <c r="M181" i="25"/>
  <c r="J181" i="54"/>
  <c r="M269" i="25"/>
  <c r="J269" i="54"/>
  <c r="M22" i="25"/>
  <c r="J22" i="54"/>
  <c r="M180" i="25"/>
  <c r="J180" i="54"/>
  <c r="M124" i="25"/>
  <c r="J124" i="54"/>
  <c r="M125" i="25"/>
  <c r="J125" i="54"/>
  <c r="M74" i="25"/>
  <c r="J74" i="54"/>
  <c r="M288" i="25"/>
  <c r="J288" i="54"/>
  <c r="M186" i="25"/>
  <c r="J186" i="54"/>
  <c r="M118" i="25"/>
  <c r="J118" i="54"/>
  <c r="M92" i="25"/>
  <c r="J92" i="54"/>
  <c r="M20" i="25"/>
  <c r="J20" i="54"/>
  <c r="M109" i="25"/>
  <c r="J109" i="54"/>
  <c r="M281" i="25"/>
  <c r="J281" i="54"/>
  <c r="M220" i="25"/>
  <c r="J220" i="54"/>
  <c r="M198" i="25"/>
  <c r="J198" i="54"/>
  <c r="M262" i="25"/>
  <c r="J262" i="54"/>
  <c r="M120" i="25"/>
  <c r="J120" i="54"/>
  <c r="M56" i="25"/>
  <c r="J56" i="54"/>
  <c r="M110" i="25"/>
  <c r="J110" i="54"/>
  <c r="M217" i="25"/>
  <c r="J217" i="54"/>
  <c r="M141" i="25"/>
  <c r="J141" i="54"/>
  <c r="M39" i="25"/>
  <c r="J39" i="54"/>
  <c r="M207" i="25"/>
  <c r="J207" i="54"/>
  <c r="M61" i="25"/>
  <c r="J61" i="54"/>
  <c r="M216" i="25"/>
  <c r="J216" i="54"/>
  <c r="M31" i="25"/>
  <c r="J31" i="54"/>
  <c r="M212" i="25"/>
  <c r="J212" i="54"/>
  <c r="M239" i="25"/>
  <c r="J239" i="54"/>
  <c r="M291" i="25"/>
  <c r="J291" i="54"/>
  <c r="M82" i="25"/>
  <c r="J82" i="54"/>
  <c r="M226" i="25"/>
  <c r="J226" i="54"/>
  <c r="M24" i="25"/>
  <c r="J24" i="54"/>
  <c r="M274" i="25"/>
  <c r="J274" i="54"/>
  <c r="M130" i="25"/>
  <c r="J130" i="54"/>
  <c r="M15" i="25"/>
  <c r="J15" i="54"/>
  <c r="M165" i="25"/>
  <c r="J165" i="54"/>
  <c r="M132" i="25"/>
  <c r="J132" i="54"/>
  <c r="M9" i="25"/>
  <c r="J9" i="54"/>
  <c r="M179" i="25"/>
  <c r="J179" i="54"/>
  <c r="M270" i="25"/>
  <c r="J270" i="54"/>
  <c r="M167" i="25"/>
  <c r="J167" i="54"/>
  <c r="M145" i="25"/>
  <c r="J145" i="54"/>
  <c r="M290" i="25"/>
  <c r="J290" i="54"/>
  <c r="M292" i="25"/>
  <c r="J292" i="54"/>
  <c r="M263" i="25"/>
  <c r="J263" i="54"/>
  <c r="M233" i="25"/>
  <c r="J233" i="54"/>
  <c r="M284" i="25"/>
  <c r="J284" i="54"/>
  <c r="M101" i="25"/>
  <c r="J101" i="54"/>
  <c r="M238" i="25"/>
  <c r="J238" i="54"/>
  <c r="M80" i="25"/>
  <c r="J80" i="54"/>
  <c r="M282" i="25"/>
  <c r="J282" i="54"/>
  <c r="M153" i="25"/>
  <c r="J153" i="54"/>
  <c r="M205" i="25"/>
  <c r="J205" i="54"/>
  <c r="M272" i="25"/>
  <c r="J272" i="54"/>
  <c r="M187" i="25"/>
  <c r="J187" i="54"/>
  <c r="M64" i="25"/>
  <c r="J64" i="54"/>
  <c r="M309" i="25"/>
  <c r="J309" i="54"/>
  <c r="M267" i="25"/>
  <c r="J267" i="54"/>
  <c r="M53" i="25"/>
  <c r="J53" i="54"/>
  <c r="M150" i="25"/>
  <c r="J150" i="54"/>
  <c r="M139" i="25"/>
  <c r="J139" i="54"/>
  <c r="M247" i="25"/>
  <c r="J247" i="54"/>
  <c r="M7" i="25"/>
  <c r="J7" i="54"/>
  <c r="M149" i="25"/>
  <c r="J149" i="54"/>
  <c r="M286" i="25"/>
  <c r="J286" i="54"/>
  <c r="M312" i="25"/>
  <c r="J312" i="54"/>
  <c r="M131" i="25"/>
  <c r="J131" i="54"/>
  <c r="M158" i="25"/>
  <c r="J158" i="54"/>
  <c r="M43" i="25"/>
  <c r="J43" i="54"/>
  <c r="M166" i="25"/>
  <c r="J166" i="54"/>
  <c r="M304" i="25"/>
  <c r="J304" i="54"/>
  <c r="M47" i="25"/>
  <c r="J47" i="54"/>
  <c r="M32" i="25"/>
  <c r="J32" i="54"/>
  <c r="M155" i="25"/>
  <c r="J155" i="54"/>
  <c r="M230" i="25"/>
  <c r="J230" i="54"/>
  <c r="M268" i="25"/>
  <c r="J268" i="54"/>
  <c r="M303" i="25"/>
  <c r="J303" i="54"/>
  <c r="N78" i="49"/>
  <c r="N211" i="49"/>
  <c r="H314" i="37"/>
  <c r="H6" i="37"/>
  <c r="M6" i="25"/>
  <c r="B56" i="40"/>
  <c r="B57" i="40"/>
  <c r="Q314" i="11"/>
  <c r="J3" i="33"/>
  <c r="F6" i="33"/>
  <c r="I3" i="33"/>
  <c r="D314" i="37"/>
  <c r="K3" i="33"/>
  <c r="H3" i="33"/>
  <c r="G3" i="33"/>
  <c r="K314" i="11"/>
  <c r="D5" i="9"/>
  <c r="D6" i="9"/>
  <c r="D7" i="34"/>
  <c r="D6" i="34"/>
  <c r="D9" i="34"/>
  <c r="F15" i="34"/>
  <c r="K268" i="54" l="1"/>
  <c r="K155" i="54"/>
  <c r="K47" i="54"/>
  <c r="K166" i="54"/>
  <c r="K158" i="54"/>
  <c r="K312" i="54"/>
  <c r="K149" i="54"/>
  <c r="K247" i="54"/>
  <c r="K150" i="54"/>
  <c r="K267" i="54"/>
  <c r="K64" i="54"/>
  <c r="K272" i="54"/>
  <c r="K153" i="54"/>
  <c r="K80" i="54"/>
  <c r="K101" i="54"/>
  <c r="K233" i="54"/>
  <c r="K292" i="54"/>
  <c r="K145" i="54"/>
  <c r="K270" i="54"/>
  <c r="K9" i="54"/>
  <c r="K165" i="54"/>
  <c r="K130" i="54"/>
  <c r="K24" i="54"/>
  <c r="K82" i="54"/>
  <c r="K239" i="54"/>
  <c r="K31" i="54"/>
  <c r="K61" i="54"/>
  <c r="K39" i="54"/>
  <c r="K217" i="54"/>
  <c r="K262" i="54"/>
  <c r="K215" i="54"/>
  <c r="K75" i="54"/>
  <c r="K248" i="54"/>
  <c r="K89" i="54"/>
  <c r="K307" i="54"/>
  <c r="K257" i="54"/>
  <c r="K41" i="54"/>
  <c r="K42" i="54"/>
  <c r="K29" i="54"/>
  <c r="K59" i="54"/>
  <c r="K57" i="54"/>
  <c r="K105" i="54"/>
  <c r="K174" i="54"/>
  <c r="K108" i="54"/>
  <c r="K182" i="54"/>
  <c r="K52" i="54"/>
  <c r="K160" i="54"/>
  <c r="K81" i="54"/>
  <c r="K306" i="54"/>
  <c r="K129" i="54"/>
  <c r="K55" i="54"/>
  <c r="K237" i="54"/>
  <c r="K278" i="54"/>
  <c r="K169" i="54"/>
  <c r="K91" i="54"/>
  <c r="K280" i="54"/>
  <c r="K164" i="54"/>
  <c r="K260" i="54"/>
  <c r="K302" i="54"/>
  <c r="K116" i="54"/>
  <c r="K76" i="54"/>
  <c r="K219" i="54"/>
  <c r="K140" i="54"/>
  <c r="K112" i="54"/>
  <c r="K192" i="54"/>
  <c r="K190" i="54"/>
  <c r="K300" i="54"/>
  <c r="K271" i="54"/>
  <c r="K127" i="54"/>
  <c r="K283" i="54"/>
  <c r="K85" i="54"/>
  <c r="K293" i="54"/>
  <c r="K200" i="54"/>
  <c r="K17" i="54"/>
  <c r="K275" i="54"/>
  <c r="K305" i="54"/>
  <c r="K147" i="54"/>
  <c r="K227" i="54"/>
  <c r="K287" i="54"/>
  <c r="K308" i="54"/>
  <c r="K122" i="54"/>
  <c r="K26" i="54"/>
  <c r="K199" i="54"/>
  <c r="K303" i="54"/>
  <c r="K230" i="54"/>
  <c r="K304" i="54"/>
  <c r="K131" i="54"/>
  <c r="K286" i="54"/>
  <c r="K139" i="54"/>
  <c r="K53" i="54"/>
  <c r="K309" i="54"/>
  <c r="K187" i="54"/>
  <c r="K205" i="54"/>
  <c r="K282" i="54"/>
  <c r="K238" i="54"/>
  <c r="K284" i="54"/>
  <c r="K263" i="54"/>
  <c r="K290" i="54"/>
  <c r="K167" i="54"/>
  <c r="K179" i="54"/>
  <c r="K132" i="54"/>
  <c r="K15" i="54"/>
  <c r="K274" i="54"/>
  <c r="K226" i="54"/>
  <c r="K291" i="54"/>
  <c r="K212" i="54"/>
  <c r="K216" i="54"/>
  <c r="K207" i="54"/>
  <c r="K141" i="54"/>
  <c r="K110" i="54"/>
  <c r="K120" i="54"/>
  <c r="K198" i="54"/>
  <c r="K281" i="54"/>
  <c r="K20" i="54"/>
  <c r="K118" i="54"/>
  <c r="K288" i="54"/>
  <c r="K125" i="54"/>
  <c r="K180" i="54"/>
  <c r="K269" i="54"/>
  <c r="K246" i="54"/>
  <c r="K209" i="54"/>
  <c r="K94" i="54"/>
  <c r="K148" i="54"/>
  <c r="K195" i="54"/>
  <c r="K193" i="54"/>
  <c r="K178" i="54"/>
  <c r="K240" i="54"/>
  <c r="K84" i="54"/>
  <c r="K208" i="54"/>
  <c r="K99" i="54"/>
  <c r="K27" i="54"/>
  <c r="K36" i="54"/>
  <c r="K12" i="54"/>
  <c r="K88" i="54"/>
  <c r="K232" i="54"/>
  <c r="K66" i="54"/>
  <c r="K214" i="54"/>
  <c r="K264" i="54"/>
  <c r="K51" i="54"/>
  <c r="K21" i="54"/>
  <c r="K188" i="54"/>
  <c r="K128" i="54"/>
  <c r="K54" i="54"/>
  <c r="K63" i="54"/>
  <c r="K191" i="54"/>
  <c r="K119" i="54"/>
  <c r="K234" i="54"/>
  <c r="K121" i="54"/>
  <c r="K185" i="54"/>
  <c r="K96" i="54"/>
  <c r="K144" i="54"/>
  <c r="K152" i="54"/>
  <c r="K245" i="54"/>
  <c r="K173" i="54"/>
  <c r="K16" i="54"/>
  <c r="K25" i="54"/>
  <c r="K107" i="54"/>
  <c r="K86" i="54"/>
  <c r="K218" i="54"/>
  <c r="K252" i="54"/>
  <c r="K171" i="54"/>
  <c r="K294" i="54"/>
  <c r="K90" i="54"/>
  <c r="K229" i="54"/>
  <c r="K14" i="54"/>
  <c r="K295" i="54"/>
  <c r="K259" i="54"/>
  <c r="K177" i="54"/>
  <c r="K189" i="54"/>
  <c r="K299" i="54"/>
  <c r="K213" i="54"/>
  <c r="K159" i="54"/>
  <c r="K243" i="54"/>
  <c r="K156" i="54"/>
  <c r="K48" i="54"/>
  <c r="K313" i="54"/>
  <c r="K296" i="54"/>
  <c r="K68" i="54"/>
  <c r="K70" i="54"/>
  <c r="K71" i="54"/>
  <c r="K197" i="54"/>
  <c r="K235" i="54"/>
  <c r="K242" i="54"/>
  <c r="K255" i="54"/>
  <c r="K77" i="54"/>
  <c r="K228" i="54"/>
  <c r="K142" i="54"/>
  <c r="K87" i="54"/>
  <c r="K301" i="54"/>
  <c r="K50" i="54"/>
  <c r="K285" i="54"/>
  <c r="K184" i="54"/>
  <c r="K67" i="54"/>
  <c r="K279" i="54"/>
  <c r="K60" i="54"/>
  <c r="K163" i="54"/>
  <c r="K168" i="54"/>
  <c r="K100" i="54"/>
  <c r="K49" i="54"/>
  <c r="K103" i="54"/>
  <c r="K114" i="54"/>
  <c r="K62" i="54"/>
  <c r="K35" i="54"/>
  <c r="K261" i="54"/>
  <c r="K221" i="54"/>
  <c r="K194" i="54"/>
  <c r="K202" i="54"/>
  <c r="K154" i="54"/>
  <c r="K138" i="54"/>
  <c r="K113" i="54"/>
  <c r="K183" i="54"/>
  <c r="K134" i="54"/>
  <c r="K256" i="54"/>
  <c r="K37" i="54"/>
  <c r="K310" i="54"/>
  <c r="K98" i="54"/>
  <c r="K104" i="54"/>
  <c r="K176" i="54"/>
  <c r="K241" i="54"/>
  <c r="K106" i="54"/>
  <c r="K162" i="54"/>
  <c r="K8" i="54"/>
  <c r="K204" i="54"/>
  <c r="K18" i="54"/>
  <c r="K172" i="54"/>
  <c r="K28" i="54"/>
  <c r="K13" i="54"/>
  <c r="K72" i="54"/>
  <c r="K201" i="54"/>
  <c r="K298" i="54"/>
  <c r="K19" i="54"/>
  <c r="K32" i="54"/>
  <c r="K43" i="54"/>
  <c r="K7" i="54"/>
  <c r="E17" i="37"/>
  <c r="F17" i="37" s="1"/>
  <c r="I17" i="37" s="1"/>
  <c r="E18" i="37"/>
  <c r="F18" i="37" s="1"/>
  <c r="I18" i="37" s="1"/>
  <c r="E20" i="37"/>
  <c r="F20" i="37" s="1"/>
  <c r="I20" i="37" s="1"/>
  <c r="E25" i="37"/>
  <c r="F25" i="37" s="1"/>
  <c r="I25" i="37" s="1"/>
  <c r="E26" i="37"/>
  <c r="F26" i="37" s="1"/>
  <c r="I26" i="37" s="1"/>
  <c r="E37" i="37"/>
  <c r="F37" i="37" s="1"/>
  <c r="I37" i="37" s="1"/>
  <c r="E41" i="37"/>
  <c r="F41" i="37" s="1"/>
  <c r="I41" i="37" s="1"/>
  <c r="E42" i="37"/>
  <c r="F42" i="37" s="1"/>
  <c r="I42" i="37" s="1"/>
  <c r="E44" i="37"/>
  <c r="F44" i="37" s="1"/>
  <c r="I44" i="37" s="1"/>
  <c r="E61" i="37"/>
  <c r="F61" i="37" s="1"/>
  <c r="I61" i="37" s="1"/>
  <c r="E85" i="37"/>
  <c r="F85" i="37" s="1"/>
  <c r="I85" i="37" s="1"/>
  <c r="E13" i="37"/>
  <c r="F13" i="37" s="1"/>
  <c r="I13" i="37" s="1"/>
  <c r="E16" i="37"/>
  <c r="F16" i="37" s="1"/>
  <c r="I16" i="37" s="1"/>
  <c r="E24" i="37"/>
  <c r="F24" i="37" s="1"/>
  <c r="I24" i="37" s="1"/>
  <c r="E28" i="37"/>
  <c r="F28" i="37" s="1"/>
  <c r="I28" i="37" s="1"/>
  <c r="E33" i="37"/>
  <c r="F33" i="37" s="1"/>
  <c r="I33" i="37" s="1"/>
  <c r="E34" i="37"/>
  <c r="F34" i="37" s="1"/>
  <c r="I34" i="37" s="1"/>
  <c r="E40" i="37"/>
  <c r="F40" i="37" s="1"/>
  <c r="I40" i="37" s="1"/>
  <c r="E49" i="37"/>
  <c r="F49" i="37" s="1"/>
  <c r="I49" i="37" s="1"/>
  <c r="E50" i="37"/>
  <c r="F50" i="37" s="1"/>
  <c r="I50" i="37" s="1"/>
  <c r="E52" i="37"/>
  <c r="F52" i="37" s="1"/>
  <c r="I52" i="37" s="1"/>
  <c r="E57" i="37"/>
  <c r="F57" i="37" s="1"/>
  <c r="I57" i="37" s="1"/>
  <c r="E58" i="37"/>
  <c r="F58" i="37" s="1"/>
  <c r="I58" i="37" s="1"/>
  <c r="E69" i="37"/>
  <c r="F69" i="37" s="1"/>
  <c r="I69" i="37" s="1"/>
  <c r="E73" i="37"/>
  <c r="F73" i="37" s="1"/>
  <c r="I73" i="37" s="1"/>
  <c r="E74" i="37"/>
  <c r="F74" i="37" s="1"/>
  <c r="I74" i="37" s="1"/>
  <c r="E76" i="37"/>
  <c r="F76" i="37" s="1"/>
  <c r="I76" i="37" s="1"/>
  <c r="E99" i="37"/>
  <c r="F99" i="37" s="1"/>
  <c r="I99" i="37" s="1"/>
  <c r="E100" i="37"/>
  <c r="F100" i="37" s="1"/>
  <c r="I100" i="37" s="1"/>
  <c r="E9" i="37"/>
  <c r="F9" i="37" s="1"/>
  <c r="I9" i="37" s="1"/>
  <c r="E10" i="37"/>
  <c r="F10" i="37" s="1"/>
  <c r="I10" i="37" s="1"/>
  <c r="E21" i="37"/>
  <c r="F21" i="37" s="1"/>
  <c r="I21" i="37" s="1"/>
  <c r="E32" i="37"/>
  <c r="F32" i="37" s="1"/>
  <c r="I32" i="37" s="1"/>
  <c r="E36" i="37"/>
  <c r="F36" i="37" s="1"/>
  <c r="I36" i="37" s="1"/>
  <c r="E45" i="37"/>
  <c r="F45" i="37" s="1"/>
  <c r="I45" i="37" s="1"/>
  <c r="E48" i="37"/>
  <c r="F48" i="37" s="1"/>
  <c r="I48" i="37" s="1"/>
  <c r="E56" i="37"/>
  <c r="F56" i="37" s="1"/>
  <c r="I56" i="37" s="1"/>
  <c r="E60" i="37"/>
  <c r="F60" i="37" s="1"/>
  <c r="I60" i="37" s="1"/>
  <c r="E65" i="37"/>
  <c r="F65" i="37" s="1"/>
  <c r="I65" i="37" s="1"/>
  <c r="E66" i="37"/>
  <c r="F66" i="37" s="1"/>
  <c r="I66" i="37" s="1"/>
  <c r="E72" i="37"/>
  <c r="F72" i="37" s="1"/>
  <c r="I72" i="37" s="1"/>
  <c r="E81" i="37"/>
  <c r="F81" i="37" s="1"/>
  <c r="I81" i="37" s="1"/>
  <c r="E82" i="37"/>
  <c r="F82" i="37" s="1"/>
  <c r="I82" i="37" s="1"/>
  <c r="E84" i="37"/>
  <c r="F84" i="37" s="1"/>
  <c r="I84" i="37" s="1"/>
  <c r="E89" i="37"/>
  <c r="F89" i="37" s="1"/>
  <c r="I89" i="37" s="1"/>
  <c r="E90" i="37"/>
  <c r="F90" i="37" s="1"/>
  <c r="I90" i="37" s="1"/>
  <c r="E94" i="37"/>
  <c r="F94" i="37" s="1"/>
  <c r="I94" i="37" s="1"/>
  <c r="E98" i="37"/>
  <c r="F98" i="37" s="1"/>
  <c r="I98" i="37" s="1"/>
  <c r="E88" i="37"/>
  <c r="F88" i="37" s="1"/>
  <c r="I88" i="37" s="1"/>
  <c r="E102" i="37"/>
  <c r="F102" i="37" s="1"/>
  <c r="I102" i="37" s="1"/>
  <c r="E106" i="37"/>
  <c r="F106" i="37" s="1"/>
  <c r="I106" i="37" s="1"/>
  <c r="E110" i="37"/>
  <c r="F110" i="37" s="1"/>
  <c r="I110" i="37" s="1"/>
  <c r="E114" i="37"/>
  <c r="F114" i="37" s="1"/>
  <c r="I114" i="37" s="1"/>
  <c r="E118" i="37"/>
  <c r="F118" i="37" s="1"/>
  <c r="I118" i="37" s="1"/>
  <c r="E122" i="37"/>
  <c r="F122" i="37" s="1"/>
  <c r="I122" i="37" s="1"/>
  <c r="E126" i="37"/>
  <c r="F126" i="37" s="1"/>
  <c r="I126" i="37" s="1"/>
  <c r="E130" i="37"/>
  <c r="F130" i="37" s="1"/>
  <c r="I130" i="37" s="1"/>
  <c r="E134" i="37"/>
  <c r="F134" i="37" s="1"/>
  <c r="I134" i="37" s="1"/>
  <c r="E138" i="37"/>
  <c r="F138" i="37" s="1"/>
  <c r="I138" i="37" s="1"/>
  <c r="E142" i="37"/>
  <c r="F142" i="37" s="1"/>
  <c r="I142" i="37" s="1"/>
  <c r="E146" i="37"/>
  <c r="F146" i="37" s="1"/>
  <c r="I146" i="37" s="1"/>
  <c r="E150" i="37"/>
  <c r="F150" i="37" s="1"/>
  <c r="I150" i="37" s="1"/>
  <c r="E154" i="37"/>
  <c r="F154" i="37" s="1"/>
  <c r="I154" i="37" s="1"/>
  <c r="E158" i="37"/>
  <c r="F158" i="37" s="1"/>
  <c r="I158" i="37" s="1"/>
  <c r="E162" i="37"/>
  <c r="F162" i="37" s="1"/>
  <c r="I162" i="37" s="1"/>
  <c r="E166" i="37"/>
  <c r="F166" i="37" s="1"/>
  <c r="I166" i="37" s="1"/>
  <c r="E170" i="37"/>
  <c r="F170" i="37" s="1"/>
  <c r="I170" i="37" s="1"/>
  <c r="E174" i="37"/>
  <c r="F174" i="37" s="1"/>
  <c r="I174" i="37" s="1"/>
  <c r="E187" i="37"/>
  <c r="F187" i="37" s="1"/>
  <c r="I187" i="37" s="1"/>
  <c r="E192" i="37"/>
  <c r="F192" i="37" s="1"/>
  <c r="I192" i="37" s="1"/>
  <c r="E205" i="37"/>
  <c r="F205" i="37" s="1"/>
  <c r="I205" i="37" s="1"/>
  <c r="E212" i="37"/>
  <c r="F212" i="37" s="1"/>
  <c r="I212" i="37" s="1"/>
  <c r="E217" i="37"/>
  <c r="F217" i="37" s="1"/>
  <c r="I217" i="37" s="1"/>
  <c r="E224" i="37"/>
  <c r="F224" i="37" s="1"/>
  <c r="I224" i="37" s="1"/>
  <c r="E295" i="37"/>
  <c r="F295" i="37" s="1"/>
  <c r="I295" i="37" s="1"/>
  <c r="E300" i="37"/>
  <c r="F300" i="37" s="1"/>
  <c r="I300" i="37" s="1"/>
  <c r="E311" i="37"/>
  <c r="F311" i="37" s="1"/>
  <c r="I311" i="37" s="1"/>
  <c r="E12" i="37"/>
  <c r="F12" i="37" s="1"/>
  <c r="I12" i="37" s="1"/>
  <c r="E64" i="37"/>
  <c r="F64" i="37" s="1"/>
  <c r="I64" i="37" s="1"/>
  <c r="E77" i="37"/>
  <c r="F77" i="37" s="1"/>
  <c r="I77" i="37" s="1"/>
  <c r="E80" i="37"/>
  <c r="F80" i="37" s="1"/>
  <c r="I80" i="37" s="1"/>
  <c r="E179" i="37"/>
  <c r="F179" i="37" s="1"/>
  <c r="I179" i="37" s="1"/>
  <c r="E197" i="37"/>
  <c r="F197" i="37" s="1"/>
  <c r="I197" i="37" s="1"/>
  <c r="E204" i="37"/>
  <c r="F204" i="37" s="1"/>
  <c r="I204" i="37" s="1"/>
  <c r="E209" i="37"/>
  <c r="F209" i="37" s="1"/>
  <c r="I209" i="37" s="1"/>
  <c r="E216" i="37"/>
  <c r="F216" i="37" s="1"/>
  <c r="I216" i="37" s="1"/>
  <c r="E229" i="37"/>
  <c r="F229" i="37" s="1"/>
  <c r="I229" i="37" s="1"/>
  <c r="E237" i="37"/>
  <c r="F237" i="37" s="1"/>
  <c r="I237" i="37" s="1"/>
  <c r="E245" i="37"/>
  <c r="F245" i="37" s="1"/>
  <c r="I245" i="37" s="1"/>
  <c r="E253" i="37"/>
  <c r="F253" i="37" s="1"/>
  <c r="I253" i="37" s="1"/>
  <c r="E261" i="37"/>
  <c r="F261" i="37" s="1"/>
  <c r="I261" i="37" s="1"/>
  <c r="E269" i="37"/>
  <c r="F269" i="37" s="1"/>
  <c r="I269" i="37" s="1"/>
  <c r="E277" i="37"/>
  <c r="F277" i="37" s="1"/>
  <c r="I277" i="37" s="1"/>
  <c r="E299" i="37"/>
  <c r="F299" i="37" s="1"/>
  <c r="I299" i="37" s="1"/>
  <c r="E304" i="37"/>
  <c r="F304" i="37" s="1"/>
  <c r="I304" i="37" s="1"/>
  <c r="E29" i="37"/>
  <c r="F29" i="37" s="1"/>
  <c r="I29" i="37" s="1"/>
  <c r="E103" i="37"/>
  <c r="F103" i="37" s="1"/>
  <c r="I103" i="37" s="1"/>
  <c r="E111" i="37"/>
  <c r="F111" i="37" s="1"/>
  <c r="I111" i="37" s="1"/>
  <c r="E119" i="37"/>
  <c r="F119" i="37" s="1"/>
  <c r="I119" i="37" s="1"/>
  <c r="E127" i="37"/>
  <c r="F127" i="37" s="1"/>
  <c r="I127" i="37" s="1"/>
  <c r="E135" i="37"/>
  <c r="F135" i="37" s="1"/>
  <c r="I135" i="37" s="1"/>
  <c r="E143" i="37"/>
  <c r="F143" i="37" s="1"/>
  <c r="I143" i="37" s="1"/>
  <c r="E151" i="37"/>
  <c r="F151" i="37" s="1"/>
  <c r="I151" i="37" s="1"/>
  <c r="E159" i="37"/>
  <c r="F159" i="37" s="1"/>
  <c r="I159" i="37" s="1"/>
  <c r="E167" i="37"/>
  <c r="F167" i="37" s="1"/>
  <c r="I167" i="37" s="1"/>
  <c r="E175" i="37"/>
  <c r="F175" i="37" s="1"/>
  <c r="I175" i="37" s="1"/>
  <c r="E183" i="37"/>
  <c r="F183" i="37" s="1"/>
  <c r="I183" i="37" s="1"/>
  <c r="E184" i="37"/>
  <c r="F184" i="37" s="1"/>
  <c r="I184" i="37" s="1"/>
  <c r="E189" i="37"/>
  <c r="F189" i="37" s="1"/>
  <c r="I189" i="37" s="1"/>
  <c r="E196" i="37"/>
  <c r="F196" i="37" s="1"/>
  <c r="I196" i="37" s="1"/>
  <c r="E201" i="37"/>
  <c r="F201" i="37" s="1"/>
  <c r="I201" i="37" s="1"/>
  <c r="E208" i="37"/>
  <c r="F208" i="37" s="1"/>
  <c r="I208" i="37" s="1"/>
  <c r="E221" i="37"/>
  <c r="F221" i="37" s="1"/>
  <c r="I221" i="37" s="1"/>
  <c r="E228" i="37"/>
  <c r="F228" i="37" s="1"/>
  <c r="I228" i="37" s="1"/>
  <c r="E233" i="37"/>
  <c r="F233" i="37" s="1"/>
  <c r="I233" i="37" s="1"/>
  <c r="E234" i="37"/>
  <c r="F234" i="37" s="1"/>
  <c r="I234" i="37" s="1"/>
  <c r="E241" i="37"/>
  <c r="F241" i="37" s="1"/>
  <c r="I241" i="37" s="1"/>
  <c r="E242" i="37"/>
  <c r="F242" i="37" s="1"/>
  <c r="I242" i="37" s="1"/>
  <c r="E249" i="37"/>
  <c r="F249" i="37" s="1"/>
  <c r="I249" i="37" s="1"/>
  <c r="E250" i="37"/>
  <c r="F250" i="37" s="1"/>
  <c r="I250" i="37" s="1"/>
  <c r="E257" i="37"/>
  <c r="F257" i="37" s="1"/>
  <c r="I257" i="37" s="1"/>
  <c r="E258" i="37"/>
  <c r="F258" i="37" s="1"/>
  <c r="I258" i="37" s="1"/>
  <c r="E265" i="37"/>
  <c r="F265" i="37" s="1"/>
  <c r="I265" i="37" s="1"/>
  <c r="E266" i="37"/>
  <c r="F266" i="37" s="1"/>
  <c r="I266" i="37" s="1"/>
  <c r="E273" i="37"/>
  <c r="F273" i="37" s="1"/>
  <c r="I273" i="37" s="1"/>
  <c r="E274" i="37"/>
  <c r="F274" i="37" s="1"/>
  <c r="I274" i="37" s="1"/>
  <c r="E281" i="37"/>
  <c r="F281" i="37" s="1"/>
  <c r="I281" i="37" s="1"/>
  <c r="E282" i="37"/>
  <c r="F282" i="37" s="1"/>
  <c r="I282" i="37" s="1"/>
  <c r="E303" i="37"/>
  <c r="F303" i="37" s="1"/>
  <c r="I303" i="37" s="1"/>
  <c r="E308" i="37"/>
  <c r="F308" i="37" s="1"/>
  <c r="I308" i="37" s="1"/>
  <c r="E53" i="37"/>
  <c r="F53" i="37" s="1"/>
  <c r="I53" i="37" s="1"/>
  <c r="E108" i="37"/>
  <c r="F108" i="37" s="1"/>
  <c r="I108" i="37" s="1"/>
  <c r="E123" i="37"/>
  <c r="F123" i="37" s="1"/>
  <c r="I123" i="37" s="1"/>
  <c r="E140" i="37"/>
  <c r="F140" i="37" s="1"/>
  <c r="I140" i="37" s="1"/>
  <c r="E155" i="37"/>
  <c r="F155" i="37" s="1"/>
  <c r="I155" i="37" s="1"/>
  <c r="E172" i="37"/>
  <c r="F172" i="37" s="1"/>
  <c r="I172" i="37" s="1"/>
  <c r="E220" i="37"/>
  <c r="F220" i="37" s="1"/>
  <c r="I220" i="37" s="1"/>
  <c r="E232" i="37"/>
  <c r="F232" i="37" s="1"/>
  <c r="I232" i="37" s="1"/>
  <c r="E240" i="37"/>
  <c r="F240" i="37" s="1"/>
  <c r="I240" i="37" s="1"/>
  <c r="E248" i="37"/>
  <c r="F248" i="37" s="1"/>
  <c r="I248" i="37" s="1"/>
  <c r="E256" i="37"/>
  <c r="F256" i="37" s="1"/>
  <c r="I256" i="37" s="1"/>
  <c r="E264" i="37"/>
  <c r="F264" i="37" s="1"/>
  <c r="I264" i="37" s="1"/>
  <c r="E272" i="37"/>
  <c r="F272" i="37" s="1"/>
  <c r="I272" i="37" s="1"/>
  <c r="E280" i="37"/>
  <c r="F280" i="37" s="1"/>
  <c r="I280" i="37" s="1"/>
  <c r="E292" i="37"/>
  <c r="F292" i="37" s="1"/>
  <c r="I292" i="37" s="1"/>
  <c r="E307" i="37"/>
  <c r="F307" i="37" s="1"/>
  <c r="I307" i="37" s="1"/>
  <c r="E95" i="37"/>
  <c r="F95" i="37" s="1"/>
  <c r="I95" i="37" s="1"/>
  <c r="E148" i="37"/>
  <c r="F148" i="37" s="1"/>
  <c r="I148" i="37" s="1"/>
  <c r="E193" i="37"/>
  <c r="F193" i="37" s="1"/>
  <c r="I193" i="37" s="1"/>
  <c r="E68" i="37"/>
  <c r="F68" i="37" s="1"/>
  <c r="I68" i="37" s="1"/>
  <c r="E115" i="37"/>
  <c r="F115" i="37" s="1"/>
  <c r="I115" i="37" s="1"/>
  <c r="E132" i="37"/>
  <c r="F132" i="37" s="1"/>
  <c r="I132" i="37" s="1"/>
  <c r="E147" i="37"/>
  <c r="F147" i="37" s="1"/>
  <c r="I147" i="37" s="1"/>
  <c r="E164" i="37"/>
  <c r="F164" i="37" s="1"/>
  <c r="I164" i="37" s="1"/>
  <c r="E182" i="37"/>
  <c r="F182" i="37" s="1"/>
  <c r="I182" i="37" s="1"/>
  <c r="E188" i="37"/>
  <c r="F188" i="37" s="1"/>
  <c r="I188" i="37" s="1"/>
  <c r="E200" i="37"/>
  <c r="F200" i="37" s="1"/>
  <c r="I200" i="37" s="1"/>
  <c r="E296" i="37"/>
  <c r="F296" i="37" s="1"/>
  <c r="I296" i="37" s="1"/>
  <c r="E107" i="37"/>
  <c r="F107" i="37" s="1"/>
  <c r="I107" i="37" s="1"/>
  <c r="E124" i="37"/>
  <c r="F124" i="37" s="1"/>
  <c r="I124" i="37" s="1"/>
  <c r="E139" i="37"/>
  <c r="F139" i="37" s="1"/>
  <c r="I139" i="37" s="1"/>
  <c r="E156" i="37"/>
  <c r="F156" i="37" s="1"/>
  <c r="I156" i="37" s="1"/>
  <c r="E171" i="37"/>
  <c r="F171" i="37" s="1"/>
  <c r="I171" i="37" s="1"/>
  <c r="E213" i="37"/>
  <c r="F213" i="37" s="1"/>
  <c r="I213" i="37" s="1"/>
  <c r="E225" i="37"/>
  <c r="F225" i="37" s="1"/>
  <c r="I225" i="37" s="1"/>
  <c r="E236" i="37"/>
  <c r="F236" i="37" s="1"/>
  <c r="I236" i="37" s="1"/>
  <c r="E244" i="37"/>
  <c r="F244" i="37" s="1"/>
  <c r="I244" i="37" s="1"/>
  <c r="E252" i="37"/>
  <c r="F252" i="37" s="1"/>
  <c r="I252" i="37" s="1"/>
  <c r="E260" i="37"/>
  <c r="F260" i="37" s="1"/>
  <c r="I260" i="37" s="1"/>
  <c r="E268" i="37"/>
  <c r="F268" i="37" s="1"/>
  <c r="I268" i="37" s="1"/>
  <c r="E276" i="37"/>
  <c r="F276" i="37" s="1"/>
  <c r="I276" i="37" s="1"/>
  <c r="E284" i="37"/>
  <c r="F284" i="37" s="1"/>
  <c r="I284" i="37" s="1"/>
  <c r="E312" i="37"/>
  <c r="F312" i="37" s="1"/>
  <c r="I312" i="37" s="1"/>
  <c r="E8" i="37"/>
  <c r="F8" i="37" s="1"/>
  <c r="I8" i="37" s="1"/>
  <c r="E116" i="37"/>
  <c r="F116" i="37" s="1"/>
  <c r="I116" i="37" s="1"/>
  <c r="E131" i="37"/>
  <c r="F131" i="37" s="1"/>
  <c r="I131" i="37" s="1"/>
  <c r="E163" i="37"/>
  <c r="F163" i="37" s="1"/>
  <c r="I163" i="37" s="1"/>
  <c r="E288" i="37"/>
  <c r="F288" i="37" s="1"/>
  <c r="I288" i="37" s="1"/>
  <c r="E305" i="37"/>
  <c r="F305" i="37" s="1"/>
  <c r="I305" i="37" s="1"/>
  <c r="E262" i="37"/>
  <c r="F262" i="37" s="1"/>
  <c r="I262" i="37" s="1"/>
  <c r="E230" i="37"/>
  <c r="F230" i="37" s="1"/>
  <c r="I230" i="37" s="1"/>
  <c r="E203" i="37"/>
  <c r="F203" i="37" s="1"/>
  <c r="I203" i="37" s="1"/>
  <c r="E226" i="37"/>
  <c r="F226" i="37" s="1"/>
  <c r="I226" i="37" s="1"/>
  <c r="E177" i="37"/>
  <c r="F177" i="37" s="1"/>
  <c r="I177" i="37" s="1"/>
  <c r="E145" i="37"/>
  <c r="F145" i="37" s="1"/>
  <c r="I145" i="37" s="1"/>
  <c r="E113" i="37"/>
  <c r="F113" i="37" s="1"/>
  <c r="I113" i="37" s="1"/>
  <c r="E91" i="37"/>
  <c r="F91" i="37" s="1"/>
  <c r="I91" i="37" s="1"/>
  <c r="E55" i="37"/>
  <c r="F55" i="37" s="1"/>
  <c r="I55" i="37" s="1"/>
  <c r="E263" i="37"/>
  <c r="F263" i="37" s="1"/>
  <c r="I263" i="37" s="1"/>
  <c r="E231" i="37"/>
  <c r="F231" i="37" s="1"/>
  <c r="I231" i="37" s="1"/>
  <c r="E214" i="37"/>
  <c r="F214" i="37" s="1"/>
  <c r="I214" i="37" s="1"/>
  <c r="E202" i="37"/>
  <c r="F202" i="37" s="1"/>
  <c r="I202" i="37" s="1"/>
  <c r="E173" i="37"/>
  <c r="F173" i="37" s="1"/>
  <c r="I173" i="37" s="1"/>
  <c r="E141" i="37"/>
  <c r="F141" i="37" s="1"/>
  <c r="I141" i="37" s="1"/>
  <c r="E109" i="37"/>
  <c r="F109" i="37" s="1"/>
  <c r="I109" i="37" s="1"/>
  <c r="E302" i="37"/>
  <c r="F302" i="37" s="1"/>
  <c r="I302" i="37" s="1"/>
  <c r="E291" i="37"/>
  <c r="F291" i="37" s="1"/>
  <c r="I291" i="37" s="1"/>
  <c r="E285" i="37"/>
  <c r="F285" i="37" s="1"/>
  <c r="I285" i="37" s="1"/>
  <c r="E267" i="37"/>
  <c r="F267" i="37" s="1"/>
  <c r="I267" i="37" s="1"/>
  <c r="E254" i="37"/>
  <c r="F254" i="37" s="1"/>
  <c r="I254" i="37" s="1"/>
  <c r="E298" i="37"/>
  <c r="F298" i="37" s="1"/>
  <c r="I298" i="37" s="1"/>
  <c r="E38" i="37"/>
  <c r="F38" i="37" s="1"/>
  <c r="I38" i="37" s="1"/>
  <c r="E294" i="37"/>
  <c r="F294" i="37" s="1"/>
  <c r="I294" i="37" s="1"/>
  <c r="E211" i="37"/>
  <c r="F211" i="37" s="1"/>
  <c r="I211" i="37" s="1"/>
  <c r="E194" i="37"/>
  <c r="F194" i="37" s="1"/>
  <c r="I194" i="37" s="1"/>
  <c r="E186" i="37"/>
  <c r="F186" i="37" s="1"/>
  <c r="I186" i="37" s="1"/>
  <c r="E153" i="37"/>
  <c r="F153" i="37" s="1"/>
  <c r="I153" i="37" s="1"/>
  <c r="E121" i="37"/>
  <c r="F121" i="37" s="1"/>
  <c r="I121" i="37" s="1"/>
  <c r="E87" i="37"/>
  <c r="F87" i="37" s="1"/>
  <c r="I87" i="37" s="1"/>
  <c r="E47" i="37"/>
  <c r="F47" i="37" s="1"/>
  <c r="I47" i="37" s="1"/>
  <c r="E313" i="37"/>
  <c r="F313" i="37" s="1"/>
  <c r="I313" i="37" s="1"/>
  <c r="E297" i="37"/>
  <c r="F297" i="37" s="1"/>
  <c r="I297" i="37" s="1"/>
  <c r="E271" i="37"/>
  <c r="F271" i="37" s="1"/>
  <c r="I271" i="37" s="1"/>
  <c r="E239" i="37"/>
  <c r="F239" i="37" s="1"/>
  <c r="I239" i="37" s="1"/>
  <c r="E149" i="37"/>
  <c r="F149" i="37" s="1"/>
  <c r="I149" i="37" s="1"/>
  <c r="E117" i="37"/>
  <c r="F117" i="37" s="1"/>
  <c r="I117" i="37" s="1"/>
  <c r="E31" i="37"/>
  <c r="F31" i="37" s="1"/>
  <c r="I31" i="37" s="1"/>
  <c r="E289" i="37"/>
  <c r="F289" i="37" s="1"/>
  <c r="I289" i="37" s="1"/>
  <c r="E275" i="37"/>
  <c r="F275" i="37" s="1"/>
  <c r="I275" i="37" s="1"/>
  <c r="E243" i="37"/>
  <c r="F243" i="37" s="1"/>
  <c r="I243" i="37" s="1"/>
  <c r="E195" i="37"/>
  <c r="F195" i="37" s="1"/>
  <c r="I195" i="37" s="1"/>
  <c r="E176" i="37"/>
  <c r="F176" i="37" s="1"/>
  <c r="I176" i="37" s="1"/>
  <c r="E160" i="37"/>
  <c r="F160" i="37" s="1"/>
  <c r="I160" i="37" s="1"/>
  <c r="E144" i="37"/>
  <c r="F144" i="37" s="1"/>
  <c r="I144" i="37" s="1"/>
  <c r="E128" i="37"/>
  <c r="F128" i="37" s="1"/>
  <c r="I128" i="37" s="1"/>
  <c r="E112" i="37"/>
  <c r="F112" i="37" s="1"/>
  <c r="I112" i="37" s="1"/>
  <c r="E198" i="37"/>
  <c r="F198" i="37" s="1"/>
  <c r="I198" i="37" s="1"/>
  <c r="E59" i="37"/>
  <c r="F59" i="37" s="1"/>
  <c r="I59" i="37" s="1"/>
  <c r="E278" i="37"/>
  <c r="F278" i="37" s="1"/>
  <c r="I278" i="37" s="1"/>
  <c r="E246" i="37"/>
  <c r="F246" i="37" s="1"/>
  <c r="I246" i="37" s="1"/>
  <c r="E218" i="37"/>
  <c r="F218" i="37" s="1"/>
  <c r="I218" i="37" s="1"/>
  <c r="E35" i="37"/>
  <c r="F35" i="37" s="1"/>
  <c r="I35" i="37" s="1"/>
  <c r="E301" i="37"/>
  <c r="F301" i="37" s="1"/>
  <c r="I301" i="37" s="1"/>
  <c r="E290" i="37"/>
  <c r="F290" i="37" s="1"/>
  <c r="I290" i="37" s="1"/>
  <c r="E223" i="37"/>
  <c r="F223" i="37" s="1"/>
  <c r="I223" i="37" s="1"/>
  <c r="E206" i="37"/>
  <c r="F206" i="37" s="1"/>
  <c r="I206" i="37" s="1"/>
  <c r="E161" i="37"/>
  <c r="F161" i="37" s="1"/>
  <c r="I161" i="37" s="1"/>
  <c r="E129" i="37"/>
  <c r="F129" i="37" s="1"/>
  <c r="I129" i="37" s="1"/>
  <c r="E97" i="37"/>
  <c r="F97" i="37" s="1"/>
  <c r="I97" i="37" s="1"/>
  <c r="E75" i="37"/>
  <c r="F75" i="37" s="1"/>
  <c r="I75" i="37" s="1"/>
  <c r="E279" i="37"/>
  <c r="F279" i="37" s="1"/>
  <c r="I279" i="37" s="1"/>
  <c r="E247" i="37"/>
  <c r="F247" i="37" s="1"/>
  <c r="I247" i="37" s="1"/>
  <c r="E199" i="37"/>
  <c r="F199" i="37" s="1"/>
  <c r="I199" i="37" s="1"/>
  <c r="E181" i="37"/>
  <c r="F181" i="37" s="1"/>
  <c r="I181" i="37" s="1"/>
  <c r="E157" i="37"/>
  <c r="F157" i="37" s="1"/>
  <c r="I157" i="37" s="1"/>
  <c r="E125" i="37"/>
  <c r="F125" i="37" s="1"/>
  <c r="I125" i="37" s="1"/>
  <c r="E309" i="37"/>
  <c r="F309" i="37" s="1"/>
  <c r="I309" i="37" s="1"/>
  <c r="E293" i="37"/>
  <c r="F293" i="37" s="1"/>
  <c r="I293" i="37" s="1"/>
  <c r="E283" i="37"/>
  <c r="F283" i="37" s="1"/>
  <c r="I283" i="37" s="1"/>
  <c r="E251" i="37"/>
  <c r="F251" i="37" s="1"/>
  <c r="I251" i="37" s="1"/>
  <c r="E207" i="37"/>
  <c r="F207" i="37" s="1"/>
  <c r="I207" i="37" s="1"/>
  <c r="E190" i="37"/>
  <c r="F190" i="37" s="1"/>
  <c r="I190" i="37" s="1"/>
  <c r="E180" i="37"/>
  <c r="F180" i="37" s="1"/>
  <c r="I180" i="37" s="1"/>
  <c r="E270" i="37"/>
  <c r="F270" i="37" s="1"/>
  <c r="I270" i="37" s="1"/>
  <c r="E238" i="37"/>
  <c r="F238" i="37" s="1"/>
  <c r="I238" i="37" s="1"/>
  <c r="E215" i="37"/>
  <c r="F215" i="37" s="1"/>
  <c r="I215" i="37" s="1"/>
  <c r="E178" i="37"/>
  <c r="F178" i="37" s="1"/>
  <c r="I178" i="37" s="1"/>
  <c r="E310" i="37"/>
  <c r="F310" i="37" s="1"/>
  <c r="I310" i="37" s="1"/>
  <c r="E286" i="37"/>
  <c r="F286" i="37" s="1"/>
  <c r="I286" i="37" s="1"/>
  <c r="E191" i="37"/>
  <c r="F191" i="37" s="1"/>
  <c r="I191" i="37" s="1"/>
  <c r="E169" i="37"/>
  <c r="F169" i="37" s="1"/>
  <c r="I169" i="37" s="1"/>
  <c r="E137" i="37"/>
  <c r="F137" i="37" s="1"/>
  <c r="I137" i="37" s="1"/>
  <c r="E105" i="37"/>
  <c r="F105" i="37" s="1"/>
  <c r="I105" i="37" s="1"/>
  <c r="E306" i="37"/>
  <c r="F306" i="37" s="1"/>
  <c r="I306" i="37" s="1"/>
  <c r="E255" i="37"/>
  <c r="F255" i="37" s="1"/>
  <c r="I255" i="37" s="1"/>
  <c r="E219" i="37"/>
  <c r="F219" i="37" s="1"/>
  <c r="I219" i="37" s="1"/>
  <c r="E165" i="37"/>
  <c r="F165" i="37" s="1"/>
  <c r="I165" i="37" s="1"/>
  <c r="E133" i="37"/>
  <c r="F133" i="37" s="1"/>
  <c r="I133" i="37" s="1"/>
  <c r="E101" i="37"/>
  <c r="F101" i="37" s="1"/>
  <c r="I101" i="37" s="1"/>
  <c r="E185" i="37"/>
  <c r="F185" i="37" s="1"/>
  <c r="I185" i="37" s="1"/>
  <c r="E136" i="37"/>
  <c r="F136" i="37" s="1"/>
  <c r="I136" i="37" s="1"/>
  <c r="E93" i="37"/>
  <c r="F93" i="37" s="1"/>
  <c r="I93" i="37" s="1"/>
  <c r="E92" i="37"/>
  <c r="F92" i="37" s="1"/>
  <c r="I92" i="37" s="1"/>
  <c r="E62" i="37"/>
  <c r="F62" i="37" s="1"/>
  <c r="I62" i="37" s="1"/>
  <c r="E39" i="37"/>
  <c r="F39" i="37" s="1"/>
  <c r="I39" i="37" s="1"/>
  <c r="E27" i="37"/>
  <c r="F27" i="37" s="1"/>
  <c r="I27" i="37" s="1"/>
  <c r="E15" i="37"/>
  <c r="F15" i="37" s="1"/>
  <c r="I15" i="37" s="1"/>
  <c r="E54" i="37"/>
  <c r="F54" i="37" s="1"/>
  <c r="I54" i="37" s="1"/>
  <c r="E83" i="37"/>
  <c r="F83" i="37" s="1"/>
  <c r="I83" i="37" s="1"/>
  <c r="E70" i="37"/>
  <c r="F70" i="37" s="1"/>
  <c r="I70" i="37" s="1"/>
  <c r="E11" i="37"/>
  <c r="F11" i="37" s="1"/>
  <c r="I11" i="37" s="1"/>
  <c r="E235" i="37"/>
  <c r="F235" i="37" s="1"/>
  <c r="I235" i="37" s="1"/>
  <c r="E210" i="37"/>
  <c r="F210" i="37" s="1"/>
  <c r="I210" i="37" s="1"/>
  <c r="E152" i="37"/>
  <c r="F152" i="37" s="1"/>
  <c r="I152" i="37" s="1"/>
  <c r="E86" i="37"/>
  <c r="F86" i="37" s="1"/>
  <c r="I86" i="37" s="1"/>
  <c r="E23" i="37"/>
  <c r="F23" i="37" s="1"/>
  <c r="I23" i="37" s="1"/>
  <c r="E46" i="37"/>
  <c r="F46" i="37" s="1"/>
  <c r="I46" i="37" s="1"/>
  <c r="E79" i="37"/>
  <c r="F79" i="37" s="1"/>
  <c r="I79" i="37" s="1"/>
  <c r="E22" i="37"/>
  <c r="F22" i="37" s="1"/>
  <c r="I22" i="37" s="1"/>
  <c r="E7" i="37"/>
  <c r="F7" i="37" s="1"/>
  <c r="I7" i="37" s="1"/>
  <c r="E259" i="37"/>
  <c r="F259" i="37" s="1"/>
  <c r="I259" i="37" s="1"/>
  <c r="E227" i="37"/>
  <c r="F227" i="37" s="1"/>
  <c r="I227" i="37" s="1"/>
  <c r="E168" i="37"/>
  <c r="F168" i="37" s="1"/>
  <c r="I168" i="37" s="1"/>
  <c r="E104" i="37"/>
  <c r="F104" i="37" s="1"/>
  <c r="I104" i="37" s="1"/>
  <c r="E71" i="37"/>
  <c r="F71" i="37" s="1"/>
  <c r="I71" i="37" s="1"/>
  <c r="E96" i="37"/>
  <c r="F96" i="37" s="1"/>
  <c r="I96" i="37" s="1"/>
  <c r="E78" i="37"/>
  <c r="F78" i="37" s="1"/>
  <c r="I78" i="37" s="1"/>
  <c r="E67" i="37"/>
  <c r="F67" i="37" s="1"/>
  <c r="I67" i="37" s="1"/>
  <c r="E14" i="37"/>
  <c r="F14" i="37" s="1"/>
  <c r="I14" i="37" s="1"/>
  <c r="E287" i="37"/>
  <c r="F287" i="37" s="1"/>
  <c r="I287" i="37" s="1"/>
  <c r="E222" i="37"/>
  <c r="F222" i="37" s="1"/>
  <c r="I222" i="37" s="1"/>
  <c r="E120" i="37"/>
  <c r="F120" i="37" s="1"/>
  <c r="I120" i="37" s="1"/>
  <c r="E51" i="37"/>
  <c r="F51" i="37" s="1"/>
  <c r="I51" i="37" s="1"/>
  <c r="E43" i="37"/>
  <c r="F43" i="37" s="1"/>
  <c r="I43" i="37" s="1"/>
  <c r="E19" i="37"/>
  <c r="F19" i="37" s="1"/>
  <c r="I19" i="37" s="1"/>
  <c r="E30" i="37"/>
  <c r="F30" i="37" s="1"/>
  <c r="I30" i="37" s="1"/>
  <c r="E63" i="37"/>
  <c r="F63" i="37" s="1"/>
  <c r="I63" i="37" s="1"/>
  <c r="K10" i="54"/>
  <c r="K222" i="54"/>
  <c r="K69" i="54"/>
  <c r="K254" i="54"/>
  <c r="K136" i="54"/>
  <c r="K65" i="54"/>
  <c r="K311" i="54"/>
  <c r="K137" i="54"/>
  <c r="H27" i="33"/>
  <c r="H60" i="33"/>
  <c r="H19" i="33"/>
  <c r="H11" i="33"/>
  <c r="H18" i="33"/>
  <c r="H43" i="33"/>
  <c r="H50" i="33"/>
  <c r="H10" i="33"/>
  <c r="H35" i="33"/>
  <c r="H69" i="33"/>
  <c r="H101" i="33"/>
  <c r="H93" i="33"/>
  <c r="H85" i="33"/>
  <c r="H77" i="33"/>
  <c r="H109" i="33"/>
  <c r="H137" i="33"/>
  <c r="H153" i="33"/>
  <c r="H169" i="33"/>
  <c r="H141" i="33"/>
  <c r="H145" i="33"/>
  <c r="H161" i="33"/>
  <c r="H177" i="33"/>
  <c r="H237" i="33"/>
  <c r="H205" i="33"/>
  <c r="H221" i="33"/>
  <c r="H242" i="33"/>
  <c r="H254" i="33"/>
  <c r="H229" i="33"/>
  <c r="H276" i="33"/>
  <c r="H265" i="33"/>
  <c r="H250" i="33"/>
  <c r="H285" i="33"/>
  <c r="H264" i="33"/>
  <c r="H213" i="33"/>
  <c r="H310" i="33"/>
  <c r="H309" i="33"/>
  <c r="H294" i="33"/>
  <c r="H256" i="33"/>
  <c r="H246" i="33"/>
  <c r="H244" i="33"/>
  <c r="H306" i="33"/>
  <c r="H300" i="33"/>
  <c r="H268" i="33"/>
  <c r="H257" i="33"/>
  <c r="H217" i="33"/>
  <c r="H303" i="33"/>
  <c r="H287" i="33"/>
  <c r="H271" i="33"/>
  <c r="H255" i="33"/>
  <c r="H211" i="33"/>
  <c r="H231" i="33"/>
  <c r="H155" i="33"/>
  <c r="H157" i="33"/>
  <c r="H222" i="33"/>
  <c r="H236" i="33"/>
  <c r="H220" i="33"/>
  <c r="H204" i="33"/>
  <c r="H181" i="33"/>
  <c r="H165" i="33"/>
  <c r="H149" i="33"/>
  <c r="H158" i="33"/>
  <c r="H152" i="33"/>
  <c r="H124" i="33"/>
  <c r="H82" i="33"/>
  <c r="H191" i="33"/>
  <c r="H163" i="33"/>
  <c r="H154" i="33"/>
  <c r="H147" i="33"/>
  <c r="H138" i="33"/>
  <c r="H132" i="33"/>
  <c r="H72" i="33"/>
  <c r="H185" i="33"/>
  <c r="H166" i="33"/>
  <c r="H159" i="33"/>
  <c r="H128" i="33"/>
  <c r="H112" i="33"/>
  <c r="H99" i="33"/>
  <c r="H107" i="33"/>
  <c r="H65" i="33"/>
  <c r="H24" i="33"/>
  <c r="H105" i="33"/>
  <c r="H73" i="33"/>
  <c r="H42" i="33"/>
  <c r="H29" i="33"/>
  <c r="H26" i="33"/>
  <c r="H103" i="33"/>
  <c r="H312" i="33"/>
  <c r="H302" i="33"/>
  <c r="H296" i="33"/>
  <c r="H286" i="33"/>
  <c r="H280" i="33"/>
  <c r="H270" i="33"/>
  <c r="H292" i="33"/>
  <c r="H282" i="33"/>
  <c r="H281" i="33"/>
  <c r="H266" i="33"/>
  <c r="H260" i="33"/>
  <c r="H245" i="33"/>
  <c r="H304" i="33"/>
  <c r="H272" i="33"/>
  <c r="H261" i="33"/>
  <c r="H284" i="33"/>
  <c r="H273" i="33"/>
  <c r="H258" i="33"/>
  <c r="H125" i="33"/>
  <c r="H299" i="33"/>
  <c r="H283" i="33"/>
  <c r="H267" i="33"/>
  <c r="H251" i="33"/>
  <c r="H227" i="33"/>
  <c r="H218" i="33"/>
  <c r="H212" i="33"/>
  <c r="H194" i="33"/>
  <c r="H123" i="33"/>
  <c r="H81" i="33"/>
  <c r="H215" i="33"/>
  <c r="H223" i="33"/>
  <c r="H207" i="33"/>
  <c r="H196" i="33"/>
  <c r="H173" i="33"/>
  <c r="H156" i="33"/>
  <c r="H178" i="33"/>
  <c r="H162" i="33"/>
  <c r="H146" i="33"/>
  <c r="H91" i="33"/>
  <c r="H167" i="33"/>
  <c r="H187" i="33"/>
  <c r="H184" i="33"/>
  <c r="H179" i="33"/>
  <c r="H170" i="33"/>
  <c r="H164" i="33"/>
  <c r="H148" i="33"/>
  <c r="H160" i="33"/>
  <c r="H63" i="33"/>
  <c r="H90" i="33"/>
  <c r="H53" i="33"/>
  <c r="H30" i="33"/>
  <c r="H98" i="33"/>
  <c r="H96" i="33"/>
  <c r="H64" i="33"/>
  <c r="H61" i="33"/>
  <c r="H59" i="33"/>
  <c r="H118" i="33"/>
  <c r="H116" i="33"/>
  <c r="H100" i="33"/>
  <c r="H84" i="33"/>
  <c r="H68" i="33"/>
  <c r="H193" i="33"/>
  <c r="H308" i="33"/>
  <c r="H297" i="33"/>
  <c r="H301" i="33"/>
  <c r="H248" i="33"/>
  <c r="H288" i="33"/>
  <c r="H277" i="33"/>
  <c r="H262" i="33"/>
  <c r="H289" i="33"/>
  <c r="H274" i="33"/>
  <c r="H233" i="33"/>
  <c r="H201" i="33"/>
  <c r="H311" i="33"/>
  <c r="H295" i="33"/>
  <c r="H279" i="33"/>
  <c r="H263" i="33"/>
  <c r="H247" i="33"/>
  <c r="H234" i="33"/>
  <c r="H228" i="33"/>
  <c r="H216" i="33"/>
  <c r="H171" i="33"/>
  <c r="H139" i="33"/>
  <c r="H113" i="33"/>
  <c r="H239" i="33"/>
  <c r="H230" i="33"/>
  <c r="H224" i="33"/>
  <c r="H214" i="33"/>
  <c r="H208" i="33"/>
  <c r="H172" i="33"/>
  <c r="H243" i="33"/>
  <c r="H190" i="33"/>
  <c r="H183" i="33"/>
  <c r="H174" i="33"/>
  <c r="H168" i="33"/>
  <c r="H142" i="33"/>
  <c r="H136" i="33"/>
  <c r="H131" i="33"/>
  <c r="H114" i="33"/>
  <c r="H199" i="33"/>
  <c r="H180" i="33"/>
  <c r="H104" i="33"/>
  <c r="H182" i="33"/>
  <c r="H175" i="33"/>
  <c r="H150" i="33"/>
  <c r="H143" i="33"/>
  <c r="H122" i="33"/>
  <c r="H119" i="33"/>
  <c r="H89" i="33"/>
  <c r="H80" i="33"/>
  <c r="H67" i="33"/>
  <c r="H62" i="33"/>
  <c r="H58" i="33"/>
  <c r="H97" i="33"/>
  <c r="H88" i="33"/>
  <c r="H75" i="33"/>
  <c r="H31" i="33"/>
  <c r="H22" i="33"/>
  <c r="H115" i="33"/>
  <c r="H83" i="33"/>
  <c r="H46" i="33"/>
  <c r="H111" i="33"/>
  <c r="H95" i="33"/>
  <c r="H79" i="33"/>
  <c r="H252" i="33"/>
  <c r="H291" i="33"/>
  <c r="H188" i="33"/>
  <c r="H219" i="33"/>
  <c r="H130" i="33"/>
  <c r="H151" i="33"/>
  <c r="H47" i="33"/>
  <c r="H126" i="33"/>
  <c r="H144" i="33"/>
  <c r="H127" i="33"/>
  <c r="H66" i="33"/>
  <c r="H76" i="33"/>
  <c r="H48" i="33"/>
  <c r="H38" i="33"/>
  <c r="H16" i="33"/>
  <c r="H49" i="33"/>
  <c r="H8" i="33"/>
  <c r="H313" i="33"/>
  <c r="H74" i="33"/>
  <c r="H253" i="33"/>
  <c r="H192" i="33"/>
  <c r="H275" i="33"/>
  <c r="H200" i="33"/>
  <c r="H240" i="33"/>
  <c r="H140" i="33"/>
  <c r="H232" i="33"/>
  <c r="H241" i="33"/>
  <c r="H226" i="33"/>
  <c r="H203" i="33"/>
  <c r="H195" i="33"/>
  <c r="H176" i="33"/>
  <c r="H106" i="33"/>
  <c r="H92" i="33"/>
  <c r="H71" i="33"/>
  <c r="H34" i="33"/>
  <c r="H117" i="33"/>
  <c r="H56" i="33"/>
  <c r="H55" i="33"/>
  <c r="H13" i="33"/>
  <c r="H41" i="33"/>
  <c r="H33" i="33"/>
  <c r="H25" i="33"/>
  <c r="H17" i="33"/>
  <c r="H9" i="33"/>
  <c r="H298" i="33"/>
  <c r="H278" i="33"/>
  <c r="H305" i="33"/>
  <c r="H307" i="33"/>
  <c r="H206" i="33"/>
  <c r="H238" i="33"/>
  <c r="H235" i="33"/>
  <c r="H209" i="33"/>
  <c r="H134" i="33"/>
  <c r="H108" i="33"/>
  <c r="H40" i="33"/>
  <c r="H23" i="33"/>
  <c r="H249" i="33"/>
  <c r="H269" i="33"/>
  <c r="H259" i="33"/>
  <c r="H202" i="33"/>
  <c r="H186" i="33"/>
  <c r="H135" i="33"/>
  <c r="H225" i="33"/>
  <c r="H210" i="33"/>
  <c r="H198" i="33"/>
  <c r="H120" i="33"/>
  <c r="H87" i="33"/>
  <c r="H14" i="33"/>
  <c r="H45" i="33"/>
  <c r="H57" i="33"/>
  <c r="H32" i="33"/>
  <c r="H21" i="33"/>
  <c r="H36" i="33"/>
  <c r="H28" i="33"/>
  <c r="H20" i="33"/>
  <c r="H12" i="33"/>
  <c r="H293" i="33"/>
  <c r="H290" i="33"/>
  <c r="H44" i="33"/>
  <c r="H54" i="33"/>
  <c r="H37" i="33"/>
  <c r="H52" i="33"/>
  <c r="H15" i="33"/>
  <c r="H39" i="33"/>
  <c r="H121" i="33"/>
  <c r="H94" i="33"/>
  <c r="H133" i="33"/>
  <c r="H70" i="33"/>
  <c r="H102" i="33"/>
  <c r="H129" i="33"/>
  <c r="H189" i="33"/>
  <c r="H110" i="33"/>
  <c r="H51" i="33"/>
  <c r="H7" i="33"/>
  <c r="H78" i="33"/>
  <c r="H197" i="33"/>
  <c r="H86" i="33"/>
  <c r="K11" i="33"/>
  <c r="K19" i="33"/>
  <c r="K27" i="33"/>
  <c r="K35" i="33"/>
  <c r="K43" i="33"/>
  <c r="K32" i="33"/>
  <c r="K8" i="33"/>
  <c r="K40" i="33"/>
  <c r="K52" i="33"/>
  <c r="K71" i="33"/>
  <c r="K79" i="33"/>
  <c r="K87" i="33"/>
  <c r="K95" i="33"/>
  <c r="K103" i="33"/>
  <c r="K111" i="33"/>
  <c r="K60" i="33"/>
  <c r="K23" i="33"/>
  <c r="K44" i="33"/>
  <c r="K74" i="33"/>
  <c r="K106" i="33"/>
  <c r="K66" i="33"/>
  <c r="K98" i="33"/>
  <c r="K117" i="33"/>
  <c r="K214" i="33"/>
  <c r="K230" i="33"/>
  <c r="K242" i="33"/>
  <c r="K190" i="33"/>
  <c r="K198" i="33"/>
  <c r="K134" i="33"/>
  <c r="K150" i="33"/>
  <c r="K166" i="33"/>
  <c r="K182" i="33"/>
  <c r="K202" i="33"/>
  <c r="K234" i="33"/>
  <c r="K226" i="33"/>
  <c r="K122" i="33"/>
  <c r="K210" i="33"/>
  <c r="K312" i="33"/>
  <c r="K296" i="33"/>
  <c r="K313" i="33"/>
  <c r="K292" i="33"/>
  <c r="K282" i="33"/>
  <c r="K249" i="33"/>
  <c r="K301" i="33"/>
  <c r="K253" i="33"/>
  <c r="K293" i="33"/>
  <c r="K272" i="33"/>
  <c r="K262" i="33"/>
  <c r="K305" i="33"/>
  <c r="K284" i="33"/>
  <c r="K274" i="33"/>
  <c r="K125" i="33"/>
  <c r="K238" i="33"/>
  <c r="K227" i="33"/>
  <c r="K221" i="33"/>
  <c r="K212" i="33"/>
  <c r="K123" i="33"/>
  <c r="K81" i="33"/>
  <c r="K215" i="33"/>
  <c r="K28" i="33"/>
  <c r="K233" i="33"/>
  <c r="K223" i="33"/>
  <c r="K217" i="33"/>
  <c r="K207" i="33"/>
  <c r="K201" i="33"/>
  <c r="K196" i="33"/>
  <c r="K186" i="33"/>
  <c r="K156" i="33"/>
  <c r="K209" i="33"/>
  <c r="K183" i="33"/>
  <c r="K130" i="33"/>
  <c r="K185" i="33"/>
  <c r="K167" i="33"/>
  <c r="K47" i="33"/>
  <c r="K184" i="33"/>
  <c r="K179" i="33"/>
  <c r="K173" i="33"/>
  <c r="K164" i="33"/>
  <c r="K148" i="33"/>
  <c r="K199" i="33"/>
  <c r="K160" i="33"/>
  <c r="K153" i="33"/>
  <c r="K67" i="33"/>
  <c r="K62" i="33"/>
  <c r="K58" i="33"/>
  <c r="K53" i="33"/>
  <c r="K30" i="33"/>
  <c r="K75" i="33"/>
  <c r="K127" i="33"/>
  <c r="K115" i="33"/>
  <c r="K96" i="33"/>
  <c r="K83" i="33"/>
  <c r="K64" i="33"/>
  <c r="K61" i="33"/>
  <c r="K116" i="33"/>
  <c r="K280" i="33"/>
  <c r="K308" i="33"/>
  <c r="K298" i="33"/>
  <c r="K265" i="33"/>
  <c r="K248" i="33"/>
  <c r="K278" i="33"/>
  <c r="K244" i="33"/>
  <c r="K290" i="33"/>
  <c r="K206" i="33"/>
  <c r="K237" i="33"/>
  <c r="K228" i="33"/>
  <c r="K241" i="33"/>
  <c r="K216" i="33"/>
  <c r="K171" i="33"/>
  <c r="K139" i="33"/>
  <c r="K113" i="33"/>
  <c r="K311" i="33"/>
  <c r="K303" i="33"/>
  <c r="K295" i="33"/>
  <c r="K287" i="33"/>
  <c r="K279" i="33"/>
  <c r="K271" i="33"/>
  <c r="K263" i="33"/>
  <c r="K255" i="33"/>
  <c r="K247" i="33"/>
  <c r="K239" i="33"/>
  <c r="K224" i="33"/>
  <c r="K208" i="33"/>
  <c r="K172" i="33"/>
  <c r="K177" i="33"/>
  <c r="K168" i="33"/>
  <c r="K145" i="33"/>
  <c r="K136" i="33"/>
  <c r="K131" i="33"/>
  <c r="K82" i="33"/>
  <c r="K180" i="33"/>
  <c r="K104" i="33"/>
  <c r="K195" i="33"/>
  <c r="K175" i="33"/>
  <c r="K170" i="33"/>
  <c r="K143" i="33"/>
  <c r="K138" i="33"/>
  <c r="K126" i="33"/>
  <c r="K119" i="33"/>
  <c r="K63" i="33"/>
  <c r="K89" i="33"/>
  <c r="K80" i="33"/>
  <c r="K97" i="33"/>
  <c r="K88" i="33"/>
  <c r="K24" i="33"/>
  <c r="K22" i="33"/>
  <c r="K90" i="33"/>
  <c r="K109" i="33"/>
  <c r="K101" i="33"/>
  <c r="K93" i="33"/>
  <c r="K85" i="33"/>
  <c r="K77" i="33"/>
  <c r="K69" i="33"/>
  <c r="K46" i="33"/>
  <c r="K36" i="33"/>
  <c r="K254" i="33"/>
  <c r="K281" i="33"/>
  <c r="K250" i="33"/>
  <c r="K245" i="33"/>
  <c r="K269" i="33"/>
  <c r="K264" i="33"/>
  <c r="K294" i="33"/>
  <c r="K288" i="33"/>
  <c r="K261" i="33"/>
  <c r="K243" i="33"/>
  <c r="K306" i="33"/>
  <c r="K300" i="33"/>
  <c r="K273" i="33"/>
  <c r="K252" i="33"/>
  <c r="K225" i="33"/>
  <c r="K192" i="33"/>
  <c r="K205" i="33"/>
  <c r="K200" i="33"/>
  <c r="K240" i="33"/>
  <c r="K194" i="33"/>
  <c r="K188" i="33"/>
  <c r="K140" i="33"/>
  <c r="K135" i="33"/>
  <c r="K232" i="33"/>
  <c r="K235" i="33"/>
  <c r="K229" i="33"/>
  <c r="K219" i="33"/>
  <c r="K213" i="33"/>
  <c r="K203" i="33"/>
  <c r="K178" i="33"/>
  <c r="K162" i="33"/>
  <c r="K146" i="33"/>
  <c r="K151" i="33"/>
  <c r="K158" i="33"/>
  <c r="K142" i="33"/>
  <c r="K120" i="33"/>
  <c r="K191" i="33"/>
  <c r="K176" i="33"/>
  <c r="K169" i="33"/>
  <c r="K144" i="33"/>
  <c r="K137" i="33"/>
  <c r="K99" i="33"/>
  <c r="K107" i="33"/>
  <c r="K42" i="33"/>
  <c r="K108" i="33"/>
  <c r="K92" i="33"/>
  <c r="K76" i="33"/>
  <c r="K55" i="33"/>
  <c r="K54" i="33"/>
  <c r="K48" i="33"/>
  <c r="K286" i="33"/>
  <c r="K297" i="33"/>
  <c r="K266" i="33"/>
  <c r="K260" i="33"/>
  <c r="K277" i="33"/>
  <c r="K246" i="33"/>
  <c r="K258" i="33"/>
  <c r="K222" i="33"/>
  <c r="K211" i="33"/>
  <c r="K231" i="33"/>
  <c r="K307" i="33"/>
  <c r="K275" i="33"/>
  <c r="K204" i="33"/>
  <c r="K193" i="33"/>
  <c r="K181" i="33"/>
  <c r="K141" i="33"/>
  <c r="K72" i="33"/>
  <c r="K154" i="33"/>
  <c r="K73" i="33"/>
  <c r="K68" i="33"/>
  <c r="K34" i="33"/>
  <c r="K118" i="33"/>
  <c r="K59" i="33"/>
  <c r="K13" i="33"/>
  <c r="K12" i="33"/>
  <c r="K41" i="33"/>
  <c r="K33" i="33"/>
  <c r="K25" i="33"/>
  <c r="K17" i="33"/>
  <c r="K9" i="33"/>
  <c r="K56" i="33"/>
  <c r="K49" i="33"/>
  <c r="K302" i="33"/>
  <c r="K285" i="33"/>
  <c r="K310" i="33"/>
  <c r="K304" i="33"/>
  <c r="K289" i="33"/>
  <c r="K299" i="33"/>
  <c r="K267" i="33"/>
  <c r="K161" i="33"/>
  <c r="K114" i="33"/>
  <c r="K174" i="33"/>
  <c r="K163" i="33"/>
  <c r="K128" i="33"/>
  <c r="K65" i="33"/>
  <c r="K84" i="33"/>
  <c r="K16" i="33"/>
  <c r="K14" i="33"/>
  <c r="K50" i="33"/>
  <c r="K45" i="33"/>
  <c r="K57" i="33"/>
  <c r="K18" i="33"/>
  <c r="K21" i="33"/>
  <c r="K20" i="33"/>
  <c r="K270" i="33"/>
  <c r="K276" i="33"/>
  <c r="K309" i="33"/>
  <c r="K256" i="33"/>
  <c r="K251" i="33"/>
  <c r="K218" i="33"/>
  <c r="K157" i="33"/>
  <c r="K257" i="33"/>
  <c r="K291" i="33"/>
  <c r="K259" i="33"/>
  <c r="K236" i="33"/>
  <c r="K149" i="33"/>
  <c r="K91" i="33"/>
  <c r="K124" i="33"/>
  <c r="K147" i="33"/>
  <c r="K132" i="33"/>
  <c r="K187" i="33"/>
  <c r="K112" i="33"/>
  <c r="K105" i="33"/>
  <c r="K29" i="33"/>
  <c r="K100" i="33"/>
  <c r="K37" i="33"/>
  <c r="K10" i="33"/>
  <c r="K26" i="33"/>
  <c r="K268" i="33"/>
  <c r="K155" i="33"/>
  <c r="K283" i="33"/>
  <c r="K220" i="33"/>
  <c r="K165" i="33"/>
  <c r="K152" i="33"/>
  <c r="K159" i="33"/>
  <c r="K31" i="33"/>
  <c r="K38" i="33"/>
  <c r="K78" i="33"/>
  <c r="K51" i="33"/>
  <c r="K133" i="33"/>
  <c r="K86" i="33"/>
  <c r="K129" i="33"/>
  <c r="K189" i="33"/>
  <c r="K15" i="33"/>
  <c r="K39" i="33"/>
  <c r="K197" i="33"/>
  <c r="K94" i="33"/>
  <c r="K70" i="33"/>
  <c r="K102" i="33"/>
  <c r="K121" i="33"/>
  <c r="K110" i="33"/>
  <c r="K7" i="33"/>
  <c r="J12" i="33"/>
  <c r="J20" i="33"/>
  <c r="J28" i="33"/>
  <c r="J36" i="33"/>
  <c r="J25" i="33"/>
  <c r="J49" i="33"/>
  <c r="J57" i="33"/>
  <c r="J17" i="33"/>
  <c r="J52" i="33"/>
  <c r="J8" i="33"/>
  <c r="J9" i="33"/>
  <c r="J40" i="33"/>
  <c r="J116" i="33"/>
  <c r="J33" i="33"/>
  <c r="J45" i="33"/>
  <c r="J71" i="33"/>
  <c r="J79" i="33"/>
  <c r="J87" i="33"/>
  <c r="J95" i="33"/>
  <c r="J103" i="33"/>
  <c r="J111" i="33"/>
  <c r="J32" i="33"/>
  <c r="J117" i="33"/>
  <c r="J41" i="33"/>
  <c r="J56" i="33"/>
  <c r="J83" i="33"/>
  <c r="J115" i="33"/>
  <c r="J118" i="33"/>
  <c r="J167" i="33"/>
  <c r="J75" i="33"/>
  <c r="J107" i="33"/>
  <c r="J185" i="33"/>
  <c r="J187" i="33"/>
  <c r="J195" i="33"/>
  <c r="J207" i="33"/>
  <c r="J223" i="33"/>
  <c r="J239" i="33"/>
  <c r="J243" i="33"/>
  <c r="J211" i="33"/>
  <c r="J227" i="33"/>
  <c r="J127" i="33"/>
  <c r="J203" i="33"/>
  <c r="J235" i="33"/>
  <c r="J191" i="33"/>
  <c r="J199" i="33"/>
  <c r="J143" i="33"/>
  <c r="J159" i="33"/>
  <c r="J175" i="33"/>
  <c r="J219" i="33"/>
  <c r="J302" i="33"/>
  <c r="J313" i="33"/>
  <c r="J282" i="33"/>
  <c r="J266" i="33"/>
  <c r="J265" i="33"/>
  <c r="J260" i="33"/>
  <c r="J231" i="33"/>
  <c r="J269" i="33"/>
  <c r="J253" i="33"/>
  <c r="J304" i="33"/>
  <c r="J293" i="33"/>
  <c r="J288" i="33"/>
  <c r="J244" i="33"/>
  <c r="J305" i="33"/>
  <c r="J258" i="33"/>
  <c r="J252" i="33"/>
  <c r="J225" i="33"/>
  <c r="J192" i="33"/>
  <c r="J218" i="33"/>
  <c r="J205" i="33"/>
  <c r="J194" i="33"/>
  <c r="J123" i="33"/>
  <c r="J200" i="33"/>
  <c r="J240" i="33"/>
  <c r="J188" i="33"/>
  <c r="J140" i="33"/>
  <c r="J232" i="33"/>
  <c r="J299" i="33"/>
  <c r="J283" i="33"/>
  <c r="J267" i="33"/>
  <c r="J251" i="33"/>
  <c r="J229" i="33"/>
  <c r="J213" i="33"/>
  <c r="J178" i="33"/>
  <c r="J162" i="33"/>
  <c r="J146" i="33"/>
  <c r="J114" i="33"/>
  <c r="J170" i="33"/>
  <c r="J151" i="33"/>
  <c r="J120" i="33"/>
  <c r="J176" i="33"/>
  <c r="J169" i="33"/>
  <c r="J163" i="33"/>
  <c r="J144" i="33"/>
  <c r="J137" i="33"/>
  <c r="J63" i="33"/>
  <c r="J62" i="33"/>
  <c r="J53" i="33"/>
  <c r="J31" i="33"/>
  <c r="J24" i="33"/>
  <c r="J96" i="33"/>
  <c r="J64" i="33"/>
  <c r="J42" i="33"/>
  <c r="J55" i="33"/>
  <c r="J281" i="33"/>
  <c r="J276" i="33"/>
  <c r="J245" i="33"/>
  <c r="J285" i="33"/>
  <c r="J310" i="33"/>
  <c r="J309" i="33"/>
  <c r="J262" i="33"/>
  <c r="J261" i="33"/>
  <c r="J256" i="33"/>
  <c r="J274" i="33"/>
  <c r="J268" i="33"/>
  <c r="J257" i="33"/>
  <c r="J234" i="33"/>
  <c r="J171" i="33"/>
  <c r="J139" i="33"/>
  <c r="J230" i="33"/>
  <c r="J214" i="33"/>
  <c r="J311" i="33"/>
  <c r="J295" i="33"/>
  <c r="J279" i="33"/>
  <c r="J263" i="33"/>
  <c r="J247" i="33"/>
  <c r="J236" i="33"/>
  <c r="J220" i="33"/>
  <c r="J204" i="33"/>
  <c r="J193" i="33"/>
  <c r="J190" i="33"/>
  <c r="J181" i="33"/>
  <c r="J165" i="33"/>
  <c r="J149" i="33"/>
  <c r="J174" i="33"/>
  <c r="J161" i="33"/>
  <c r="J152" i="33"/>
  <c r="J142" i="33"/>
  <c r="J124" i="33"/>
  <c r="J47" i="33"/>
  <c r="J157" i="33"/>
  <c r="J141" i="33"/>
  <c r="J132" i="33"/>
  <c r="J104" i="33"/>
  <c r="J184" i="33"/>
  <c r="J182" i="33"/>
  <c r="J150" i="33"/>
  <c r="J128" i="33"/>
  <c r="J122" i="33"/>
  <c r="J80" i="33"/>
  <c r="J88" i="33"/>
  <c r="J66" i="33"/>
  <c r="J65" i="33"/>
  <c r="J106" i="33"/>
  <c r="J105" i="33"/>
  <c r="J74" i="33"/>
  <c r="J73" i="33"/>
  <c r="J38" i="33"/>
  <c r="J312" i="33"/>
  <c r="J296" i="33"/>
  <c r="J286" i="33"/>
  <c r="J298" i="33"/>
  <c r="J292" i="33"/>
  <c r="J249" i="33"/>
  <c r="J215" i="33"/>
  <c r="J301" i="33"/>
  <c r="J278" i="33"/>
  <c r="J272" i="33"/>
  <c r="J290" i="33"/>
  <c r="J289" i="33"/>
  <c r="J284" i="33"/>
  <c r="J273" i="33"/>
  <c r="J125" i="33"/>
  <c r="J221" i="33"/>
  <c r="J212" i="33"/>
  <c r="J202" i="33"/>
  <c r="J186" i="33"/>
  <c r="J81" i="33"/>
  <c r="J206" i="33"/>
  <c r="J233" i="33"/>
  <c r="J217" i="33"/>
  <c r="J201" i="33"/>
  <c r="J196" i="33"/>
  <c r="J156" i="33"/>
  <c r="J135" i="33"/>
  <c r="J238" i="33"/>
  <c r="J209" i="33"/>
  <c r="J307" i="33"/>
  <c r="J291" i="33"/>
  <c r="J275" i="33"/>
  <c r="J259" i="33"/>
  <c r="J242" i="33"/>
  <c r="J226" i="33"/>
  <c r="J210" i="33"/>
  <c r="J198" i="33"/>
  <c r="J130" i="33"/>
  <c r="J91" i="33"/>
  <c r="J82" i="33"/>
  <c r="J60" i="33"/>
  <c r="J173" i="33"/>
  <c r="J164" i="33"/>
  <c r="J148" i="33"/>
  <c r="J126" i="33"/>
  <c r="J179" i="33"/>
  <c r="J160" i="33"/>
  <c r="J153" i="33"/>
  <c r="J147" i="33"/>
  <c r="J134" i="33"/>
  <c r="J58" i="33"/>
  <c r="J30" i="33"/>
  <c r="J99" i="33"/>
  <c r="J67" i="33"/>
  <c r="J61" i="33"/>
  <c r="J29" i="33"/>
  <c r="J270" i="33"/>
  <c r="J264" i="33"/>
  <c r="J237" i="33"/>
  <c r="J155" i="33"/>
  <c r="J303" i="33"/>
  <c r="J177" i="33"/>
  <c r="J154" i="33"/>
  <c r="J131" i="33"/>
  <c r="J93" i="33"/>
  <c r="J59" i="33"/>
  <c r="J44" i="33"/>
  <c r="J16" i="33"/>
  <c r="J108" i="33"/>
  <c r="J76" i="33"/>
  <c r="J10" i="33"/>
  <c r="J26" i="33"/>
  <c r="J21" i="33"/>
  <c r="J97" i="33"/>
  <c r="J13" i="33"/>
  <c r="J254" i="33"/>
  <c r="J308" i="33"/>
  <c r="J297" i="33"/>
  <c r="J250" i="33"/>
  <c r="J277" i="33"/>
  <c r="J246" i="33"/>
  <c r="J183" i="33"/>
  <c r="J300" i="33"/>
  <c r="J216" i="33"/>
  <c r="J224" i="33"/>
  <c r="J172" i="33"/>
  <c r="J287" i="33"/>
  <c r="J145" i="33"/>
  <c r="J138" i="33"/>
  <c r="J72" i="33"/>
  <c r="J166" i="33"/>
  <c r="J90" i="33"/>
  <c r="J22" i="33"/>
  <c r="J85" i="33"/>
  <c r="J84" i="33"/>
  <c r="J37" i="33"/>
  <c r="J23" i="33"/>
  <c r="J136" i="33"/>
  <c r="J180" i="33"/>
  <c r="J112" i="33"/>
  <c r="J69" i="33"/>
  <c r="J14" i="33"/>
  <c r="J100" i="33"/>
  <c r="J68" i="33"/>
  <c r="J50" i="33"/>
  <c r="J18" i="33"/>
  <c r="J280" i="33"/>
  <c r="J294" i="33"/>
  <c r="J306" i="33"/>
  <c r="J228" i="33"/>
  <c r="J113" i="33"/>
  <c r="J208" i="33"/>
  <c r="J222" i="33"/>
  <c r="J271" i="33"/>
  <c r="J168" i="33"/>
  <c r="J158" i="33"/>
  <c r="J89" i="33"/>
  <c r="J98" i="33"/>
  <c r="J109" i="33"/>
  <c r="J77" i="33"/>
  <c r="J46" i="33"/>
  <c r="J54" i="33"/>
  <c r="J34" i="33"/>
  <c r="J92" i="33"/>
  <c r="J43" i="33"/>
  <c r="J35" i="33"/>
  <c r="J27" i="33"/>
  <c r="J19" i="33"/>
  <c r="J11" i="33"/>
  <c r="J248" i="33"/>
  <c r="J241" i="33"/>
  <c r="J255" i="33"/>
  <c r="J119" i="33"/>
  <c r="J101" i="33"/>
  <c r="J48" i="33"/>
  <c r="J7" i="33"/>
  <c r="J197" i="33"/>
  <c r="J94" i="33"/>
  <c r="J70" i="33"/>
  <c r="J102" i="33"/>
  <c r="J121" i="33"/>
  <c r="J110" i="33"/>
  <c r="J39" i="33"/>
  <c r="J15" i="33"/>
  <c r="J78" i="33"/>
  <c r="J51" i="33"/>
  <c r="J133" i="33"/>
  <c r="J86" i="33"/>
  <c r="J129" i="33"/>
  <c r="J189" i="33"/>
  <c r="G12" i="33"/>
  <c r="G19" i="33"/>
  <c r="G52" i="33"/>
  <c r="G11" i="33"/>
  <c r="G36" i="33"/>
  <c r="G43" i="33"/>
  <c r="G27" i="33"/>
  <c r="G28" i="33"/>
  <c r="G35" i="33"/>
  <c r="G56" i="33"/>
  <c r="G60" i="33"/>
  <c r="G20" i="33"/>
  <c r="G48" i="33"/>
  <c r="G122" i="33"/>
  <c r="G134" i="33"/>
  <c r="G150" i="33"/>
  <c r="G166" i="33"/>
  <c r="G182" i="33"/>
  <c r="G138" i="33"/>
  <c r="G154" i="33"/>
  <c r="G170" i="33"/>
  <c r="G186" i="33"/>
  <c r="G194" i="33"/>
  <c r="G202" i="33"/>
  <c r="G218" i="33"/>
  <c r="G234" i="33"/>
  <c r="G230" i="33"/>
  <c r="G243" i="33"/>
  <c r="G126" i="33"/>
  <c r="G214" i="33"/>
  <c r="G280" i="33"/>
  <c r="G308" i="33"/>
  <c r="G298" i="33"/>
  <c r="G269" i="33"/>
  <c r="G248" i="33"/>
  <c r="G278" i="33"/>
  <c r="G290" i="33"/>
  <c r="G289" i="33"/>
  <c r="G273" i="33"/>
  <c r="G237" i="33"/>
  <c r="G228" i="33"/>
  <c r="G195" i="33"/>
  <c r="G241" i="33"/>
  <c r="G216" i="33"/>
  <c r="G171" i="33"/>
  <c r="G139" i="33"/>
  <c r="G113" i="33"/>
  <c r="G307" i="33"/>
  <c r="G299" i="33"/>
  <c r="G291" i="33"/>
  <c r="G283" i="33"/>
  <c r="G275" i="33"/>
  <c r="G267" i="33"/>
  <c r="G259" i="33"/>
  <c r="G251" i="33"/>
  <c r="G239" i="33"/>
  <c r="G224" i="33"/>
  <c r="G208" i="33"/>
  <c r="G172" i="33"/>
  <c r="G177" i="33"/>
  <c r="G168" i="33"/>
  <c r="G145" i="33"/>
  <c r="G136" i="33"/>
  <c r="G131" i="33"/>
  <c r="G180" i="33"/>
  <c r="G104" i="33"/>
  <c r="G175" i="33"/>
  <c r="G174" i="33"/>
  <c r="G143" i="33"/>
  <c r="G142" i="33"/>
  <c r="G119" i="33"/>
  <c r="G99" i="33"/>
  <c r="G90" i="33"/>
  <c r="G89" i="33"/>
  <c r="G80" i="33"/>
  <c r="G107" i="33"/>
  <c r="G98" i="33"/>
  <c r="G97" i="33"/>
  <c r="G88" i="33"/>
  <c r="G22" i="33"/>
  <c r="G109" i="33"/>
  <c r="G101" i="33"/>
  <c r="G93" i="33"/>
  <c r="G85" i="33"/>
  <c r="G77" i="33"/>
  <c r="G69" i="33"/>
  <c r="G59" i="33"/>
  <c r="G46" i="33"/>
  <c r="G44" i="33"/>
  <c r="G254" i="33"/>
  <c r="G297" i="33"/>
  <c r="G250" i="33"/>
  <c r="G264" i="33"/>
  <c r="G309" i="33"/>
  <c r="G294" i="33"/>
  <c r="G288" i="33"/>
  <c r="G277" i="33"/>
  <c r="G244" i="33"/>
  <c r="G226" i="33"/>
  <c r="G198" i="33"/>
  <c r="G306" i="33"/>
  <c r="G300" i="33"/>
  <c r="G257" i="33"/>
  <c r="G252" i="33"/>
  <c r="G238" i="33"/>
  <c r="G225" i="33"/>
  <c r="G192" i="33"/>
  <c r="G205" i="33"/>
  <c r="G200" i="33"/>
  <c r="G240" i="33"/>
  <c r="G188" i="33"/>
  <c r="G140" i="33"/>
  <c r="G135" i="33"/>
  <c r="G232" i="33"/>
  <c r="G235" i="33"/>
  <c r="G229" i="33"/>
  <c r="G219" i="33"/>
  <c r="G213" i="33"/>
  <c r="G203" i="33"/>
  <c r="G191" i="33"/>
  <c r="G178" i="33"/>
  <c r="G162" i="33"/>
  <c r="G146" i="33"/>
  <c r="G91" i="33"/>
  <c r="G151" i="33"/>
  <c r="G114" i="33"/>
  <c r="G120" i="33"/>
  <c r="G176" i="33"/>
  <c r="G169" i="33"/>
  <c r="G144" i="33"/>
  <c r="G137" i="33"/>
  <c r="G31" i="33"/>
  <c r="G118" i="33"/>
  <c r="G61" i="33"/>
  <c r="G42" i="33"/>
  <c r="G117" i="33"/>
  <c r="G55" i="33"/>
  <c r="G108" i="33"/>
  <c r="G92" i="33"/>
  <c r="G76" i="33"/>
  <c r="G54" i="33"/>
  <c r="G302" i="33"/>
  <c r="G286" i="33"/>
  <c r="G270" i="33"/>
  <c r="G313" i="33"/>
  <c r="G281" i="33"/>
  <c r="G276" i="33"/>
  <c r="G266" i="33"/>
  <c r="G265" i="33"/>
  <c r="G260" i="33"/>
  <c r="G245" i="33"/>
  <c r="G285" i="33"/>
  <c r="G253" i="33"/>
  <c r="G310" i="33"/>
  <c r="G304" i="33"/>
  <c r="G293" i="33"/>
  <c r="G261" i="33"/>
  <c r="G256" i="33"/>
  <c r="G246" i="33"/>
  <c r="G190" i="33"/>
  <c r="G305" i="33"/>
  <c r="G268" i="33"/>
  <c r="G258" i="33"/>
  <c r="G211" i="33"/>
  <c r="G187" i="33"/>
  <c r="G231" i="33"/>
  <c r="G155" i="33"/>
  <c r="G311" i="33"/>
  <c r="G303" i="33"/>
  <c r="G295" i="33"/>
  <c r="G287" i="33"/>
  <c r="G279" i="33"/>
  <c r="G271" i="33"/>
  <c r="G263" i="33"/>
  <c r="G255" i="33"/>
  <c r="G247" i="33"/>
  <c r="G236" i="33"/>
  <c r="G220" i="33"/>
  <c r="G204" i="33"/>
  <c r="G199" i="33"/>
  <c r="G193" i="33"/>
  <c r="G183" i="33"/>
  <c r="G181" i="33"/>
  <c r="G165" i="33"/>
  <c r="G149" i="33"/>
  <c r="G161" i="33"/>
  <c r="G152" i="33"/>
  <c r="G124" i="33"/>
  <c r="G47" i="33"/>
  <c r="G163" i="33"/>
  <c r="G157" i="33"/>
  <c r="G147" i="33"/>
  <c r="G141" i="33"/>
  <c r="G132" i="33"/>
  <c r="G127" i="33"/>
  <c r="G72" i="33"/>
  <c r="G159" i="33"/>
  <c r="G158" i="33"/>
  <c r="G128" i="33"/>
  <c r="G112" i="33"/>
  <c r="G67" i="33"/>
  <c r="G75" i="33"/>
  <c r="G66" i="33"/>
  <c r="G65" i="33"/>
  <c r="G115" i="33"/>
  <c r="G106" i="33"/>
  <c r="G105" i="33"/>
  <c r="G83" i="33"/>
  <c r="G74" i="33"/>
  <c r="G73" i="33"/>
  <c r="G29" i="33"/>
  <c r="G38" i="33"/>
  <c r="G312" i="33"/>
  <c r="G301" i="33"/>
  <c r="G210" i="33"/>
  <c r="G217" i="33"/>
  <c r="G206" i="33"/>
  <c r="G179" i="33"/>
  <c r="G164" i="33"/>
  <c r="G58" i="33"/>
  <c r="G24" i="33"/>
  <c r="G116" i="33"/>
  <c r="G84" i="33"/>
  <c r="G14" i="33"/>
  <c r="G95" i="33"/>
  <c r="G50" i="33"/>
  <c r="G45" i="33"/>
  <c r="G57" i="33"/>
  <c r="G18" i="33"/>
  <c r="G21" i="33"/>
  <c r="G209" i="33"/>
  <c r="G68" i="33"/>
  <c r="G87" i="33"/>
  <c r="G41" i="33"/>
  <c r="G25" i="33"/>
  <c r="G9" i="33"/>
  <c r="G222" i="33"/>
  <c r="G221" i="33"/>
  <c r="G81" i="33"/>
  <c r="G201" i="33"/>
  <c r="G130" i="33"/>
  <c r="G148" i="33"/>
  <c r="G153" i="33"/>
  <c r="G63" i="33"/>
  <c r="G53" i="33"/>
  <c r="G64" i="33"/>
  <c r="G100" i="33"/>
  <c r="G103" i="33"/>
  <c r="G71" i="33"/>
  <c r="G37" i="33"/>
  <c r="G10" i="33"/>
  <c r="G32" i="33"/>
  <c r="G26" i="33"/>
  <c r="G249" i="33"/>
  <c r="G274" i="33"/>
  <c r="G227" i="33"/>
  <c r="G167" i="33"/>
  <c r="G34" i="33"/>
  <c r="G8" i="33"/>
  <c r="G33" i="33"/>
  <c r="G292" i="33"/>
  <c r="G272" i="33"/>
  <c r="G284" i="33"/>
  <c r="G125" i="33"/>
  <c r="G215" i="33"/>
  <c r="G223" i="33"/>
  <c r="G196" i="33"/>
  <c r="G82" i="33"/>
  <c r="G184" i="33"/>
  <c r="G173" i="33"/>
  <c r="G160" i="33"/>
  <c r="G62" i="33"/>
  <c r="G111" i="33"/>
  <c r="G79" i="33"/>
  <c r="G49" i="33"/>
  <c r="G40" i="33"/>
  <c r="G23" i="33"/>
  <c r="G296" i="33"/>
  <c r="G282" i="33"/>
  <c r="G262" i="33"/>
  <c r="G242" i="33"/>
  <c r="G212" i="33"/>
  <c r="G123" i="33"/>
  <c r="G233" i="33"/>
  <c r="G207" i="33"/>
  <c r="G156" i="33"/>
  <c r="G185" i="33"/>
  <c r="G30" i="33"/>
  <c r="G96" i="33"/>
  <c r="G16" i="33"/>
  <c r="G13" i="33"/>
  <c r="G17" i="33"/>
  <c r="G121" i="33"/>
  <c r="G15" i="33"/>
  <c r="G70" i="33"/>
  <c r="G39" i="33"/>
  <c r="G7" i="33"/>
  <c r="G78" i="33"/>
  <c r="G197" i="33"/>
  <c r="G51" i="33"/>
  <c r="G86" i="33"/>
  <c r="G94" i="33"/>
  <c r="G129" i="33"/>
  <c r="G189" i="33"/>
  <c r="G110" i="33"/>
  <c r="G133" i="33"/>
  <c r="G102" i="33"/>
  <c r="I17" i="33"/>
  <c r="I9" i="33"/>
  <c r="I41" i="33"/>
  <c r="I33" i="33"/>
  <c r="I18" i="33"/>
  <c r="I25" i="33"/>
  <c r="I54" i="33"/>
  <c r="I57" i="33"/>
  <c r="I118" i="33"/>
  <c r="I26" i="33"/>
  <c r="I46" i="33"/>
  <c r="I59" i="33"/>
  <c r="I84" i="33"/>
  <c r="I116" i="33"/>
  <c r="I76" i="33"/>
  <c r="I108" i="33"/>
  <c r="I68" i="33"/>
  <c r="I100" i="33"/>
  <c r="I127" i="33"/>
  <c r="I49" i="33"/>
  <c r="I128" i="33"/>
  <c r="I144" i="33"/>
  <c r="I160" i="33"/>
  <c r="I176" i="33"/>
  <c r="I92" i="33"/>
  <c r="I120" i="33"/>
  <c r="I132" i="33"/>
  <c r="I148" i="33"/>
  <c r="I164" i="33"/>
  <c r="I180" i="33"/>
  <c r="I187" i="33"/>
  <c r="I191" i="33"/>
  <c r="I195" i="33"/>
  <c r="I199" i="33"/>
  <c r="I124" i="33"/>
  <c r="I184" i="33"/>
  <c r="I287" i="33"/>
  <c r="I212" i="33"/>
  <c r="I228" i="33"/>
  <c r="I251" i="33"/>
  <c r="I255" i="33"/>
  <c r="I267" i="33"/>
  <c r="I295" i="33"/>
  <c r="I299" i="33"/>
  <c r="I307" i="33"/>
  <c r="I311" i="33"/>
  <c r="I188" i="33"/>
  <c r="I136" i="33"/>
  <c r="I152" i="33"/>
  <c r="I168" i="33"/>
  <c r="I247" i="33"/>
  <c r="I263" i="33"/>
  <c r="I283" i="33"/>
  <c r="I303" i="33"/>
  <c r="I312" i="33"/>
  <c r="I296" i="33"/>
  <c r="I280" i="33"/>
  <c r="I298" i="33"/>
  <c r="I297" i="33"/>
  <c r="I292" i="33"/>
  <c r="I249" i="33"/>
  <c r="I196" i="33"/>
  <c r="I278" i="33"/>
  <c r="I277" i="33"/>
  <c r="I272" i="33"/>
  <c r="I262" i="33"/>
  <c r="I236" i="33"/>
  <c r="I204" i="33"/>
  <c r="I284" i="33"/>
  <c r="I279" i="33"/>
  <c r="I125" i="33"/>
  <c r="I221" i="33"/>
  <c r="I202" i="33"/>
  <c r="I186" i="33"/>
  <c r="I259" i="33"/>
  <c r="I206" i="33"/>
  <c r="I233" i="33"/>
  <c r="I217" i="33"/>
  <c r="I201" i="33"/>
  <c r="I140" i="33"/>
  <c r="I135" i="33"/>
  <c r="I238" i="33"/>
  <c r="I209" i="33"/>
  <c r="I242" i="33"/>
  <c r="I235" i="33"/>
  <c r="I226" i="33"/>
  <c r="I219" i="33"/>
  <c r="I210" i="33"/>
  <c r="I203" i="33"/>
  <c r="I198" i="33"/>
  <c r="I192" i="33"/>
  <c r="I130" i="33"/>
  <c r="I151" i="33"/>
  <c r="I82" i="33"/>
  <c r="I173" i="33"/>
  <c r="I126" i="33"/>
  <c r="I104" i="33"/>
  <c r="I153" i="33"/>
  <c r="I134" i="33"/>
  <c r="I80" i="33"/>
  <c r="I88" i="33"/>
  <c r="I254" i="33"/>
  <c r="I313" i="33"/>
  <c r="I308" i="33"/>
  <c r="I265" i="33"/>
  <c r="I250" i="33"/>
  <c r="I224" i="33"/>
  <c r="I285" i="33"/>
  <c r="I269" i="33"/>
  <c r="I264" i="33"/>
  <c r="I253" i="33"/>
  <c r="I248" i="33"/>
  <c r="I294" i="33"/>
  <c r="I293" i="33"/>
  <c r="I288" i="33"/>
  <c r="I306" i="33"/>
  <c r="I305" i="33"/>
  <c r="I300" i="33"/>
  <c r="I290" i="33"/>
  <c r="I275" i="33"/>
  <c r="I237" i="33"/>
  <c r="I211" i="33"/>
  <c r="I241" i="33"/>
  <c r="I231" i="33"/>
  <c r="I155" i="33"/>
  <c r="I222" i="33"/>
  <c r="I232" i="33"/>
  <c r="I216" i="33"/>
  <c r="I200" i="33"/>
  <c r="I177" i="33"/>
  <c r="I158" i="33"/>
  <c r="I145" i="33"/>
  <c r="I163" i="33"/>
  <c r="I154" i="33"/>
  <c r="I147" i="33"/>
  <c r="I138" i="33"/>
  <c r="I166" i="33"/>
  <c r="I159" i="33"/>
  <c r="I99" i="33"/>
  <c r="I90" i="33"/>
  <c r="I58" i="33"/>
  <c r="I107" i="33"/>
  <c r="I98" i="33"/>
  <c r="I65" i="33"/>
  <c r="I24" i="33"/>
  <c r="I105" i="33"/>
  <c r="I73" i="33"/>
  <c r="I44" i="33"/>
  <c r="I29" i="33"/>
  <c r="I103" i="33"/>
  <c r="I87" i="33"/>
  <c r="I71" i="33"/>
  <c r="I48" i="33"/>
  <c r="I38" i="33"/>
  <c r="I270" i="33"/>
  <c r="I266" i="33"/>
  <c r="I260" i="33"/>
  <c r="I310" i="33"/>
  <c r="I309" i="33"/>
  <c r="I304" i="33"/>
  <c r="I246" i="33"/>
  <c r="I220" i="33"/>
  <c r="I258" i="33"/>
  <c r="I257" i="33"/>
  <c r="I252" i="33"/>
  <c r="I225" i="33"/>
  <c r="I227" i="33"/>
  <c r="I218" i="33"/>
  <c r="I205" i="33"/>
  <c r="I194" i="33"/>
  <c r="I123" i="33"/>
  <c r="I81" i="33"/>
  <c r="I215" i="33"/>
  <c r="I223" i="33"/>
  <c r="I207" i="33"/>
  <c r="I156" i="33"/>
  <c r="I229" i="33"/>
  <c r="I213" i="33"/>
  <c r="I178" i="33"/>
  <c r="I162" i="33"/>
  <c r="I146" i="33"/>
  <c r="I91" i="33"/>
  <c r="I167" i="33"/>
  <c r="I114" i="33"/>
  <c r="I185" i="33"/>
  <c r="I179" i="33"/>
  <c r="I170" i="33"/>
  <c r="I72" i="33"/>
  <c r="I169" i="33"/>
  <c r="I137" i="33"/>
  <c r="I63" i="33"/>
  <c r="I112" i="33"/>
  <c r="I30" i="33"/>
  <c r="I31" i="33"/>
  <c r="I61" i="33"/>
  <c r="I55" i="33"/>
  <c r="I117" i="33"/>
  <c r="I282" i="33"/>
  <c r="I245" i="33"/>
  <c r="I289" i="33"/>
  <c r="I274" i="33"/>
  <c r="I230" i="33"/>
  <c r="I243" i="33"/>
  <c r="I161" i="33"/>
  <c r="I119" i="33"/>
  <c r="I97" i="33"/>
  <c r="I106" i="33"/>
  <c r="I96" i="33"/>
  <c r="I85" i="33"/>
  <c r="I45" i="33"/>
  <c r="I37" i="33"/>
  <c r="I52" i="33"/>
  <c r="I40" i="33"/>
  <c r="I43" i="33"/>
  <c r="I35" i="33"/>
  <c r="I27" i="33"/>
  <c r="I19" i="33"/>
  <c r="I11" i="33"/>
  <c r="I14" i="33"/>
  <c r="I23" i="33"/>
  <c r="I286" i="33"/>
  <c r="I281" i="33"/>
  <c r="I240" i="33"/>
  <c r="I261" i="33"/>
  <c r="I273" i="33"/>
  <c r="I234" i="33"/>
  <c r="I139" i="33"/>
  <c r="I214" i="33"/>
  <c r="I190" i="33"/>
  <c r="I149" i="33"/>
  <c r="I174" i="33"/>
  <c r="I131" i="33"/>
  <c r="I143" i="33"/>
  <c r="I67" i="33"/>
  <c r="I83" i="33"/>
  <c r="I42" i="33"/>
  <c r="I111" i="33"/>
  <c r="I16" i="33"/>
  <c r="I93" i="33"/>
  <c r="I60" i="33"/>
  <c r="I8" i="33"/>
  <c r="I113" i="33"/>
  <c r="I181" i="33"/>
  <c r="I62" i="33"/>
  <c r="I66" i="33"/>
  <c r="I115" i="33"/>
  <c r="I20" i="33"/>
  <c r="I12" i="33"/>
  <c r="I302" i="33"/>
  <c r="I276" i="33"/>
  <c r="I208" i="33"/>
  <c r="I256" i="33"/>
  <c r="I244" i="33"/>
  <c r="I268" i="33"/>
  <c r="I291" i="33"/>
  <c r="I271" i="33"/>
  <c r="I171" i="33"/>
  <c r="I239" i="33"/>
  <c r="I172" i="33"/>
  <c r="I183" i="33"/>
  <c r="I165" i="33"/>
  <c r="I142" i="33"/>
  <c r="I157" i="33"/>
  <c r="I175" i="33"/>
  <c r="I150" i="33"/>
  <c r="I122" i="33"/>
  <c r="I53" i="33"/>
  <c r="I75" i="33"/>
  <c r="I22" i="33"/>
  <c r="I74" i="33"/>
  <c r="I64" i="33"/>
  <c r="I79" i="33"/>
  <c r="I34" i="33"/>
  <c r="I101" i="33"/>
  <c r="I69" i="33"/>
  <c r="I56" i="33"/>
  <c r="I50" i="33"/>
  <c r="I13" i="33"/>
  <c r="I10" i="33"/>
  <c r="I301" i="33"/>
  <c r="I193" i="33"/>
  <c r="I47" i="33"/>
  <c r="I141" i="33"/>
  <c r="I182" i="33"/>
  <c r="I89" i="33"/>
  <c r="I95" i="33"/>
  <c r="I109" i="33"/>
  <c r="I77" i="33"/>
  <c r="I32" i="33"/>
  <c r="I21" i="33"/>
  <c r="I36" i="33"/>
  <c r="I28" i="33"/>
  <c r="I15" i="33"/>
  <c r="I78" i="33"/>
  <c r="I51" i="33"/>
  <c r="I133" i="33"/>
  <c r="I86" i="33"/>
  <c r="I129" i="33"/>
  <c r="I189" i="33"/>
  <c r="I39" i="33"/>
  <c r="I7" i="33"/>
  <c r="I197" i="33"/>
  <c r="I94" i="33"/>
  <c r="I70" i="33"/>
  <c r="I102" i="33"/>
  <c r="I121" i="33"/>
  <c r="I110" i="33"/>
  <c r="K126" i="54"/>
  <c r="K109" i="54"/>
  <c r="K186" i="54"/>
  <c r="K74" i="54"/>
  <c r="K124" i="54"/>
  <c r="K22" i="54"/>
  <c r="K181" i="54"/>
  <c r="K95" i="54"/>
  <c r="K93" i="54"/>
  <c r="K265" i="54"/>
  <c r="K231" i="54"/>
  <c r="K111" i="54"/>
  <c r="K289" i="54"/>
  <c r="K196" i="54"/>
  <c r="K251" i="54"/>
  <c r="K83" i="54"/>
  <c r="K38" i="54"/>
  <c r="K249" i="54"/>
  <c r="K23" i="54"/>
  <c r="K244" i="54"/>
  <c r="K30" i="54"/>
  <c r="K115" i="54"/>
  <c r="K143" i="54"/>
  <c r="K45" i="54"/>
  <c r="K46" i="54"/>
  <c r="K203" i="54"/>
  <c r="K236" i="54"/>
  <c r="K276" i="54"/>
  <c r="K40" i="54"/>
  <c r="K250" i="54"/>
  <c r="K224" i="54"/>
  <c r="K133" i="54"/>
  <c r="K146" i="54"/>
  <c r="K210" i="54"/>
  <c r="K170" i="54"/>
  <c r="K135" i="54"/>
  <c r="K11" i="54"/>
  <c r="K175" i="54"/>
  <c r="K151" i="54"/>
  <c r="K44" i="54"/>
  <c r="K223" i="54"/>
  <c r="K258" i="54"/>
  <c r="K157" i="54"/>
  <c r="K206" i="54"/>
  <c r="K102" i="54"/>
  <c r="K56" i="54"/>
  <c r="K220" i="54"/>
  <c r="K92" i="54"/>
  <c r="K161" i="54"/>
  <c r="K225" i="54"/>
  <c r="K273" i="54"/>
  <c r="K73" i="54"/>
  <c r="K79" i="54"/>
  <c r="K97" i="54"/>
  <c r="K123" i="54"/>
  <c r="K277" i="54"/>
  <c r="K117" i="54"/>
  <c r="K34" i="54"/>
  <c r="K266" i="54"/>
  <c r="K58" i="54"/>
  <c r="K253" i="54"/>
  <c r="M211" i="25"/>
  <c r="J211" i="54"/>
  <c r="M78" i="25"/>
  <c r="J78" i="54"/>
  <c r="M33" i="25"/>
  <c r="J33" i="54"/>
  <c r="F60" i="48" s="1"/>
  <c r="F61" i="48" s="1"/>
  <c r="B45" i="40"/>
  <c r="P6" i="13" s="1"/>
  <c r="K6" i="54"/>
  <c r="N314" i="49"/>
  <c r="H6" i="33"/>
  <c r="J6" i="33"/>
  <c r="K6" i="33"/>
  <c r="G6" i="33"/>
  <c r="E6" i="37"/>
  <c r="F6" i="37" s="1"/>
  <c r="I6" i="33"/>
  <c r="G40" i="34" l="1"/>
  <c r="H40" i="34" s="1"/>
  <c r="G130" i="34"/>
  <c r="H130" i="34" s="1"/>
  <c r="G77" i="34"/>
  <c r="H77" i="34" s="1"/>
  <c r="G114" i="34"/>
  <c r="H114" i="34" s="1"/>
  <c r="G17" i="34"/>
  <c r="H17" i="34" s="1"/>
  <c r="G33" i="34"/>
  <c r="H33" i="34" s="1"/>
  <c r="G245" i="34"/>
  <c r="H245" i="34" s="1"/>
  <c r="G64" i="34"/>
  <c r="H64" i="34" s="1"/>
  <c r="G72" i="34"/>
  <c r="H72" i="34" s="1"/>
  <c r="G195" i="34"/>
  <c r="H195" i="34" s="1"/>
  <c r="G229" i="34"/>
  <c r="H229" i="34" s="1"/>
  <c r="G147" i="34"/>
  <c r="H147" i="34" s="1"/>
  <c r="G320" i="34"/>
  <c r="H320" i="34" s="1"/>
  <c r="G280" i="34"/>
  <c r="H280" i="34" s="1"/>
  <c r="G261" i="34"/>
  <c r="H261" i="34" s="1"/>
  <c r="G135" i="34"/>
  <c r="H135" i="34" s="1"/>
  <c r="G257" i="34"/>
  <c r="H257" i="34" s="1"/>
  <c r="G139" i="34"/>
  <c r="H139" i="34" s="1"/>
  <c r="G300" i="34"/>
  <c r="H300" i="34" s="1"/>
  <c r="G256" i="34"/>
  <c r="H256" i="34" s="1"/>
  <c r="G122" i="34"/>
  <c r="H122" i="34" s="1"/>
  <c r="G186" i="34"/>
  <c r="H186" i="34" s="1"/>
  <c r="G299" i="34"/>
  <c r="H299" i="34" s="1"/>
  <c r="G249" i="34"/>
  <c r="H249" i="34" s="1"/>
  <c r="G57" i="34"/>
  <c r="H57" i="34" s="1"/>
  <c r="G196" i="34"/>
  <c r="H196" i="34" s="1"/>
  <c r="G48" i="34"/>
  <c r="H48" i="34" s="1"/>
  <c r="G295" i="34"/>
  <c r="H295" i="34" s="1"/>
  <c r="G151" i="34"/>
  <c r="H151" i="34" s="1"/>
  <c r="G241" i="34"/>
  <c r="H241" i="34" s="1"/>
  <c r="G123" i="34"/>
  <c r="H123" i="34" s="1"/>
  <c r="G213" i="34"/>
  <c r="H213" i="34" s="1"/>
  <c r="G298" i="34"/>
  <c r="H298" i="34" s="1"/>
  <c r="G18" i="34"/>
  <c r="H18" i="34" s="1"/>
  <c r="G278" i="34"/>
  <c r="H278" i="34" s="1"/>
  <c r="G246" i="34"/>
  <c r="H246" i="34" s="1"/>
  <c r="G166" i="34"/>
  <c r="H166" i="34" s="1"/>
  <c r="G306" i="34"/>
  <c r="H306" i="34" s="1"/>
  <c r="G174" i="34"/>
  <c r="H174" i="34" s="1"/>
  <c r="G78" i="34"/>
  <c r="H78" i="34" s="1"/>
  <c r="G317" i="34"/>
  <c r="H317" i="34" s="1"/>
  <c r="G274" i="34"/>
  <c r="H274" i="34" s="1"/>
  <c r="G242" i="34"/>
  <c r="H242" i="34" s="1"/>
  <c r="G150" i="34"/>
  <c r="H150" i="34" s="1"/>
  <c r="G318" i="34"/>
  <c r="H318" i="34" s="1"/>
  <c r="G284" i="34"/>
  <c r="H284" i="34" s="1"/>
  <c r="G268" i="34"/>
  <c r="H268" i="34" s="1"/>
  <c r="G252" i="34"/>
  <c r="H252" i="34" s="1"/>
  <c r="G238" i="34"/>
  <c r="H238" i="34" s="1"/>
  <c r="G206" i="34"/>
  <c r="H206" i="34" s="1"/>
  <c r="G185" i="34"/>
  <c r="H185" i="34" s="1"/>
  <c r="G153" i="34"/>
  <c r="H153" i="34" s="1"/>
  <c r="G121" i="34"/>
  <c r="H121" i="34" s="1"/>
  <c r="G309" i="34"/>
  <c r="H309" i="34" s="1"/>
  <c r="G263" i="34"/>
  <c r="H263" i="34" s="1"/>
  <c r="G226" i="34"/>
  <c r="H226" i="34" s="1"/>
  <c r="G189" i="34"/>
  <c r="H189" i="34" s="1"/>
  <c r="G22" i="34"/>
  <c r="H22" i="34" s="1"/>
  <c r="G234" i="34"/>
  <c r="H234" i="34" s="1"/>
  <c r="G202" i="34"/>
  <c r="H202" i="34" s="1"/>
  <c r="G176" i="34"/>
  <c r="H176" i="34" s="1"/>
  <c r="G160" i="34"/>
  <c r="H160" i="34" s="1"/>
  <c r="G144" i="34"/>
  <c r="H144" i="34" s="1"/>
  <c r="G128" i="34"/>
  <c r="H128" i="34" s="1"/>
  <c r="G112" i="34"/>
  <c r="H112" i="34" s="1"/>
  <c r="G100" i="34"/>
  <c r="H100" i="34" s="1"/>
  <c r="G91" i="34"/>
  <c r="H91" i="34" s="1"/>
  <c r="G70" i="34"/>
  <c r="H70" i="34" s="1"/>
  <c r="G46" i="34"/>
  <c r="H46" i="34" s="1"/>
  <c r="G19" i="34"/>
  <c r="H19" i="34" s="1"/>
  <c r="G84" i="34"/>
  <c r="H84" i="34" s="1"/>
  <c r="G67" i="34"/>
  <c r="H67" i="34" s="1"/>
  <c r="G50" i="34"/>
  <c r="H50" i="34" s="1"/>
  <c r="G34" i="34"/>
  <c r="H34" i="34" s="1"/>
  <c r="G71" i="34"/>
  <c r="H71" i="34" s="1"/>
  <c r="G47" i="34"/>
  <c r="H47" i="34" s="1"/>
  <c r="G28" i="34"/>
  <c r="H28" i="34" s="1"/>
  <c r="G29" i="34"/>
  <c r="H29" i="34" s="1"/>
  <c r="G232" i="34"/>
  <c r="H232" i="34" s="1"/>
  <c r="G88" i="34"/>
  <c r="H88" i="34" s="1"/>
  <c r="G178" i="34"/>
  <c r="H178" i="34" s="1"/>
  <c r="G32" i="34"/>
  <c r="H32" i="34" s="1"/>
  <c r="G96" i="34"/>
  <c r="H96" i="34" s="1"/>
  <c r="G21" i="34"/>
  <c r="H21" i="34" s="1"/>
  <c r="G25" i="34"/>
  <c r="H25" i="34" s="1"/>
  <c r="G102" i="34"/>
  <c r="H102" i="34" s="1"/>
  <c r="G111" i="34"/>
  <c r="H111" i="34" s="1"/>
  <c r="G265" i="34"/>
  <c r="H265" i="34" s="1"/>
  <c r="G179" i="34"/>
  <c r="H179" i="34" s="1"/>
  <c r="G188" i="34"/>
  <c r="H188" i="34" s="1"/>
  <c r="G190" i="34"/>
  <c r="H190" i="34" s="1"/>
  <c r="G293" i="34"/>
  <c r="H293" i="34" s="1"/>
  <c r="G167" i="34"/>
  <c r="H167" i="34" s="1"/>
  <c r="G289" i="34"/>
  <c r="H289" i="34" s="1"/>
  <c r="G171" i="34"/>
  <c r="H171" i="34" s="1"/>
  <c r="G311" i="34"/>
  <c r="H311" i="34" s="1"/>
  <c r="G288" i="34"/>
  <c r="H288" i="34" s="1"/>
  <c r="G138" i="34"/>
  <c r="H138" i="34" s="1"/>
  <c r="G205" i="34"/>
  <c r="H205" i="34" s="1"/>
  <c r="G41" i="34"/>
  <c r="H41" i="34" s="1"/>
  <c r="G281" i="34"/>
  <c r="H281" i="34" s="1"/>
  <c r="G97" i="34"/>
  <c r="H97" i="34" s="1"/>
  <c r="G204" i="34"/>
  <c r="H204" i="34" s="1"/>
  <c r="G308" i="34"/>
  <c r="H308" i="34" s="1"/>
  <c r="G301" i="34"/>
  <c r="H301" i="34" s="1"/>
  <c r="G183" i="34"/>
  <c r="H183" i="34" s="1"/>
  <c r="G273" i="34"/>
  <c r="H273" i="34" s="1"/>
  <c r="G155" i="34"/>
  <c r="H155" i="34" s="1"/>
  <c r="G240" i="34"/>
  <c r="H240" i="34" s="1"/>
  <c r="G173" i="34"/>
  <c r="H173" i="34" s="1"/>
  <c r="G322" i="34"/>
  <c r="H322" i="34" s="1"/>
  <c r="G270" i="34"/>
  <c r="H270" i="34" s="1"/>
  <c r="G235" i="34"/>
  <c r="H235" i="34" s="1"/>
  <c r="G149" i="34"/>
  <c r="H149" i="34" s="1"/>
  <c r="G210" i="34"/>
  <c r="H210" i="34" s="1"/>
  <c r="G157" i="34"/>
  <c r="H157" i="34" s="1"/>
  <c r="G203" i="34"/>
  <c r="H203" i="34" s="1"/>
  <c r="G302" i="34"/>
  <c r="H302" i="34" s="1"/>
  <c r="G266" i="34"/>
  <c r="H266" i="34" s="1"/>
  <c r="G230" i="34"/>
  <c r="H230" i="34" s="1"/>
  <c r="G133" i="34"/>
  <c r="H133" i="34" s="1"/>
  <c r="G313" i="34"/>
  <c r="H313" i="34" s="1"/>
  <c r="G283" i="34"/>
  <c r="H283" i="34" s="1"/>
  <c r="G267" i="34"/>
  <c r="H267" i="34" s="1"/>
  <c r="G251" i="34"/>
  <c r="H251" i="34" s="1"/>
  <c r="G231" i="34"/>
  <c r="H231" i="34" s="1"/>
  <c r="G199" i="34"/>
  <c r="H199" i="34" s="1"/>
  <c r="G177" i="34"/>
  <c r="H177" i="34" s="1"/>
  <c r="G145" i="34"/>
  <c r="H145" i="34" s="1"/>
  <c r="G113" i="34"/>
  <c r="H113" i="34" s="1"/>
  <c r="G287" i="34"/>
  <c r="H287" i="34" s="1"/>
  <c r="G255" i="34"/>
  <c r="H255" i="34" s="1"/>
  <c r="G219" i="34"/>
  <c r="H219" i="34" s="1"/>
  <c r="G90" i="34"/>
  <c r="H90" i="34" s="1"/>
  <c r="G321" i="34"/>
  <c r="H321" i="34" s="1"/>
  <c r="G227" i="34"/>
  <c r="H227" i="34" s="1"/>
  <c r="G197" i="34"/>
  <c r="H197" i="34" s="1"/>
  <c r="G172" i="34"/>
  <c r="H172" i="34" s="1"/>
  <c r="G156" i="34"/>
  <c r="H156" i="34" s="1"/>
  <c r="G140" i="34"/>
  <c r="H140" i="34" s="1"/>
  <c r="G124" i="34"/>
  <c r="H124" i="34" s="1"/>
  <c r="G98" i="34"/>
  <c r="H98" i="34" s="1"/>
  <c r="G99" i="34"/>
  <c r="H99" i="34" s="1"/>
  <c r="G82" i="34"/>
  <c r="H82" i="34" s="1"/>
  <c r="G66" i="34"/>
  <c r="H66" i="34" s="1"/>
  <c r="G42" i="34"/>
  <c r="H42" i="34" s="1"/>
  <c r="G110" i="34"/>
  <c r="H110" i="34" s="1"/>
  <c r="G83" i="34"/>
  <c r="H83" i="34" s="1"/>
  <c r="G62" i="34"/>
  <c r="H62" i="34" s="1"/>
  <c r="G44" i="34"/>
  <c r="H44" i="34" s="1"/>
  <c r="G26" i="34"/>
  <c r="H26" i="34" s="1"/>
  <c r="G54" i="34"/>
  <c r="H54" i="34" s="1"/>
  <c r="G36" i="34"/>
  <c r="H36" i="34" s="1"/>
  <c r="G27" i="34"/>
  <c r="H27" i="34" s="1"/>
  <c r="G53" i="34"/>
  <c r="H53" i="34" s="1"/>
  <c r="G297" i="34"/>
  <c r="H297" i="34" s="1"/>
  <c r="G106" i="34"/>
  <c r="H106" i="34" s="1"/>
  <c r="G237" i="34"/>
  <c r="H237" i="34" s="1"/>
  <c r="G89" i="34"/>
  <c r="H89" i="34" s="1"/>
  <c r="G162" i="34"/>
  <c r="H162" i="34" s="1"/>
  <c r="G80" i="34"/>
  <c r="H80" i="34" s="1"/>
  <c r="G37" i="34"/>
  <c r="H37" i="34" s="1"/>
  <c r="G103" i="34"/>
  <c r="H103" i="34" s="1"/>
  <c r="G143" i="34"/>
  <c r="H143" i="34" s="1"/>
  <c r="G316" i="34"/>
  <c r="H316" i="34" s="1"/>
  <c r="G201" i="34"/>
  <c r="H201" i="34" s="1"/>
  <c r="G225" i="34"/>
  <c r="H225" i="34" s="1"/>
  <c r="G200" i="34"/>
  <c r="H200" i="34" s="1"/>
  <c r="G303" i="34"/>
  <c r="H303" i="34" s="1"/>
  <c r="G191" i="34"/>
  <c r="H191" i="34" s="1"/>
  <c r="G85" i="34"/>
  <c r="H85" i="34" s="1"/>
  <c r="G216" i="34"/>
  <c r="H216" i="34" s="1"/>
  <c r="G45" i="34"/>
  <c r="H45" i="34" s="1"/>
  <c r="G69" i="34"/>
  <c r="H69" i="34" s="1"/>
  <c r="G154" i="34"/>
  <c r="H154" i="34" s="1"/>
  <c r="G253" i="34"/>
  <c r="H253" i="34" s="1"/>
  <c r="G127" i="34"/>
  <c r="H127" i="34" s="1"/>
  <c r="G307" i="34"/>
  <c r="H307" i="34" s="1"/>
  <c r="G131" i="34"/>
  <c r="H131" i="34" s="1"/>
  <c r="G221" i="34"/>
  <c r="H221" i="34" s="1"/>
  <c r="G264" i="34"/>
  <c r="H264" i="34" s="1"/>
  <c r="G312" i="34"/>
  <c r="H312" i="34" s="1"/>
  <c r="G212" i="34"/>
  <c r="H212" i="34" s="1"/>
  <c r="G65" i="34"/>
  <c r="H65" i="34" s="1"/>
  <c r="G187" i="34"/>
  <c r="H187" i="34" s="1"/>
  <c r="G272" i="34"/>
  <c r="H272" i="34" s="1"/>
  <c r="G141" i="34"/>
  <c r="H141" i="34" s="1"/>
  <c r="G294" i="34"/>
  <c r="H294" i="34" s="1"/>
  <c r="G262" i="34"/>
  <c r="H262" i="34" s="1"/>
  <c r="G223" i="34"/>
  <c r="H223" i="34" s="1"/>
  <c r="G134" i="34"/>
  <c r="H134" i="34" s="1"/>
  <c r="G198" i="34"/>
  <c r="H198" i="34" s="1"/>
  <c r="G142" i="34"/>
  <c r="H142" i="34" s="1"/>
  <c r="G158" i="34"/>
  <c r="H158" i="34" s="1"/>
  <c r="G290" i="34"/>
  <c r="H290" i="34" s="1"/>
  <c r="G258" i="34"/>
  <c r="H258" i="34" s="1"/>
  <c r="G182" i="34"/>
  <c r="H182" i="34" s="1"/>
  <c r="G118" i="34"/>
  <c r="H118" i="34" s="1"/>
  <c r="G292" i="34"/>
  <c r="H292" i="34" s="1"/>
  <c r="G276" i="34"/>
  <c r="H276" i="34" s="1"/>
  <c r="G260" i="34"/>
  <c r="H260" i="34" s="1"/>
  <c r="G244" i="34"/>
  <c r="H244" i="34" s="1"/>
  <c r="G218" i="34"/>
  <c r="H218" i="34" s="1"/>
  <c r="G194" i="34"/>
  <c r="H194" i="34" s="1"/>
  <c r="G169" i="34"/>
  <c r="H169" i="34" s="1"/>
  <c r="G137" i="34"/>
  <c r="H137" i="34" s="1"/>
  <c r="G39" i="34"/>
  <c r="H39" i="34" s="1"/>
  <c r="G279" i="34"/>
  <c r="H279" i="34" s="1"/>
  <c r="G247" i="34"/>
  <c r="H247" i="34" s="1"/>
  <c r="G214" i="34"/>
  <c r="H214" i="34" s="1"/>
  <c r="G87" i="34"/>
  <c r="H87" i="34" s="1"/>
  <c r="G310" i="34"/>
  <c r="H310" i="34" s="1"/>
  <c r="G222" i="34"/>
  <c r="H222" i="34" s="1"/>
  <c r="G184" i="34"/>
  <c r="H184" i="34" s="1"/>
  <c r="G168" i="34"/>
  <c r="H168" i="34" s="1"/>
  <c r="G152" i="34"/>
  <c r="H152" i="34" s="1"/>
  <c r="G136" i="34"/>
  <c r="H136" i="34" s="1"/>
  <c r="G120" i="34"/>
  <c r="H120" i="34" s="1"/>
  <c r="G108" i="34"/>
  <c r="H108" i="34" s="1"/>
  <c r="G94" i="34"/>
  <c r="H94" i="34" s="1"/>
  <c r="G76" i="34"/>
  <c r="H76" i="34" s="1"/>
  <c r="G58" i="34"/>
  <c r="H58" i="34" s="1"/>
  <c r="G31" i="34"/>
  <c r="H31" i="34" s="1"/>
  <c r="G109" i="34"/>
  <c r="H109" i="34" s="1"/>
  <c r="G79" i="34"/>
  <c r="H79" i="34" s="1"/>
  <c r="G60" i="34"/>
  <c r="H60" i="34" s="1"/>
  <c r="G43" i="34"/>
  <c r="H43" i="34" s="1"/>
  <c r="G23" i="34"/>
  <c r="H23" i="34" s="1"/>
  <c r="G52" i="34"/>
  <c r="H52" i="34" s="1"/>
  <c r="G35" i="34"/>
  <c r="H35" i="34" s="1"/>
  <c r="G73" i="34"/>
  <c r="H73" i="34" s="1"/>
  <c r="G61" i="34"/>
  <c r="H61" i="34" s="1"/>
  <c r="G24" i="34"/>
  <c r="H24" i="34" s="1"/>
  <c r="G81" i="34"/>
  <c r="H81" i="34" s="1"/>
  <c r="G269" i="34"/>
  <c r="H269" i="34" s="1"/>
  <c r="G56" i="34"/>
  <c r="H56" i="34" s="1"/>
  <c r="G220" i="34"/>
  <c r="H220" i="34" s="1"/>
  <c r="G93" i="34"/>
  <c r="H93" i="34" s="1"/>
  <c r="G49" i="34"/>
  <c r="H49" i="34" s="1"/>
  <c r="G146" i="34"/>
  <c r="H146" i="34" s="1"/>
  <c r="G175" i="34"/>
  <c r="H175" i="34" s="1"/>
  <c r="G115" i="34"/>
  <c r="H115" i="34" s="1"/>
  <c r="G296" i="34"/>
  <c r="H296" i="34" s="1"/>
  <c r="G248" i="34"/>
  <c r="H248" i="34" s="1"/>
  <c r="G217" i="34"/>
  <c r="H217" i="34" s="1"/>
  <c r="G319" i="34"/>
  <c r="H319" i="34" s="1"/>
  <c r="G209" i="34"/>
  <c r="H209" i="34" s="1"/>
  <c r="G107" i="34"/>
  <c r="H107" i="34" s="1"/>
  <c r="G233" i="34"/>
  <c r="H233" i="34" s="1"/>
  <c r="G228" i="34"/>
  <c r="H228" i="34" s="1"/>
  <c r="G208" i="34"/>
  <c r="H208" i="34" s="1"/>
  <c r="G170" i="34"/>
  <c r="H170" i="34" s="1"/>
  <c r="G285" i="34"/>
  <c r="H285" i="34" s="1"/>
  <c r="G159" i="34"/>
  <c r="H159" i="34" s="1"/>
  <c r="G323" i="34"/>
  <c r="H323" i="34" s="1"/>
  <c r="G163" i="34"/>
  <c r="H163" i="34" s="1"/>
  <c r="G304" i="34"/>
  <c r="H304" i="34" s="1"/>
  <c r="G277" i="34"/>
  <c r="H277" i="34" s="1"/>
  <c r="G119" i="34"/>
  <c r="H119" i="34" s="1"/>
  <c r="G224" i="34"/>
  <c r="H224" i="34" s="1"/>
  <c r="G101" i="34"/>
  <c r="H101" i="34" s="1"/>
  <c r="G236" i="34"/>
  <c r="H236" i="34" s="1"/>
  <c r="G315" i="34"/>
  <c r="H315" i="34" s="1"/>
  <c r="G126" i="34"/>
  <c r="H126" i="34" s="1"/>
  <c r="G286" i="34"/>
  <c r="H286" i="34" s="1"/>
  <c r="G254" i="34"/>
  <c r="H254" i="34" s="1"/>
  <c r="G181" i="34"/>
  <c r="H181" i="34" s="1"/>
  <c r="G117" i="34"/>
  <c r="H117" i="34" s="1"/>
  <c r="G192" i="34"/>
  <c r="H192" i="34" s="1"/>
  <c r="G125" i="34"/>
  <c r="H125" i="34" s="1"/>
  <c r="G105" i="34"/>
  <c r="H105" i="34" s="1"/>
  <c r="G282" i="34"/>
  <c r="H282" i="34" s="1"/>
  <c r="G250" i="34"/>
  <c r="H250" i="34" s="1"/>
  <c r="G165" i="34"/>
  <c r="H165" i="34" s="1"/>
  <c r="G63" i="34"/>
  <c r="H63" i="34" s="1"/>
  <c r="G291" i="34"/>
  <c r="H291" i="34" s="1"/>
  <c r="G275" i="34"/>
  <c r="H275" i="34" s="1"/>
  <c r="G259" i="34"/>
  <c r="H259" i="34" s="1"/>
  <c r="G243" i="34"/>
  <c r="H243" i="34" s="1"/>
  <c r="G211" i="34"/>
  <c r="H211" i="34" s="1"/>
  <c r="G193" i="34"/>
  <c r="H193" i="34" s="1"/>
  <c r="G161" i="34"/>
  <c r="H161" i="34" s="1"/>
  <c r="G129" i="34"/>
  <c r="H129" i="34" s="1"/>
  <c r="G314" i="34"/>
  <c r="H314" i="34" s="1"/>
  <c r="G271" i="34"/>
  <c r="H271" i="34" s="1"/>
  <c r="G239" i="34"/>
  <c r="H239" i="34" s="1"/>
  <c r="G207" i="34"/>
  <c r="H207" i="34" s="1"/>
  <c r="G74" i="34"/>
  <c r="H74" i="34" s="1"/>
  <c r="G305" i="34"/>
  <c r="H305" i="34" s="1"/>
  <c r="G215" i="34"/>
  <c r="H215" i="34" s="1"/>
  <c r="G180" i="34"/>
  <c r="H180" i="34" s="1"/>
  <c r="G164" i="34"/>
  <c r="H164" i="34" s="1"/>
  <c r="G148" i="34"/>
  <c r="H148" i="34" s="1"/>
  <c r="G132" i="34"/>
  <c r="H132" i="34" s="1"/>
  <c r="G116" i="34"/>
  <c r="H116" i="34" s="1"/>
  <c r="G104" i="34"/>
  <c r="H104" i="34" s="1"/>
  <c r="G92" i="34"/>
  <c r="H92" i="34" s="1"/>
  <c r="G75" i="34"/>
  <c r="H75" i="34" s="1"/>
  <c r="G55" i="34"/>
  <c r="H55" i="34" s="1"/>
  <c r="G20" i="34"/>
  <c r="H20" i="34" s="1"/>
  <c r="G86" i="34"/>
  <c r="H86" i="34" s="1"/>
  <c r="G68" i="34"/>
  <c r="H68" i="34" s="1"/>
  <c r="G59" i="34"/>
  <c r="H59" i="34" s="1"/>
  <c r="G38" i="34"/>
  <c r="H38" i="34" s="1"/>
  <c r="G95" i="34"/>
  <c r="H95" i="34" s="1"/>
  <c r="G51" i="34"/>
  <c r="H51" i="34" s="1"/>
  <c r="G30" i="34"/>
  <c r="H30" i="34" s="1"/>
  <c r="L102" i="33"/>
  <c r="M102" i="33" s="1"/>
  <c r="E108" i="9" s="1"/>
  <c r="L129" i="33"/>
  <c r="M129" i="33" s="1"/>
  <c r="E135" i="9" s="1"/>
  <c r="L197" i="33"/>
  <c r="M197" i="33" s="1"/>
  <c r="E203" i="9" s="1"/>
  <c r="L13" i="33"/>
  <c r="M13" i="33" s="1"/>
  <c r="E19" i="9" s="1"/>
  <c r="L185" i="33"/>
  <c r="M185" i="33" s="1"/>
  <c r="E191" i="9" s="1"/>
  <c r="L123" i="33"/>
  <c r="M123" i="33" s="1"/>
  <c r="E129" i="9" s="1"/>
  <c r="L282" i="33"/>
  <c r="M282" i="33" s="1"/>
  <c r="E288" i="9" s="1"/>
  <c r="L160" i="33"/>
  <c r="M160" i="33" s="1"/>
  <c r="E166" i="9" s="1"/>
  <c r="L284" i="33"/>
  <c r="M284" i="33" s="1"/>
  <c r="E290" i="9" s="1"/>
  <c r="L8" i="33"/>
  <c r="M8" i="33" s="1"/>
  <c r="E14" i="9" s="1"/>
  <c r="L274" i="33"/>
  <c r="M274" i="33" s="1"/>
  <c r="E280" i="9" s="1"/>
  <c r="L10" i="33"/>
  <c r="M10" i="33" s="1"/>
  <c r="E16" i="9" s="1"/>
  <c r="L100" i="33"/>
  <c r="M100" i="33" s="1"/>
  <c r="E106" i="9" s="1"/>
  <c r="L153" i="33"/>
  <c r="M153" i="33" s="1"/>
  <c r="E159" i="9" s="1"/>
  <c r="L25" i="33"/>
  <c r="M25" i="33" s="1"/>
  <c r="E31" i="9" s="1"/>
  <c r="L209" i="33"/>
  <c r="M209" i="33" s="1"/>
  <c r="E215" i="9" s="1"/>
  <c r="L45" i="33"/>
  <c r="M45" i="33" s="1"/>
  <c r="E51" i="9" s="1"/>
  <c r="L84" i="33"/>
  <c r="M84" i="33" s="1"/>
  <c r="E90" i="9" s="1"/>
  <c r="L164" i="33"/>
  <c r="M164" i="33" s="1"/>
  <c r="E170" i="9" s="1"/>
  <c r="L29" i="33"/>
  <c r="M29" i="33" s="1"/>
  <c r="E35" i="9" s="1"/>
  <c r="L105" i="33"/>
  <c r="M105" i="33" s="1"/>
  <c r="E111" i="9" s="1"/>
  <c r="L66" i="33"/>
  <c r="M66" i="33" s="1"/>
  <c r="E72" i="9" s="1"/>
  <c r="L128" i="33"/>
  <c r="M128" i="33" s="1"/>
  <c r="E134" i="9" s="1"/>
  <c r="L127" i="33"/>
  <c r="M127" i="33" s="1"/>
  <c r="E133" i="9" s="1"/>
  <c r="L157" i="33"/>
  <c r="M157" i="33" s="1"/>
  <c r="E163" i="9" s="1"/>
  <c r="L152" i="33"/>
  <c r="M152" i="33" s="1"/>
  <c r="E158" i="9" s="1"/>
  <c r="L181" i="33"/>
  <c r="M181" i="33" s="1"/>
  <c r="E187" i="9" s="1"/>
  <c r="L255" i="33"/>
  <c r="M255" i="33" s="1"/>
  <c r="E261" i="9" s="1"/>
  <c r="L287" i="33"/>
  <c r="M287" i="33" s="1"/>
  <c r="E293" i="9" s="1"/>
  <c r="L155" i="33"/>
  <c r="M155" i="33" s="1"/>
  <c r="E161" i="9" s="1"/>
  <c r="L258" i="33"/>
  <c r="M258" i="33" s="1"/>
  <c r="E264" i="9" s="1"/>
  <c r="L246" i="33"/>
  <c r="M246" i="33" s="1"/>
  <c r="E252" i="9" s="1"/>
  <c r="L245" i="33"/>
  <c r="M245" i="33" s="1"/>
  <c r="E251" i="9" s="1"/>
  <c r="L286" i="33"/>
  <c r="M286" i="33" s="1"/>
  <c r="E292" i="9" s="1"/>
  <c r="L92" i="33"/>
  <c r="M92" i="33" s="1"/>
  <c r="E98" i="9" s="1"/>
  <c r="L120" i="33"/>
  <c r="M120" i="33" s="1"/>
  <c r="E126" i="9" s="1"/>
  <c r="L146" i="33"/>
  <c r="M146" i="33" s="1"/>
  <c r="E152" i="9" s="1"/>
  <c r="L203" i="33"/>
  <c r="M203" i="33" s="1"/>
  <c r="E209" i="9" s="1"/>
  <c r="L235" i="33"/>
  <c r="M235" i="33" s="1"/>
  <c r="E241" i="9" s="1"/>
  <c r="L188" i="33"/>
  <c r="M188" i="33" s="1"/>
  <c r="E194" i="9" s="1"/>
  <c r="L192" i="33"/>
  <c r="M192" i="33" s="1"/>
  <c r="E198" i="9" s="1"/>
  <c r="L294" i="33"/>
  <c r="M294" i="33" s="1"/>
  <c r="E300" i="9" s="1"/>
  <c r="L297" i="33"/>
  <c r="M297" i="33" s="1"/>
  <c r="E303" i="9" s="1"/>
  <c r="L93" i="33"/>
  <c r="M93" i="33" s="1"/>
  <c r="E99" i="9" s="1"/>
  <c r="L88" i="33"/>
  <c r="M88" i="33" s="1"/>
  <c r="E94" i="9" s="1"/>
  <c r="L119" i="33"/>
  <c r="M119" i="33" s="1"/>
  <c r="E125" i="9" s="1"/>
  <c r="L172" i="33"/>
  <c r="M172" i="33" s="1"/>
  <c r="E178" i="9" s="1"/>
  <c r="L283" i="33"/>
  <c r="M283" i="33" s="1"/>
  <c r="E289" i="9" s="1"/>
  <c r="L241" i="33"/>
  <c r="M241" i="33" s="1"/>
  <c r="E247" i="9" s="1"/>
  <c r="L273" i="33"/>
  <c r="M273" i="33" s="1"/>
  <c r="E279" i="9" s="1"/>
  <c r="L280" i="33"/>
  <c r="M280" i="33" s="1"/>
  <c r="E286" i="9" s="1"/>
  <c r="L134" i="33"/>
  <c r="M134" i="33" s="1"/>
  <c r="E140" i="9" s="1"/>
  <c r="L196" i="33"/>
  <c r="M196" i="33" s="1"/>
  <c r="E202" i="9" s="1"/>
  <c r="M314" i="25"/>
  <c r="J314" i="54"/>
  <c r="L125" i="33"/>
  <c r="M125" i="33" s="1"/>
  <c r="E131" i="9" s="1"/>
  <c r="L226" i="33"/>
  <c r="M226" i="33" s="1"/>
  <c r="E232" i="9" s="1"/>
  <c r="L113" i="33"/>
  <c r="M113" i="33" s="1"/>
  <c r="E119" i="9" s="1"/>
  <c r="L230" i="33"/>
  <c r="M230" i="33" s="1"/>
  <c r="E236" i="9" s="1"/>
  <c r="L194" i="33"/>
  <c r="M194" i="33" s="1"/>
  <c r="E200" i="9" s="1"/>
  <c r="L276" i="33"/>
  <c r="M276" i="33" s="1"/>
  <c r="E282" i="9" s="1"/>
  <c r="L137" i="33"/>
  <c r="M137" i="33" s="1"/>
  <c r="E143" i="9" s="1"/>
  <c r="L70" i="33"/>
  <c r="M70" i="33" s="1"/>
  <c r="E76" i="9" s="1"/>
  <c r="L49" i="33"/>
  <c r="M49" i="33" s="1"/>
  <c r="E55" i="9" s="1"/>
  <c r="L210" i="33"/>
  <c r="M210" i="33" s="1"/>
  <c r="E216" i="9" s="1"/>
  <c r="L304" i="33"/>
  <c r="M304" i="33" s="1"/>
  <c r="E310" i="9" s="1"/>
  <c r="L251" i="33"/>
  <c r="M251" i="33" s="1"/>
  <c r="E257" i="9" s="1"/>
  <c r="L248" i="33"/>
  <c r="M248" i="33" s="1"/>
  <c r="E254" i="9" s="1"/>
  <c r="L52" i="33"/>
  <c r="M52" i="33" s="1"/>
  <c r="E58" i="9" s="1"/>
  <c r="L133" i="33"/>
  <c r="M133" i="33" s="1"/>
  <c r="E139" i="9" s="1"/>
  <c r="L94" i="33"/>
  <c r="M94" i="33" s="1"/>
  <c r="E100" i="9" s="1"/>
  <c r="L78" i="33"/>
  <c r="M78" i="33" s="1"/>
  <c r="E84" i="9" s="1"/>
  <c r="L15" i="33"/>
  <c r="M15" i="33" s="1"/>
  <c r="E21" i="9" s="1"/>
  <c r="L16" i="33"/>
  <c r="M16" i="33" s="1"/>
  <c r="E22" i="9" s="1"/>
  <c r="L156" i="33"/>
  <c r="M156" i="33" s="1"/>
  <c r="E162" i="9" s="1"/>
  <c r="L212" i="33"/>
  <c r="M212" i="33" s="1"/>
  <c r="E218" i="9" s="1"/>
  <c r="L296" i="33"/>
  <c r="M296" i="33" s="1"/>
  <c r="E302" i="9" s="1"/>
  <c r="L79" i="33"/>
  <c r="M79" i="33" s="1"/>
  <c r="E85" i="9" s="1"/>
  <c r="L173" i="33"/>
  <c r="M173" i="33" s="1"/>
  <c r="E179" i="9" s="1"/>
  <c r="L223" i="33"/>
  <c r="M223" i="33" s="1"/>
  <c r="E229" i="9" s="1"/>
  <c r="L272" i="33"/>
  <c r="M272" i="33" s="1"/>
  <c r="E278" i="9" s="1"/>
  <c r="L34" i="33"/>
  <c r="M34" i="33" s="1"/>
  <c r="E40" i="9" s="1"/>
  <c r="L249" i="33"/>
  <c r="M249" i="33" s="1"/>
  <c r="E255" i="9" s="1"/>
  <c r="L37" i="33"/>
  <c r="M37" i="33" s="1"/>
  <c r="E43" i="9" s="1"/>
  <c r="L64" i="33"/>
  <c r="M64" i="33" s="1"/>
  <c r="E70" i="9" s="1"/>
  <c r="L148" i="33"/>
  <c r="M148" i="33" s="1"/>
  <c r="E154" i="9" s="1"/>
  <c r="L221" i="33"/>
  <c r="M221" i="33" s="1"/>
  <c r="E227" i="9" s="1"/>
  <c r="L41" i="33"/>
  <c r="M41" i="33" s="1"/>
  <c r="E47" i="9" s="1"/>
  <c r="L21" i="33"/>
  <c r="M21" i="33" s="1"/>
  <c r="E27" i="9" s="1"/>
  <c r="L50" i="33"/>
  <c r="M50" i="33" s="1"/>
  <c r="E56" i="9" s="1"/>
  <c r="L116" i="33"/>
  <c r="M116" i="33" s="1"/>
  <c r="E122" i="9" s="1"/>
  <c r="L179" i="33"/>
  <c r="M179" i="33" s="1"/>
  <c r="E185" i="9" s="1"/>
  <c r="L301" i="33"/>
  <c r="M301" i="33" s="1"/>
  <c r="E307" i="9" s="1"/>
  <c r="L73" i="33"/>
  <c r="M73" i="33" s="1"/>
  <c r="E79" i="9" s="1"/>
  <c r="L106" i="33"/>
  <c r="M106" i="33" s="1"/>
  <c r="E112" i="9" s="1"/>
  <c r="L75" i="33"/>
  <c r="M75" i="33" s="1"/>
  <c r="E81" i="9" s="1"/>
  <c r="L158" i="33"/>
  <c r="M158" i="33" s="1"/>
  <c r="E164" i="9" s="1"/>
  <c r="L132" i="33"/>
  <c r="M132" i="33" s="1"/>
  <c r="E138" i="9" s="1"/>
  <c r="L163" i="33"/>
  <c r="M163" i="33" s="1"/>
  <c r="E169" i="9" s="1"/>
  <c r="L161" i="33"/>
  <c r="M161" i="33" s="1"/>
  <c r="E167" i="9" s="1"/>
  <c r="L183" i="33"/>
  <c r="M183" i="33" s="1"/>
  <c r="E189" i="9" s="1"/>
  <c r="L220" i="33"/>
  <c r="M220" i="33" s="1"/>
  <c r="E226" i="9" s="1"/>
  <c r="L263" i="33"/>
  <c r="M263" i="33" s="1"/>
  <c r="E269" i="9" s="1"/>
  <c r="L295" i="33"/>
  <c r="M295" i="33" s="1"/>
  <c r="E301" i="9" s="1"/>
  <c r="L231" i="33"/>
  <c r="M231" i="33" s="1"/>
  <c r="E237" i="9" s="1"/>
  <c r="L268" i="33"/>
  <c r="M268" i="33" s="1"/>
  <c r="E274" i="9" s="1"/>
  <c r="L256" i="33"/>
  <c r="M256" i="33" s="1"/>
  <c r="E262" i="9" s="1"/>
  <c r="L310" i="33"/>
  <c r="M310" i="33" s="1"/>
  <c r="E316" i="9" s="1"/>
  <c r="L260" i="33"/>
  <c r="M260" i="33" s="1"/>
  <c r="E266" i="9" s="1"/>
  <c r="L281" i="33"/>
  <c r="M281" i="33" s="1"/>
  <c r="E287" i="9" s="1"/>
  <c r="L302" i="33"/>
  <c r="M302" i="33" s="1"/>
  <c r="E308" i="9" s="1"/>
  <c r="L108" i="33"/>
  <c r="M108" i="33" s="1"/>
  <c r="E114" i="9" s="1"/>
  <c r="L61" i="33"/>
  <c r="M61" i="33" s="1"/>
  <c r="E67" i="9" s="1"/>
  <c r="L144" i="33"/>
  <c r="M144" i="33" s="1"/>
  <c r="E150" i="9" s="1"/>
  <c r="L114" i="33"/>
  <c r="M114" i="33" s="1"/>
  <c r="E120" i="9" s="1"/>
  <c r="L162" i="33"/>
  <c r="M162" i="33" s="1"/>
  <c r="E168" i="9" s="1"/>
  <c r="L213" i="33"/>
  <c r="M213" i="33" s="1"/>
  <c r="E219" i="9" s="1"/>
  <c r="L232" i="33"/>
  <c r="M232" i="33" s="1"/>
  <c r="E238" i="9" s="1"/>
  <c r="L240" i="33"/>
  <c r="M240" i="33" s="1"/>
  <c r="E246" i="9" s="1"/>
  <c r="L225" i="33"/>
  <c r="M225" i="33" s="1"/>
  <c r="E231" i="9" s="1"/>
  <c r="L300" i="33"/>
  <c r="M300" i="33" s="1"/>
  <c r="E306" i="9" s="1"/>
  <c r="L244" i="33"/>
  <c r="M244" i="33" s="1"/>
  <c r="E250" i="9" s="1"/>
  <c r="L309" i="33"/>
  <c r="M309" i="33" s="1"/>
  <c r="E315" i="9" s="1"/>
  <c r="L254" i="33"/>
  <c r="M254" i="33" s="1"/>
  <c r="E260" i="9" s="1"/>
  <c r="L69" i="33"/>
  <c r="M69" i="33" s="1"/>
  <c r="E75" i="9" s="1"/>
  <c r="L101" i="33"/>
  <c r="M101" i="33" s="1"/>
  <c r="E107" i="9" s="1"/>
  <c r="L97" i="33"/>
  <c r="M97" i="33" s="1"/>
  <c r="E103" i="9" s="1"/>
  <c r="L89" i="33"/>
  <c r="M89" i="33" s="1"/>
  <c r="E95" i="9" s="1"/>
  <c r="L142" i="33"/>
  <c r="M142" i="33" s="1"/>
  <c r="E148" i="9" s="1"/>
  <c r="L104" i="33"/>
  <c r="M104" i="33" s="1"/>
  <c r="E110" i="9" s="1"/>
  <c r="L145" i="33"/>
  <c r="M145" i="33" s="1"/>
  <c r="E151" i="9" s="1"/>
  <c r="L208" i="33"/>
  <c r="M208" i="33" s="1"/>
  <c r="E214" i="9" s="1"/>
  <c r="L259" i="33"/>
  <c r="M259" i="33" s="1"/>
  <c r="E265" i="9" s="1"/>
  <c r="L291" i="33"/>
  <c r="M291" i="33" s="1"/>
  <c r="E297" i="9" s="1"/>
  <c r="L139" i="33"/>
  <c r="M139" i="33" s="1"/>
  <c r="E145" i="9" s="1"/>
  <c r="L195" i="33"/>
  <c r="M195" i="33" s="1"/>
  <c r="E201" i="9" s="1"/>
  <c r="L289" i="33"/>
  <c r="M289" i="33" s="1"/>
  <c r="E295" i="9" s="1"/>
  <c r="L269" i="33"/>
  <c r="M269" i="33" s="1"/>
  <c r="E275" i="9" s="1"/>
  <c r="L214" i="33"/>
  <c r="M214" i="33" s="1"/>
  <c r="E220" i="9" s="1"/>
  <c r="L234" i="33"/>
  <c r="M234" i="33" s="1"/>
  <c r="E240" i="9" s="1"/>
  <c r="L186" i="33"/>
  <c r="M186" i="33" s="1"/>
  <c r="E192" i="9" s="1"/>
  <c r="L182" i="33"/>
  <c r="M182" i="33" s="1"/>
  <c r="E188" i="9" s="1"/>
  <c r="L122" i="33"/>
  <c r="M122" i="33" s="1"/>
  <c r="E128" i="9" s="1"/>
  <c r="L56" i="33"/>
  <c r="M56" i="33" s="1"/>
  <c r="E62" i="9" s="1"/>
  <c r="L43" i="33"/>
  <c r="M43" i="33" s="1"/>
  <c r="E49" i="9" s="1"/>
  <c r="L19" i="33"/>
  <c r="M19" i="33" s="1"/>
  <c r="E25" i="9" s="1"/>
  <c r="L81" i="33"/>
  <c r="M81" i="33" s="1"/>
  <c r="E87" i="9" s="1"/>
  <c r="L204" i="33"/>
  <c r="M204" i="33" s="1"/>
  <c r="E210" i="9" s="1"/>
  <c r="L42" i="33"/>
  <c r="M42" i="33" s="1"/>
  <c r="E48" i="9" s="1"/>
  <c r="L257" i="33"/>
  <c r="M257" i="33" s="1"/>
  <c r="E263" i="9" s="1"/>
  <c r="L59" i="33"/>
  <c r="M59" i="33" s="1"/>
  <c r="E65" i="9" s="1"/>
  <c r="L136" i="33"/>
  <c r="M136" i="33" s="1"/>
  <c r="E142" i="9" s="1"/>
  <c r="L138" i="33"/>
  <c r="M138" i="33" s="1"/>
  <c r="E144" i="9" s="1"/>
  <c r="L27" i="33"/>
  <c r="M27" i="33" s="1"/>
  <c r="E33" i="9" s="1"/>
  <c r="L110" i="33"/>
  <c r="M110" i="33" s="1"/>
  <c r="E116" i="9" s="1"/>
  <c r="L86" i="33"/>
  <c r="M86" i="33" s="1"/>
  <c r="E92" i="9" s="1"/>
  <c r="L7" i="33"/>
  <c r="M7" i="33" s="1"/>
  <c r="E13" i="9" s="1"/>
  <c r="L121" i="33"/>
  <c r="M121" i="33" s="1"/>
  <c r="E127" i="9" s="1"/>
  <c r="L96" i="33"/>
  <c r="M96" i="33" s="1"/>
  <c r="E102" i="9" s="1"/>
  <c r="L207" i="33"/>
  <c r="M207" i="33" s="1"/>
  <c r="E213" i="9" s="1"/>
  <c r="L242" i="33"/>
  <c r="M242" i="33" s="1"/>
  <c r="E248" i="9" s="1"/>
  <c r="L23" i="33"/>
  <c r="M23" i="33" s="1"/>
  <c r="E29" i="9" s="1"/>
  <c r="L111" i="33"/>
  <c r="M111" i="33" s="1"/>
  <c r="E117" i="9" s="1"/>
  <c r="L184" i="33"/>
  <c r="M184" i="33" s="1"/>
  <c r="E190" i="9" s="1"/>
  <c r="L215" i="33"/>
  <c r="M215" i="33" s="1"/>
  <c r="E221" i="9" s="1"/>
  <c r="L292" i="33"/>
  <c r="M292" i="33" s="1"/>
  <c r="E298" i="9" s="1"/>
  <c r="L167" i="33"/>
  <c r="M167" i="33" s="1"/>
  <c r="E173" i="9" s="1"/>
  <c r="L26" i="33"/>
  <c r="M26" i="33" s="1"/>
  <c r="E32" i="9" s="1"/>
  <c r="L71" i="33"/>
  <c r="M71" i="33" s="1"/>
  <c r="E77" i="9" s="1"/>
  <c r="L53" i="33"/>
  <c r="M53" i="33" s="1"/>
  <c r="E59" i="9" s="1"/>
  <c r="L130" i="33"/>
  <c r="M130" i="33" s="1"/>
  <c r="E136" i="9" s="1"/>
  <c r="L222" i="33"/>
  <c r="M222" i="33" s="1"/>
  <c r="E228" i="9" s="1"/>
  <c r="L87" i="33"/>
  <c r="M87" i="33" s="1"/>
  <c r="E93" i="9" s="1"/>
  <c r="L18" i="33"/>
  <c r="M18" i="33" s="1"/>
  <c r="E24" i="9" s="1"/>
  <c r="L95" i="33"/>
  <c r="M95" i="33" s="1"/>
  <c r="E101" i="9" s="1"/>
  <c r="L24" i="33"/>
  <c r="M24" i="33" s="1"/>
  <c r="E30" i="9" s="1"/>
  <c r="L206" i="33"/>
  <c r="M206" i="33" s="1"/>
  <c r="E212" i="9" s="1"/>
  <c r="L312" i="33"/>
  <c r="M312" i="33" s="1"/>
  <c r="E318" i="9" s="1"/>
  <c r="L74" i="33"/>
  <c r="M74" i="33" s="1"/>
  <c r="E80" i="9" s="1"/>
  <c r="L115" i="33"/>
  <c r="M115" i="33" s="1"/>
  <c r="E121" i="9" s="1"/>
  <c r="L67" i="33"/>
  <c r="M67" i="33" s="1"/>
  <c r="E73" i="9" s="1"/>
  <c r="L159" i="33"/>
  <c r="M159" i="33" s="1"/>
  <c r="E165" i="9" s="1"/>
  <c r="L141" i="33"/>
  <c r="M141" i="33" s="1"/>
  <c r="E147" i="9" s="1"/>
  <c r="L47" i="33"/>
  <c r="M47" i="33" s="1"/>
  <c r="E53" i="9" s="1"/>
  <c r="L149" i="33"/>
  <c r="M149" i="33" s="1"/>
  <c r="E155" i="9" s="1"/>
  <c r="L193" i="33"/>
  <c r="M193" i="33" s="1"/>
  <c r="E199" i="9" s="1"/>
  <c r="L236" i="33"/>
  <c r="M236" i="33" s="1"/>
  <c r="E242" i="9" s="1"/>
  <c r="L271" i="33"/>
  <c r="M271" i="33" s="1"/>
  <c r="E277" i="9" s="1"/>
  <c r="L303" i="33"/>
  <c r="M303" i="33" s="1"/>
  <c r="E309" i="9" s="1"/>
  <c r="L187" i="33"/>
  <c r="M187" i="33" s="1"/>
  <c r="E193" i="9" s="1"/>
  <c r="L305" i="33"/>
  <c r="M305" i="33" s="1"/>
  <c r="E311" i="9" s="1"/>
  <c r="L261" i="33"/>
  <c r="M261" i="33" s="1"/>
  <c r="E267" i="9" s="1"/>
  <c r="L253" i="33"/>
  <c r="M253" i="33" s="1"/>
  <c r="E259" i="9" s="1"/>
  <c r="L265" i="33"/>
  <c r="M265" i="33" s="1"/>
  <c r="E271" i="9" s="1"/>
  <c r="L313" i="33"/>
  <c r="M313" i="33" s="1"/>
  <c r="E319" i="9" s="1"/>
  <c r="L54" i="33"/>
  <c r="M54" i="33" s="1"/>
  <c r="E60" i="9" s="1"/>
  <c r="L55" i="33"/>
  <c r="M55" i="33" s="1"/>
  <c r="E61" i="9" s="1"/>
  <c r="L118" i="33"/>
  <c r="M118" i="33" s="1"/>
  <c r="E124" i="9" s="1"/>
  <c r="L169" i="33"/>
  <c r="M169" i="33" s="1"/>
  <c r="E175" i="9" s="1"/>
  <c r="L151" i="33"/>
  <c r="M151" i="33" s="1"/>
  <c r="E157" i="9" s="1"/>
  <c r="L178" i="33"/>
  <c r="M178" i="33" s="1"/>
  <c r="E184" i="9" s="1"/>
  <c r="L219" i="33"/>
  <c r="M219" i="33" s="1"/>
  <c r="E225" i="9" s="1"/>
  <c r="L135" i="33"/>
  <c r="M135" i="33" s="1"/>
  <c r="E141" i="9" s="1"/>
  <c r="L200" i="33"/>
  <c r="M200" i="33" s="1"/>
  <c r="E206" i="9" s="1"/>
  <c r="L238" i="33"/>
  <c r="M238" i="33" s="1"/>
  <c r="E244" i="9" s="1"/>
  <c r="L306" i="33"/>
  <c r="M306" i="33" s="1"/>
  <c r="E312" i="9" s="1"/>
  <c r="L277" i="33"/>
  <c r="M277" i="33" s="1"/>
  <c r="E283" i="9" s="1"/>
  <c r="L264" i="33"/>
  <c r="M264" i="33" s="1"/>
  <c r="E270" i="9" s="1"/>
  <c r="L44" i="33"/>
  <c r="M44" i="33" s="1"/>
  <c r="E50" i="9" s="1"/>
  <c r="L77" i="33"/>
  <c r="M77" i="33" s="1"/>
  <c r="E83" i="9" s="1"/>
  <c r="L109" i="33"/>
  <c r="M109" i="33" s="1"/>
  <c r="E115" i="9" s="1"/>
  <c r="L98" i="33"/>
  <c r="M98" i="33" s="1"/>
  <c r="E104" i="9" s="1"/>
  <c r="L90" i="33"/>
  <c r="M90" i="33" s="1"/>
  <c r="E96" i="9" s="1"/>
  <c r="L143" i="33"/>
  <c r="M143" i="33" s="1"/>
  <c r="E149" i="9" s="1"/>
  <c r="L180" i="33"/>
  <c r="M180" i="33" s="1"/>
  <c r="E186" i="9" s="1"/>
  <c r="L168" i="33"/>
  <c r="M168" i="33" s="1"/>
  <c r="E174" i="9" s="1"/>
  <c r="L224" i="33"/>
  <c r="M224" i="33" s="1"/>
  <c r="E230" i="9" s="1"/>
  <c r="L267" i="33"/>
  <c r="M267" i="33" s="1"/>
  <c r="E273" i="9" s="1"/>
  <c r="L299" i="33"/>
  <c r="M299" i="33" s="1"/>
  <c r="E305" i="9" s="1"/>
  <c r="L171" i="33"/>
  <c r="M171" i="33" s="1"/>
  <c r="E177" i="9" s="1"/>
  <c r="L228" i="33"/>
  <c r="M228" i="33" s="1"/>
  <c r="E234" i="9" s="1"/>
  <c r="L290" i="33"/>
  <c r="M290" i="33" s="1"/>
  <c r="E296" i="9" s="1"/>
  <c r="L298" i="33"/>
  <c r="M298" i="33" s="1"/>
  <c r="E304" i="9" s="1"/>
  <c r="L126" i="33"/>
  <c r="M126" i="33" s="1"/>
  <c r="E132" i="9" s="1"/>
  <c r="L218" i="33"/>
  <c r="M218" i="33" s="1"/>
  <c r="E224" i="9" s="1"/>
  <c r="L170" i="33"/>
  <c r="M170" i="33" s="1"/>
  <c r="E176" i="9" s="1"/>
  <c r="L166" i="33"/>
  <c r="M166" i="33" s="1"/>
  <c r="E172" i="9" s="1"/>
  <c r="L48" i="33"/>
  <c r="M48" i="33" s="1"/>
  <c r="E54" i="9" s="1"/>
  <c r="L35" i="33"/>
  <c r="M35" i="33" s="1"/>
  <c r="E41" i="9" s="1"/>
  <c r="L36" i="33"/>
  <c r="M36" i="33" s="1"/>
  <c r="E42" i="9" s="1"/>
  <c r="L12" i="33"/>
  <c r="M12" i="33" s="1"/>
  <c r="E18" i="9" s="1"/>
  <c r="L80" i="33"/>
  <c r="M80" i="33" s="1"/>
  <c r="E86" i="9" s="1"/>
  <c r="L175" i="33"/>
  <c r="M175" i="33" s="1"/>
  <c r="E181" i="9" s="1"/>
  <c r="L60" i="33"/>
  <c r="M60" i="33" s="1"/>
  <c r="E66" i="9" s="1"/>
  <c r="L189" i="33"/>
  <c r="M189" i="33" s="1"/>
  <c r="E195" i="9" s="1"/>
  <c r="L51" i="33"/>
  <c r="M51" i="33" s="1"/>
  <c r="E57" i="9" s="1"/>
  <c r="L39" i="33"/>
  <c r="M39" i="33" s="1"/>
  <c r="E45" i="9" s="1"/>
  <c r="L17" i="33"/>
  <c r="M17" i="33" s="1"/>
  <c r="E23" i="9" s="1"/>
  <c r="L30" i="33"/>
  <c r="M30" i="33" s="1"/>
  <c r="E36" i="9" s="1"/>
  <c r="L233" i="33"/>
  <c r="M233" i="33" s="1"/>
  <c r="E239" i="9" s="1"/>
  <c r="L262" i="33"/>
  <c r="M262" i="33" s="1"/>
  <c r="E268" i="9" s="1"/>
  <c r="L40" i="33"/>
  <c r="M40" i="33" s="1"/>
  <c r="E46" i="9" s="1"/>
  <c r="L62" i="33"/>
  <c r="M62" i="33" s="1"/>
  <c r="E68" i="9" s="1"/>
  <c r="L82" i="33"/>
  <c r="M82" i="33" s="1"/>
  <c r="E88" i="9" s="1"/>
  <c r="L33" i="33"/>
  <c r="M33" i="33" s="1"/>
  <c r="E39" i="9" s="1"/>
  <c r="L227" i="33"/>
  <c r="M227" i="33" s="1"/>
  <c r="E233" i="9" s="1"/>
  <c r="L32" i="33"/>
  <c r="M32" i="33" s="1"/>
  <c r="E38" i="9" s="1"/>
  <c r="L103" i="33"/>
  <c r="M103" i="33" s="1"/>
  <c r="E109" i="9" s="1"/>
  <c r="L63" i="33"/>
  <c r="M63" i="33" s="1"/>
  <c r="E69" i="9" s="1"/>
  <c r="L201" i="33"/>
  <c r="M201" i="33" s="1"/>
  <c r="E207" i="9" s="1"/>
  <c r="L9" i="33"/>
  <c r="M9" i="33" s="1"/>
  <c r="E15" i="9" s="1"/>
  <c r="L68" i="33"/>
  <c r="M68" i="33" s="1"/>
  <c r="E74" i="9" s="1"/>
  <c r="L57" i="33"/>
  <c r="M57" i="33" s="1"/>
  <c r="E63" i="9" s="1"/>
  <c r="L14" i="33"/>
  <c r="M14" i="33" s="1"/>
  <c r="E20" i="9" s="1"/>
  <c r="L58" i="33"/>
  <c r="M58" i="33" s="1"/>
  <c r="E64" i="9" s="1"/>
  <c r="L217" i="33"/>
  <c r="M217" i="33" s="1"/>
  <c r="E223" i="9" s="1"/>
  <c r="L38" i="33"/>
  <c r="M38" i="33" s="1"/>
  <c r="E44" i="9" s="1"/>
  <c r="L83" i="33"/>
  <c r="M83" i="33" s="1"/>
  <c r="E89" i="9" s="1"/>
  <c r="L65" i="33"/>
  <c r="M65" i="33" s="1"/>
  <c r="E71" i="9" s="1"/>
  <c r="L112" i="33"/>
  <c r="M112" i="33" s="1"/>
  <c r="E118" i="9" s="1"/>
  <c r="L72" i="33"/>
  <c r="M72" i="33" s="1"/>
  <c r="E78" i="9" s="1"/>
  <c r="L147" i="33"/>
  <c r="M147" i="33" s="1"/>
  <c r="E153" i="9" s="1"/>
  <c r="L124" i="33"/>
  <c r="M124" i="33" s="1"/>
  <c r="E130" i="9" s="1"/>
  <c r="L165" i="33"/>
  <c r="M165" i="33" s="1"/>
  <c r="E171" i="9" s="1"/>
  <c r="L199" i="33"/>
  <c r="M199" i="33" s="1"/>
  <c r="E205" i="9" s="1"/>
  <c r="L247" i="33"/>
  <c r="M247" i="33" s="1"/>
  <c r="E253" i="9" s="1"/>
  <c r="L279" i="33"/>
  <c r="M279" i="33" s="1"/>
  <c r="E285" i="9" s="1"/>
  <c r="L311" i="33"/>
  <c r="M311" i="33" s="1"/>
  <c r="E317" i="9" s="1"/>
  <c r="L211" i="33"/>
  <c r="M211" i="33" s="1"/>
  <c r="E217" i="9" s="1"/>
  <c r="L190" i="33"/>
  <c r="M190" i="33" s="1"/>
  <c r="E196" i="9" s="1"/>
  <c r="L293" i="33"/>
  <c r="M293" i="33" s="1"/>
  <c r="E299" i="9" s="1"/>
  <c r="L285" i="33"/>
  <c r="M285" i="33" s="1"/>
  <c r="E291" i="9" s="1"/>
  <c r="L266" i="33"/>
  <c r="M266" i="33" s="1"/>
  <c r="E272" i="9" s="1"/>
  <c r="L270" i="33"/>
  <c r="M270" i="33" s="1"/>
  <c r="E276" i="9" s="1"/>
  <c r="L76" i="33"/>
  <c r="M76" i="33" s="1"/>
  <c r="E82" i="9" s="1"/>
  <c r="L117" i="33"/>
  <c r="M117" i="33" s="1"/>
  <c r="E123" i="9" s="1"/>
  <c r="L31" i="33"/>
  <c r="M31" i="33" s="1"/>
  <c r="E37" i="9" s="1"/>
  <c r="L176" i="33"/>
  <c r="M176" i="33" s="1"/>
  <c r="E182" i="9" s="1"/>
  <c r="L91" i="33"/>
  <c r="M91" i="33" s="1"/>
  <c r="E97" i="9" s="1"/>
  <c r="L191" i="33"/>
  <c r="M191" i="33" s="1"/>
  <c r="E197" i="9" s="1"/>
  <c r="L229" i="33"/>
  <c r="M229" i="33" s="1"/>
  <c r="E235" i="9" s="1"/>
  <c r="L140" i="33"/>
  <c r="M140" i="33" s="1"/>
  <c r="E146" i="9" s="1"/>
  <c r="L205" i="33"/>
  <c r="M205" i="33" s="1"/>
  <c r="E211" i="9" s="1"/>
  <c r="L252" i="33"/>
  <c r="M252" i="33" s="1"/>
  <c r="E258" i="9" s="1"/>
  <c r="L198" i="33"/>
  <c r="M198" i="33" s="1"/>
  <c r="E204" i="9" s="1"/>
  <c r="L288" i="33"/>
  <c r="M288" i="33" s="1"/>
  <c r="E294" i="9" s="1"/>
  <c r="L250" i="33"/>
  <c r="M250" i="33" s="1"/>
  <c r="E256" i="9" s="1"/>
  <c r="L46" i="33"/>
  <c r="M46" i="33" s="1"/>
  <c r="E52" i="9" s="1"/>
  <c r="L85" i="33"/>
  <c r="M85" i="33" s="1"/>
  <c r="E91" i="9" s="1"/>
  <c r="L22" i="33"/>
  <c r="M22" i="33" s="1"/>
  <c r="E28" i="9" s="1"/>
  <c r="L107" i="33"/>
  <c r="M107" i="33" s="1"/>
  <c r="E113" i="9" s="1"/>
  <c r="L99" i="33"/>
  <c r="M99" i="33" s="1"/>
  <c r="E105" i="9" s="1"/>
  <c r="L174" i="33"/>
  <c r="M174" i="33" s="1"/>
  <c r="E180" i="9" s="1"/>
  <c r="L131" i="33"/>
  <c r="M131" i="33" s="1"/>
  <c r="E137" i="9" s="1"/>
  <c r="L177" i="33"/>
  <c r="M177" i="33" s="1"/>
  <c r="E183" i="9" s="1"/>
  <c r="L239" i="33"/>
  <c r="M239" i="33" s="1"/>
  <c r="E245" i="9" s="1"/>
  <c r="L275" i="33"/>
  <c r="M275" i="33" s="1"/>
  <c r="E281" i="9" s="1"/>
  <c r="L307" i="33"/>
  <c r="M307" i="33" s="1"/>
  <c r="E313" i="9" s="1"/>
  <c r="L216" i="33"/>
  <c r="M216" i="33" s="1"/>
  <c r="E222" i="9" s="1"/>
  <c r="L237" i="33"/>
  <c r="M237" i="33" s="1"/>
  <c r="E243" i="9" s="1"/>
  <c r="L278" i="33"/>
  <c r="M278" i="33" s="1"/>
  <c r="E284" i="9" s="1"/>
  <c r="L308" i="33"/>
  <c r="M308" i="33" s="1"/>
  <c r="E314" i="9" s="1"/>
  <c r="L243" i="33"/>
  <c r="M243" i="33" s="1"/>
  <c r="E249" i="9" s="1"/>
  <c r="L202" i="33"/>
  <c r="M202" i="33" s="1"/>
  <c r="E208" i="9" s="1"/>
  <c r="L154" i="33"/>
  <c r="M154" i="33" s="1"/>
  <c r="E160" i="9" s="1"/>
  <c r="L150" i="33"/>
  <c r="M150" i="33" s="1"/>
  <c r="E156" i="9" s="1"/>
  <c r="L20" i="33"/>
  <c r="M20" i="33" s="1"/>
  <c r="E26" i="9" s="1"/>
  <c r="L28" i="33"/>
  <c r="M28" i="33" s="1"/>
  <c r="E34" i="9" s="1"/>
  <c r="L11" i="33"/>
  <c r="M11" i="33" s="1"/>
  <c r="E17" i="9" s="1"/>
  <c r="K33" i="54"/>
  <c r="K211" i="54"/>
  <c r="K78" i="54"/>
  <c r="F30" i="48"/>
  <c r="L6" i="33"/>
  <c r="M6" i="33" s="1"/>
  <c r="I6" i="37"/>
  <c r="F314" i="37"/>
  <c r="K314" i="54" l="1"/>
  <c r="D18" i="48"/>
  <c r="G16" i="34"/>
  <c r="I314" i="37"/>
  <c r="M314" i="33"/>
  <c r="C7" i="9" s="1"/>
  <c r="E12" i="9"/>
  <c r="E320" i="9" l="1"/>
  <c r="F18" i="48"/>
  <c r="G324" i="34"/>
  <c r="H16" i="34"/>
  <c r="D7" i="9"/>
  <c r="C8" i="9"/>
  <c r="D8" i="9" s="1"/>
  <c r="F11" i="9" l="1"/>
  <c r="B21" i="48"/>
  <c r="H324" i="34"/>
  <c r="G15" i="34"/>
  <c r="F14" i="9" l="1"/>
  <c r="G14" i="9" s="1"/>
  <c r="F16" i="9"/>
  <c r="G16" i="9" s="1"/>
  <c r="F21" i="9"/>
  <c r="G21" i="9" s="1"/>
  <c r="F23" i="9"/>
  <c r="G23" i="9" s="1"/>
  <c r="F30" i="9"/>
  <c r="G30" i="9" s="1"/>
  <c r="F32" i="9"/>
  <c r="G32" i="9" s="1"/>
  <c r="F37" i="9"/>
  <c r="G37" i="9" s="1"/>
  <c r="F39" i="9"/>
  <c r="G39" i="9" s="1"/>
  <c r="F46" i="9"/>
  <c r="G46" i="9" s="1"/>
  <c r="F48" i="9"/>
  <c r="G48" i="9" s="1"/>
  <c r="F53" i="9"/>
  <c r="G53" i="9" s="1"/>
  <c r="F55" i="9"/>
  <c r="G55" i="9" s="1"/>
  <c r="F62" i="9"/>
  <c r="G62" i="9" s="1"/>
  <c r="F64" i="9"/>
  <c r="G64" i="9" s="1"/>
  <c r="F69" i="9"/>
  <c r="G69" i="9" s="1"/>
  <c r="F71" i="9"/>
  <c r="G71" i="9" s="1"/>
  <c r="F78" i="9"/>
  <c r="G78" i="9" s="1"/>
  <c r="F80" i="9"/>
  <c r="G80" i="9" s="1"/>
  <c r="F85" i="9"/>
  <c r="G85" i="9" s="1"/>
  <c r="F87" i="9"/>
  <c r="G87" i="9" s="1"/>
  <c r="F94" i="9"/>
  <c r="G94" i="9" s="1"/>
  <c r="F96" i="9"/>
  <c r="G96" i="9" s="1"/>
  <c r="F101" i="9"/>
  <c r="G101" i="9" s="1"/>
  <c r="F103" i="9"/>
  <c r="G103" i="9" s="1"/>
  <c r="F110" i="9"/>
  <c r="G110" i="9" s="1"/>
  <c r="F112" i="9"/>
  <c r="G112" i="9" s="1"/>
  <c r="F117" i="9"/>
  <c r="G117" i="9" s="1"/>
  <c r="F119" i="9"/>
  <c r="G119" i="9" s="1"/>
  <c r="F126" i="9"/>
  <c r="G126" i="9" s="1"/>
  <c r="F128" i="9"/>
  <c r="G128" i="9" s="1"/>
  <c r="F133" i="9"/>
  <c r="G133" i="9" s="1"/>
  <c r="F135" i="9"/>
  <c r="G135" i="9" s="1"/>
  <c r="F142" i="9"/>
  <c r="G142" i="9" s="1"/>
  <c r="F144" i="9"/>
  <c r="G144" i="9" s="1"/>
  <c r="F149" i="9"/>
  <c r="G149" i="9" s="1"/>
  <c r="F151" i="9"/>
  <c r="G151" i="9" s="1"/>
  <c r="F158" i="9"/>
  <c r="G158" i="9" s="1"/>
  <c r="F160" i="9"/>
  <c r="G160" i="9" s="1"/>
  <c r="F165" i="9"/>
  <c r="G165" i="9" s="1"/>
  <c r="F167" i="9"/>
  <c r="G167" i="9" s="1"/>
  <c r="F174" i="9"/>
  <c r="G174" i="9" s="1"/>
  <c r="F176" i="9"/>
  <c r="G176" i="9" s="1"/>
  <c r="F181" i="9"/>
  <c r="G181" i="9" s="1"/>
  <c r="F183" i="9"/>
  <c r="G183" i="9" s="1"/>
  <c r="F190" i="9"/>
  <c r="G190" i="9" s="1"/>
  <c r="F192" i="9"/>
  <c r="G192" i="9" s="1"/>
  <c r="F197" i="9"/>
  <c r="G197" i="9" s="1"/>
  <c r="F199" i="9"/>
  <c r="G199" i="9" s="1"/>
  <c r="F206" i="9"/>
  <c r="G206" i="9" s="1"/>
  <c r="F208" i="9"/>
  <c r="G208" i="9" s="1"/>
  <c r="F213" i="9"/>
  <c r="G213" i="9" s="1"/>
  <c r="F215" i="9"/>
  <c r="G215" i="9" s="1"/>
  <c r="F222" i="9"/>
  <c r="G222" i="9" s="1"/>
  <c r="F224" i="9"/>
  <c r="G224" i="9" s="1"/>
  <c r="F229" i="9"/>
  <c r="G229" i="9" s="1"/>
  <c r="F231" i="9"/>
  <c r="G231" i="9" s="1"/>
  <c r="F18" i="9"/>
  <c r="G18" i="9" s="1"/>
  <c r="F20" i="9"/>
  <c r="G20" i="9" s="1"/>
  <c r="F25" i="9"/>
  <c r="G25" i="9" s="1"/>
  <c r="F27" i="9"/>
  <c r="G27" i="9" s="1"/>
  <c r="F34" i="9"/>
  <c r="G34" i="9" s="1"/>
  <c r="F36" i="9"/>
  <c r="G36" i="9" s="1"/>
  <c r="F41" i="9"/>
  <c r="G41" i="9" s="1"/>
  <c r="F43" i="9"/>
  <c r="G43" i="9" s="1"/>
  <c r="F50" i="9"/>
  <c r="G50" i="9" s="1"/>
  <c r="F52" i="9"/>
  <c r="G52" i="9" s="1"/>
  <c r="F57" i="9"/>
  <c r="G57" i="9" s="1"/>
  <c r="F59" i="9"/>
  <c r="G59" i="9" s="1"/>
  <c r="F66" i="9"/>
  <c r="G66" i="9" s="1"/>
  <c r="F68" i="9"/>
  <c r="G68" i="9" s="1"/>
  <c r="F73" i="9"/>
  <c r="G73" i="9" s="1"/>
  <c r="F75" i="9"/>
  <c r="G75" i="9" s="1"/>
  <c r="F82" i="9"/>
  <c r="G82" i="9" s="1"/>
  <c r="F84" i="9"/>
  <c r="G84" i="9" s="1"/>
  <c r="F89" i="9"/>
  <c r="G89" i="9" s="1"/>
  <c r="F91" i="9"/>
  <c r="G91" i="9" s="1"/>
  <c r="F98" i="9"/>
  <c r="G98" i="9" s="1"/>
  <c r="F100" i="9"/>
  <c r="G100" i="9" s="1"/>
  <c r="F105" i="9"/>
  <c r="G105" i="9" s="1"/>
  <c r="F107" i="9"/>
  <c r="G107" i="9" s="1"/>
  <c r="F114" i="9"/>
  <c r="G114" i="9" s="1"/>
  <c r="F116" i="9"/>
  <c r="G116" i="9" s="1"/>
  <c r="F121" i="9"/>
  <c r="G121" i="9" s="1"/>
  <c r="F123" i="9"/>
  <c r="G123" i="9" s="1"/>
  <c r="F130" i="9"/>
  <c r="G130" i="9" s="1"/>
  <c r="F132" i="9"/>
  <c r="G132" i="9" s="1"/>
  <c r="F137" i="9"/>
  <c r="G137" i="9" s="1"/>
  <c r="F139" i="9"/>
  <c r="G139" i="9" s="1"/>
  <c r="F146" i="9"/>
  <c r="G146" i="9" s="1"/>
  <c r="F148" i="9"/>
  <c r="G148" i="9" s="1"/>
  <c r="F153" i="9"/>
  <c r="G153" i="9" s="1"/>
  <c r="F155" i="9"/>
  <c r="G155" i="9" s="1"/>
  <c r="F162" i="9"/>
  <c r="G162" i="9" s="1"/>
  <c r="F164" i="9"/>
  <c r="G164" i="9" s="1"/>
  <c r="F169" i="9"/>
  <c r="G169" i="9" s="1"/>
  <c r="F171" i="9"/>
  <c r="G171" i="9" s="1"/>
  <c r="F178" i="9"/>
  <c r="G178" i="9" s="1"/>
  <c r="F180" i="9"/>
  <c r="G180" i="9" s="1"/>
  <c r="F185" i="9"/>
  <c r="G185" i="9" s="1"/>
  <c r="F187" i="9"/>
  <c r="G187" i="9" s="1"/>
  <c r="F194" i="9"/>
  <c r="G194" i="9" s="1"/>
  <c r="F196" i="9"/>
  <c r="G196" i="9" s="1"/>
  <c r="F201" i="9"/>
  <c r="G201" i="9" s="1"/>
  <c r="F203" i="9"/>
  <c r="G203" i="9" s="1"/>
  <c r="F210" i="9"/>
  <c r="G210" i="9" s="1"/>
  <c r="F212" i="9"/>
  <c r="G212" i="9" s="1"/>
  <c r="F217" i="9"/>
  <c r="G217" i="9" s="1"/>
  <c r="F219" i="9"/>
  <c r="G219" i="9" s="1"/>
  <c r="F226" i="9"/>
  <c r="G226" i="9" s="1"/>
  <c r="F228" i="9"/>
  <c r="G228" i="9" s="1"/>
  <c r="F233" i="9"/>
  <c r="G233" i="9" s="1"/>
  <c r="F13" i="9"/>
  <c r="G13" i="9" s="1"/>
  <c r="F15" i="9"/>
  <c r="G15" i="9" s="1"/>
  <c r="F22" i="9"/>
  <c r="G22" i="9" s="1"/>
  <c r="F24" i="9"/>
  <c r="G24" i="9" s="1"/>
  <c r="F29" i="9"/>
  <c r="G29" i="9" s="1"/>
  <c r="F31" i="9"/>
  <c r="G31" i="9" s="1"/>
  <c r="F38" i="9"/>
  <c r="G38" i="9" s="1"/>
  <c r="F40" i="9"/>
  <c r="G40" i="9" s="1"/>
  <c r="F45" i="9"/>
  <c r="G45" i="9" s="1"/>
  <c r="F47" i="9"/>
  <c r="G47" i="9" s="1"/>
  <c r="F54" i="9"/>
  <c r="G54" i="9" s="1"/>
  <c r="F56" i="9"/>
  <c r="G56" i="9" s="1"/>
  <c r="F61" i="9"/>
  <c r="G61" i="9" s="1"/>
  <c r="F63" i="9"/>
  <c r="G63" i="9" s="1"/>
  <c r="F70" i="9"/>
  <c r="G70" i="9" s="1"/>
  <c r="F72" i="9"/>
  <c r="G72" i="9" s="1"/>
  <c r="F77" i="9"/>
  <c r="G77" i="9" s="1"/>
  <c r="F79" i="9"/>
  <c r="G79" i="9" s="1"/>
  <c r="F86" i="9"/>
  <c r="G86" i="9" s="1"/>
  <c r="F88" i="9"/>
  <c r="G88" i="9" s="1"/>
  <c r="F93" i="9"/>
  <c r="G93" i="9" s="1"/>
  <c r="F95" i="9"/>
  <c r="G95" i="9" s="1"/>
  <c r="F102" i="9"/>
  <c r="G102" i="9" s="1"/>
  <c r="F104" i="9"/>
  <c r="G104" i="9" s="1"/>
  <c r="F109" i="9"/>
  <c r="G109" i="9" s="1"/>
  <c r="F111" i="9"/>
  <c r="G111" i="9" s="1"/>
  <c r="F118" i="9"/>
  <c r="G118" i="9" s="1"/>
  <c r="F120" i="9"/>
  <c r="G120" i="9" s="1"/>
  <c r="F125" i="9"/>
  <c r="G125" i="9" s="1"/>
  <c r="F127" i="9"/>
  <c r="G127" i="9" s="1"/>
  <c r="F134" i="9"/>
  <c r="G134" i="9" s="1"/>
  <c r="F136" i="9"/>
  <c r="G136" i="9" s="1"/>
  <c r="F141" i="9"/>
  <c r="G141" i="9" s="1"/>
  <c r="F143" i="9"/>
  <c r="G143" i="9" s="1"/>
  <c r="F150" i="9"/>
  <c r="G150" i="9" s="1"/>
  <c r="F152" i="9"/>
  <c r="G152" i="9" s="1"/>
  <c r="F157" i="9"/>
  <c r="G157" i="9" s="1"/>
  <c r="F159" i="9"/>
  <c r="G159" i="9" s="1"/>
  <c r="F166" i="9"/>
  <c r="G166" i="9" s="1"/>
  <c r="F168" i="9"/>
  <c r="G168" i="9" s="1"/>
  <c r="F173" i="9"/>
  <c r="G173" i="9" s="1"/>
  <c r="F175" i="9"/>
  <c r="G175" i="9" s="1"/>
  <c r="F182" i="9"/>
  <c r="G182" i="9" s="1"/>
  <c r="F184" i="9"/>
  <c r="G184" i="9" s="1"/>
  <c r="F189" i="9"/>
  <c r="G189" i="9" s="1"/>
  <c r="F191" i="9"/>
  <c r="G191" i="9" s="1"/>
  <c r="F198" i="9"/>
  <c r="G198" i="9" s="1"/>
  <c r="F200" i="9"/>
  <c r="G200" i="9" s="1"/>
  <c r="F205" i="9"/>
  <c r="G205" i="9" s="1"/>
  <c r="F207" i="9"/>
  <c r="G207" i="9" s="1"/>
  <c r="F214" i="9"/>
  <c r="G214" i="9" s="1"/>
  <c r="F216" i="9"/>
  <c r="G216" i="9" s="1"/>
  <c r="F221" i="9"/>
  <c r="G221" i="9" s="1"/>
  <c r="F223" i="9"/>
  <c r="G223" i="9" s="1"/>
  <c r="F230" i="9"/>
  <c r="G230" i="9" s="1"/>
  <c r="F44" i="9"/>
  <c r="G44" i="9" s="1"/>
  <c r="F51" i="9"/>
  <c r="G51" i="9" s="1"/>
  <c r="F58" i="9"/>
  <c r="G58" i="9" s="1"/>
  <c r="F65" i="9"/>
  <c r="G65" i="9" s="1"/>
  <c r="F108" i="9"/>
  <c r="G108" i="9" s="1"/>
  <c r="F115" i="9"/>
  <c r="G115" i="9" s="1"/>
  <c r="F122" i="9"/>
  <c r="G122" i="9" s="1"/>
  <c r="F129" i="9"/>
  <c r="G129" i="9" s="1"/>
  <c r="F172" i="9"/>
  <c r="G172" i="9" s="1"/>
  <c r="F179" i="9"/>
  <c r="G179" i="9" s="1"/>
  <c r="F186" i="9"/>
  <c r="G186" i="9" s="1"/>
  <c r="F193" i="9"/>
  <c r="G193" i="9" s="1"/>
  <c r="F235" i="9"/>
  <c r="G235" i="9" s="1"/>
  <c r="F242" i="9"/>
  <c r="G242" i="9" s="1"/>
  <c r="F244" i="9"/>
  <c r="G244" i="9" s="1"/>
  <c r="F249" i="9"/>
  <c r="G249" i="9" s="1"/>
  <c r="F251" i="9"/>
  <c r="G251" i="9" s="1"/>
  <c r="F258" i="9"/>
  <c r="G258" i="9" s="1"/>
  <c r="F260" i="9"/>
  <c r="G260" i="9" s="1"/>
  <c r="F265" i="9"/>
  <c r="G265" i="9" s="1"/>
  <c r="F267" i="9"/>
  <c r="G267" i="9" s="1"/>
  <c r="F274" i="9"/>
  <c r="G274" i="9" s="1"/>
  <c r="F276" i="9"/>
  <c r="G276" i="9" s="1"/>
  <c r="F281" i="9"/>
  <c r="G281" i="9" s="1"/>
  <c r="F283" i="9"/>
  <c r="G283" i="9" s="1"/>
  <c r="F290" i="9"/>
  <c r="G290" i="9" s="1"/>
  <c r="F292" i="9"/>
  <c r="G292" i="9" s="1"/>
  <c r="F297" i="9"/>
  <c r="G297" i="9" s="1"/>
  <c r="F299" i="9"/>
  <c r="G299" i="9" s="1"/>
  <c r="F306" i="9"/>
  <c r="G306" i="9" s="1"/>
  <c r="F308" i="9"/>
  <c r="G308" i="9" s="1"/>
  <c r="F313" i="9"/>
  <c r="G313" i="9" s="1"/>
  <c r="F315" i="9"/>
  <c r="G315" i="9" s="1"/>
  <c r="F28" i="9"/>
  <c r="G28" i="9" s="1"/>
  <c r="F49" i="9"/>
  <c r="G49" i="9" s="1"/>
  <c r="F92" i="9"/>
  <c r="G92" i="9" s="1"/>
  <c r="F106" i="9"/>
  <c r="G106" i="9" s="1"/>
  <c r="F156" i="9"/>
  <c r="G156" i="9" s="1"/>
  <c r="F163" i="9"/>
  <c r="G163" i="9" s="1"/>
  <c r="F240" i="9"/>
  <c r="G240" i="9" s="1"/>
  <c r="F247" i="9"/>
  <c r="G247" i="9" s="1"/>
  <c r="F254" i="9"/>
  <c r="G254" i="9" s="1"/>
  <c r="F261" i="9"/>
  <c r="G261" i="9" s="1"/>
  <c r="F263" i="9"/>
  <c r="G263" i="9" s="1"/>
  <c r="F272" i="9"/>
  <c r="G272" i="9" s="1"/>
  <c r="F277" i="9"/>
  <c r="G277" i="9" s="1"/>
  <c r="F279" i="9"/>
  <c r="G279" i="9" s="1"/>
  <c r="F288" i="9"/>
  <c r="G288" i="9" s="1"/>
  <c r="F293" i="9"/>
  <c r="G293" i="9" s="1"/>
  <c r="F295" i="9"/>
  <c r="G295" i="9" s="1"/>
  <c r="F302" i="9"/>
  <c r="G302" i="9" s="1"/>
  <c r="F318" i="9"/>
  <c r="G318" i="9" s="1"/>
  <c r="F17" i="9"/>
  <c r="G17" i="9" s="1"/>
  <c r="F60" i="9"/>
  <c r="G60" i="9" s="1"/>
  <c r="F67" i="9"/>
  <c r="G67" i="9" s="1"/>
  <c r="F74" i="9"/>
  <c r="G74" i="9" s="1"/>
  <c r="F81" i="9"/>
  <c r="G81" i="9" s="1"/>
  <c r="F124" i="9"/>
  <c r="G124" i="9" s="1"/>
  <c r="F131" i="9"/>
  <c r="G131" i="9" s="1"/>
  <c r="F138" i="9"/>
  <c r="G138" i="9" s="1"/>
  <c r="F145" i="9"/>
  <c r="G145" i="9" s="1"/>
  <c r="F188" i="9"/>
  <c r="G188" i="9" s="1"/>
  <c r="F195" i="9"/>
  <c r="G195" i="9" s="1"/>
  <c r="F202" i="9"/>
  <c r="G202" i="9" s="1"/>
  <c r="F209" i="9"/>
  <c r="G209" i="9" s="1"/>
  <c r="F237" i="9"/>
  <c r="G237" i="9" s="1"/>
  <c r="F239" i="9"/>
  <c r="G239" i="9" s="1"/>
  <c r="F246" i="9"/>
  <c r="G246" i="9" s="1"/>
  <c r="F248" i="9"/>
  <c r="G248" i="9" s="1"/>
  <c r="F253" i="9"/>
  <c r="G253" i="9" s="1"/>
  <c r="F255" i="9"/>
  <c r="G255" i="9" s="1"/>
  <c r="F262" i="9"/>
  <c r="G262" i="9" s="1"/>
  <c r="F264" i="9"/>
  <c r="G264" i="9" s="1"/>
  <c r="F269" i="9"/>
  <c r="G269" i="9" s="1"/>
  <c r="F271" i="9"/>
  <c r="G271" i="9" s="1"/>
  <c r="F278" i="9"/>
  <c r="G278" i="9" s="1"/>
  <c r="F280" i="9"/>
  <c r="G280" i="9" s="1"/>
  <c r="F285" i="9"/>
  <c r="G285" i="9" s="1"/>
  <c r="F287" i="9"/>
  <c r="G287" i="9" s="1"/>
  <c r="F294" i="9"/>
  <c r="G294" i="9" s="1"/>
  <c r="F296" i="9"/>
  <c r="G296" i="9" s="1"/>
  <c r="F301" i="9"/>
  <c r="G301" i="9" s="1"/>
  <c r="F303" i="9"/>
  <c r="G303" i="9" s="1"/>
  <c r="F310" i="9"/>
  <c r="G310" i="9" s="1"/>
  <c r="F312" i="9"/>
  <c r="G312" i="9" s="1"/>
  <c r="F317" i="9"/>
  <c r="G317" i="9" s="1"/>
  <c r="F319" i="9"/>
  <c r="G319" i="9" s="1"/>
  <c r="F19" i="9"/>
  <c r="G19" i="9" s="1"/>
  <c r="F26" i="9"/>
  <c r="G26" i="9" s="1"/>
  <c r="F33" i="9"/>
  <c r="G33" i="9" s="1"/>
  <c r="F76" i="9"/>
  <c r="G76" i="9" s="1"/>
  <c r="F83" i="9"/>
  <c r="G83" i="9" s="1"/>
  <c r="F90" i="9"/>
  <c r="G90" i="9" s="1"/>
  <c r="F97" i="9"/>
  <c r="G97" i="9" s="1"/>
  <c r="F140" i="9"/>
  <c r="G140" i="9" s="1"/>
  <c r="F147" i="9"/>
  <c r="G147" i="9" s="1"/>
  <c r="F154" i="9"/>
  <c r="G154" i="9" s="1"/>
  <c r="F161" i="9"/>
  <c r="G161" i="9" s="1"/>
  <c r="F204" i="9"/>
  <c r="G204" i="9" s="1"/>
  <c r="F211" i="9"/>
  <c r="G211" i="9" s="1"/>
  <c r="F218" i="9"/>
  <c r="G218" i="9" s="1"/>
  <c r="F225" i="9"/>
  <c r="G225" i="9" s="1"/>
  <c r="F232" i="9"/>
  <c r="G232" i="9" s="1"/>
  <c r="F234" i="9"/>
  <c r="G234" i="9" s="1"/>
  <c r="F236" i="9"/>
  <c r="G236" i="9" s="1"/>
  <c r="F241" i="9"/>
  <c r="G241" i="9" s="1"/>
  <c r="F243" i="9"/>
  <c r="G243" i="9" s="1"/>
  <c r="F250" i="9"/>
  <c r="G250" i="9" s="1"/>
  <c r="F252" i="9"/>
  <c r="G252" i="9" s="1"/>
  <c r="F257" i="9"/>
  <c r="G257" i="9" s="1"/>
  <c r="F259" i="9"/>
  <c r="G259" i="9" s="1"/>
  <c r="F266" i="9"/>
  <c r="G266" i="9" s="1"/>
  <c r="F268" i="9"/>
  <c r="G268" i="9" s="1"/>
  <c r="F273" i="9"/>
  <c r="G273" i="9" s="1"/>
  <c r="F275" i="9"/>
  <c r="G275" i="9" s="1"/>
  <c r="F282" i="9"/>
  <c r="G282" i="9" s="1"/>
  <c r="F284" i="9"/>
  <c r="G284" i="9" s="1"/>
  <c r="F289" i="9"/>
  <c r="G289" i="9" s="1"/>
  <c r="F291" i="9"/>
  <c r="G291" i="9" s="1"/>
  <c r="F298" i="9"/>
  <c r="G298" i="9" s="1"/>
  <c r="F300" i="9"/>
  <c r="G300" i="9" s="1"/>
  <c r="F305" i="9"/>
  <c r="G305" i="9" s="1"/>
  <c r="F307" i="9"/>
  <c r="G307" i="9" s="1"/>
  <c r="F314" i="9"/>
  <c r="G314" i="9" s="1"/>
  <c r="F316" i="9"/>
  <c r="G316" i="9" s="1"/>
  <c r="F35" i="9"/>
  <c r="G35" i="9" s="1"/>
  <c r="F42" i="9"/>
  <c r="G42" i="9" s="1"/>
  <c r="F99" i="9"/>
  <c r="G99" i="9" s="1"/>
  <c r="F113" i="9"/>
  <c r="G113" i="9" s="1"/>
  <c r="F170" i="9"/>
  <c r="G170" i="9" s="1"/>
  <c r="F177" i="9"/>
  <c r="G177" i="9" s="1"/>
  <c r="F220" i="9"/>
  <c r="G220" i="9" s="1"/>
  <c r="F227" i="9"/>
  <c r="G227" i="9" s="1"/>
  <c r="F238" i="9"/>
  <c r="G238" i="9" s="1"/>
  <c r="F245" i="9"/>
  <c r="G245" i="9" s="1"/>
  <c r="F256" i="9"/>
  <c r="G256" i="9" s="1"/>
  <c r="F270" i="9"/>
  <c r="G270" i="9" s="1"/>
  <c r="F286" i="9"/>
  <c r="G286" i="9" s="1"/>
  <c r="F304" i="9"/>
  <c r="G304" i="9" s="1"/>
  <c r="F309" i="9"/>
  <c r="G309" i="9" s="1"/>
  <c r="F311" i="9"/>
  <c r="G311" i="9" s="1"/>
  <c r="F12" i="9"/>
  <c r="D239" i="39" l="1"/>
  <c r="D239" i="12"/>
  <c r="D36" i="39"/>
  <c r="D36" i="12"/>
  <c r="D285" i="39"/>
  <c r="D285" i="12"/>
  <c r="D253" i="39"/>
  <c r="D253" i="12"/>
  <c r="D280" i="12"/>
  <c r="D280" i="39"/>
  <c r="D232" i="12"/>
  <c r="D232" i="39"/>
  <c r="D164" i="39"/>
  <c r="D164" i="12"/>
  <c r="D29" i="39"/>
  <c r="D29" i="12"/>
  <c r="D299" i="39"/>
  <c r="D299" i="12"/>
  <c r="D283" i="39"/>
  <c r="D283" i="12"/>
  <c r="D267" i="39"/>
  <c r="D267" i="12"/>
  <c r="D251" i="39"/>
  <c r="D251" i="12"/>
  <c r="D235" i="39"/>
  <c r="D235" i="12"/>
  <c r="D219" i="39"/>
  <c r="D219" i="12"/>
  <c r="D155" i="39"/>
  <c r="D155" i="12"/>
  <c r="D91" i="39"/>
  <c r="D91" i="12"/>
  <c r="D27" i="39"/>
  <c r="D27" i="12"/>
  <c r="D311" i="39"/>
  <c r="D311" i="12"/>
  <c r="D295" i="39"/>
  <c r="D295" i="12"/>
  <c r="D279" i="39"/>
  <c r="D279" i="12"/>
  <c r="D263" i="39"/>
  <c r="D263" i="12"/>
  <c r="D247" i="39"/>
  <c r="D247" i="12"/>
  <c r="D231" i="39"/>
  <c r="D231" i="12"/>
  <c r="D182" i="12"/>
  <c r="D182" i="39"/>
  <c r="D118" i="12"/>
  <c r="D118" i="39"/>
  <c r="D54" i="39"/>
  <c r="D54" i="12"/>
  <c r="D289" i="39"/>
  <c r="D289" i="12"/>
  <c r="D271" i="39"/>
  <c r="D271" i="12"/>
  <c r="D248" i="12"/>
  <c r="D248" i="39"/>
  <c r="D150" i="12"/>
  <c r="D150" i="39"/>
  <c r="D22" i="39"/>
  <c r="D22" i="12"/>
  <c r="D300" i="12"/>
  <c r="D300" i="39"/>
  <c r="D284" i="12"/>
  <c r="D284" i="39"/>
  <c r="D268" i="12"/>
  <c r="D268" i="39"/>
  <c r="D252" i="12"/>
  <c r="D252" i="39"/>
  <c r="D236" i="39"/>
  <c r="D236" i="12"/>
  <c r="D173" i="39"/>
  <c r="D173" i="12"/>
  <c r="D109" i="12"/>
  <c r="D109" i="39"/>
  <c r="D45" i="39"/>
  <c r="D45" i="12"/>
  <c r="D215" i="39"/>
  <c r="D215" i="12"/>
  <c r="D199" i="39"/>
  <c r="D199" i="12"/>
  <c r="D183" i="39"/>
  <c r="D183" i="12"/>
  <c r="D167" i="39"/>
  <c r="D167" i="12"/>
  <c r="D151" i="39"/>
  <c r="D151" i="12"/>
  <c r="D135" i="12"/>
  <c r="D135" i="39"/>
  <c r="D119" i="39"/>
  <c r="D119" i="12"/>
  <c r="D103" i="39"/>
  <c r="D103" i="12"/>
  <c r="D87" i="12"/>
  <c r="D87" i="39"/>
  <c r="D71" i="39"/>
  <c r="D71" i="12"/>
  <c r="D55" i="39"/>
  <c r="D55" i="12"/>
  <c r="D39" i="39"/>
  <c r="D39" i="12"/>
  <c r="D23" i="39"/>
  <c r="D23" i="12"/>
  <c r="D7" i="39"/>
  <c r="D7" i="12"/>
  <c r="D213" i="39"/>
  <c r="D213" i="12"/>
  <c r="D197" i="39"/>
  <c r="D197" i="12"/>
  <c r="D181" i="39"/>
  <c r="D181" i="12"/>
  <c r="D165" i="39"/>
  <c r="D165" i="12"/>
  <c r="D149" i="39"/>
  <c r="D149" i="12"/>
  <c r="D133" i="39"/>
  <c r="D133" i="12"/>
  <c r="D117" i="12"/>
  <c r="D117" i="39"/>
  <c r="D101" i="12"/>
  <c r="D101" i="39"/>
  <c r="D85" i="12"/>
  <c r="D85" i="39"/>
  <c r="D69" i="12"/>
  <c r="D69" i="39"/>
  <c r="D53" i="39"/>
  <c r="D53" i="12"/>
  <c r="D37" i="39"/>
  <c r="D37" i="12"/>
  <c r="D21" i="39"/>
  <c r="D21" i="12"/>
  <c r="D225" i="39"/>
  <c r="D225" i="12"/>
  <c r="D209" i="39"/>
  <c r="D209" i="12"/>
  <c r="D193" i="39"/>
  <c r="D193" i="12"/>
  <c r="D177" i="39"/>
  <c r="D177" i="12"/>
  <c r="D161" i="39"/>
  <c r="D161" i="12"/>
  <c r="D145" i="12"/>
  <c r="D145" i="39"/>
  <c r="D129" i="39"/>
  <c r="D129" i="12"/>
  <c r="D113" i="12"/>
  <c r="D113" i="39"/>
  <c r="D97" i="12"/>
  <c r="D97" i="39"/>
  <c r="D81" i="12"/>
  <c r="D81" i="39"/>
  <c r="D65" i="39"/>
  <c r="D65" i="12"/>
  <c r="D49" i="39"/>
  <c r="D49" i="12"/>
  <c r="D33" i="39"/>
  <c r="D33" i="12"/>
  <c r="D17" i="39"/>
  <c r="D17" i="12"/>
  <c r="D305" i="39"/>
  <c r="D305" i="12"/>
  <c r="D221" i="39"/>
  <c r="D221" i="12"/>
  <c r="D310" i="12"/>
  <c r="D310" i="39"/>
  <c r="D278" i="12"/>
  <c r="D278" i="39"/>
  <c r="D246" i="12"/>
  <c r="D246" i="39"/>
  <c r="D230" i="12"/>
  <c r="D230" i="39"/>
  <c r="D212" i="12"/>
  <c r="D212" i="39"/>
  <c r="D148" i="39"/>
  <c r="D148" i="12"/>
  <c r="D84" i="39"/>
  <c r="D84" i="12"/>
  <c r="D20" i="39"/>
  <c r="D20" i="12"/>
  <c r="D306" i="39"/>
  <c r="D306" i="12"/>
  <c r="D290" i="12"/>
  <c r="D290" i="39"/>
  <c r="D274" i="12"/>
  <c r="D274" i="39"/>
  <c r="D258" i="12"/>
  <c r="D258" i="39"/>
  <c r="D242" i="12"/>
  <c r="D242" i="39"/>
  <c r="D203" i="39"/>
  <c r="D203" i="12"/>
  <c r="D139" i="12"/>
  <c r="D139" i="39"/>
  <c r="D75" i="39"/>
  <c r="D75" i="12"/>
  <c r="D11" i="39"/>
  <c r="D11" i="12"/>
  <c r="D287" i="39"/>
  <c r="D287" i="12"/>
  <c r="D266" i="12"/>
  <c r="D266" i="39"/>
  <c r="D241" i="39"/>
  <c r="D241" i="12"/>
  <c r="D100" i="12"/>
  <c r="D100" i="39"/>
  <c r="D309" i="39"/>
  <c r="D309" i="12"/>
  <c r="D293" i="39"/>
  <c r="D293" i="12"/>
  <c r="D277" i="39"/>
  <c r="D277" i="12"/>
  <c r="D261" i="39"/>
  <c r="D261" i="12"/>
  <c r="D245" i="39"/>
  <c r="D245" i="12"/>
  <c r="D229" i="39"/>
  <c r="D229" i="12"/>
  <c r="D166" i="12"/>
  <c r="D166" i="39"/>
  <c r="D102" i="12"/>
  <c r="D102" i="39"/>
  <c r="D38" i="39"/>
  <c r="D38" i="12"/>
  <c r="D210" i="12"/>
  <c r="D210" i="39"/>
  <c r="D194" i="39"/>
  <c r="D194" i="12"/>
  <c r="D178" i="12"/>
  <c r="D178" i="39"/>
  <c r="D162" i="12"/>
  <c r="D162" i="39"/>
  <c r="D146" i="39"/>
  <c r="D146" i="12"/>
  <c r="D130" i="12"/>
  <c r="D130" i="39"/>
  <c r="D114" i="12"/>
  <c r="D114" i="39"/>
  <c r="D98" i="12"/>
  <c r="D98" i="39"/>
  <c r="D82" i="39"/>
  <c r="D82" i="12"/>
  <c r="D66" i="39"/>
  <c r="D66" i="12"/>
  <c r="D50" i="39"/>
  <c r="D50" i="12"/>
  <c r="D34" i="39"/>
  <c r="D34" i="12"/>
  <c r="D18" i="39"/>
  <c r="D18" i="12"/>
  <c r="D227" i="39"/>
  <c r="D227" i="12"/>
  <c r="D211" i="39"/>
  <c r="D211" i="12"/>
  <c r="D195" i="39"/>
  <c r="D195" i="12"/>
  <c r="D179" i="39"/>
  <c r="D179" i="12"/>
  <c r="D163" i="39"/>
  <c r="D163" i="12"/>
  <c r="D147" i="12"/>
  <c r="D147" i="39"/>
  <c r="D131" i="12"/>
  <c r="D131" i="39"/>
  <c r="D115" i="39"/>
  <c r="D115" i="12"/>
  <c r="D99" i="39"/>
  <c r="D99" i="12"/>
  <c r="D83" i="12"/>
  <c r="D83" i="39"/>
  <c r="D67" i="39"/>
  <c r="D67" i="12"/>
  <c r="D51" i="39"/>
  <c r="D51" i="12"/>
  <c r="D35" i="39"/>
  <c r="D35" i="12"/>
  <c r="D19" i="39"/>
  <c r="D19" i="12"/>
  <c r="D223" i="39"/>
  <c r="D223" i="12"/>
  <c r="D207" i="39"/>
  <c r="D207" i="12"/>
  <c r="D191" i="39"/>
  <c r="D191" i="12"/>
  <c r="D175" i="39"/>
  <c r="D175" i="12"/>
  <c r="D159" i="39"/>
  <c r="D159" i="12"/>
  <c r="D143" i="12"/>
  <c r="D143" i="39"/>
  <c r="D127" i="39"/>
  <c r="D127" i="12"/>
  <c r="D111" i="39"/>
  <c r="D111" i="12"/>
  <c r="D95" i="39"/>
  <c r="D95" i="12"/>
  <c r="D79" i="39"/>
  <c r="D79" i="12"/>
  <c r="D63" i="39"/>
  <c r="D63" i="12"/>
  <c r="D47" i="39"/>
  <c r="D47" i="12"/>
  <c r="D31" i="39"/>
  <c r="D31" i="12"/>
  <c r="D15" i="39"/>
  <c r="D15" i="12"/>
  <c r="D264" i="12"/>
  <c r="D264" i="39"/>
  <c r="D107" i="39"/>
  <c r="D107" i="12"/>
  <c r="D294" i="12"/>
  <c r="D294" i="39"/>
  <c r="D262" i="12"/>
  <c r="D262" i="39"/>
  <c r="D303" i="39"/>
  <c r="D303" i="12"/>
  <c r="D250" i="12"/>
  <c r="D250" i="39"/>
  <c r="D214" i="12"/>
  <c r="D214" i="39"/>
  <c r="D93" i="12"/>
  <c r="D93" i="39"/>
  <c r="D308" i="12"/>
  <c r="D308" i="39"/>
  <c r="D292" i="39"/>
  <c r="D292" i="12"/>
  <c r="D276" i="12"/>
  <c r="D276" i="39"/>
  <c r="D260" i="12"/>
  <c r="D260" i="39"/>
  <c r="D244" i="12"/>
  <c r="D244" i="39"/>
  <c r="D228" i="12"/>
  <c r="D228" i="39"/>
  <c r="D205" i="39"/>
  <c r="D205" i="12"/>
  <c r="D141" i="12"/>
  <c r="D141" i="39"/>
  <c r="D77" i="12"/>
  <c r="D77" i="39"/>
  <c r="D13" i="39"/>
  <c r="D13" i="12"/>
  <c r="D304" i="39"/>
  <c r="D304" i="12"/>
  <c r="D288" i="39"/>
  <c r="D288" i="12"/>
  <c r="D272" i="39"/>
  <c r="D272" i="12"/>
  <c r="D256" i="12"/>
  <c r="D256" i="39"/>
  <c r="D240" i="12"/>
  <c r="D240" i="39"/>
  <c r="D196" i="39"/>
  <c r="D196" i="12"/>
  <c r="D132" i="39"/>
  <c r="D132" i="12"/>
  <c r="D68" i="12"/>
  <c r="D68" i="39"/>
  <c r="D312" i="39"/>
  <c r="D312" i="12"/>
  <c r="D282" i="12"/>
  <c r="D282" i="39"/>
  <c r="D257" i="39"/>
  <c r="D257" i="12"/>
  <c r="D234" i="12"/>
  <c r="D234" i="39"/>
  <c r="D86" i="39"/>
  <c r="D86" i="12"/>
  <c r="D307" i="39"/>
  <c r="D307" i="12"/>
  <c r="D291" i="39"/>
  <c r="D291" i="12"/>
  <c r="D275" i="39"/>
  <c r="D275" i="12"/>
  <c r="D259" i="39"/>
  <c r="D259" i="12"/>
  <c r="D243" i="39"/>
  <c r="D243" i="12"/>
  <c r="D187" i="39"/>
  <c r="D187" i="12"/>
  <c r="D123" i="39"/>
  <c r="D123" i="12"/>
  <c r="D59" i="39"/>
  <c r="D59" i="12"/>
  <c r="D224" i="12"/>
  <c r="D224" i="39"/>
  <c r="D208" i="12"/>
  <c r="D208" i="39"/>
  <c r="D192" i="39"/>
  <c r="D192" i="12"/>
  <c r="D176" i="39"/>
  <c r="D176" i="12"/>
  <c r="D160" i="39"/>
  <c r="D160" i="12"/>
  <c r="D144" i="39"/>
  <c r="D144" i="12"/>
  <c r="D128" i="39"/>
  <c r="D128" i="12"/>
  <c r="D112" i="12"/>
  <c r="D112" i="39"/>
  <c r="D96" i="12"/>
  <c r="D96" i="39"/>
  <c r="D80" i="12"/>
  <c r="D80" i="39"/>
  <c r="D64" i="39"/>
  <c r="D64" i="12"/>
  <c r="D48" i="39"/>
  <c r="D48" i="12"/>
  <c r="D32" i="39"/>
  <c r="D32" i="12"/>
  <c r="D16" i="39"/>
  <c r="D16" i="12"/>
  <c r="D222" i="12"/>
  <c r="D222" i="39"/>
  <c r="D206" i="39"/>
  <c r="D206" i="12"/>
  <c r="D190" i="12"/>
  <c r="D190" i="39"/>
  <c r="D174" i="39"/>
  <c r="D174" i="12"/>
  <c r="D158" i="39"/>
  <c r="D158" i="12"/>
  <c r="D142" i="39"/>
  <c r="D142" i="12"/>
  <c r="D126" i="12"/>
  <c r="D126" i="39"/>
  <c r="D110" i="12"/>
  <c r="D110" i="39"/>
  <c r="D94" i="12"/>
  <c r="D94" i="39"/>
  <c r="D78" i="39"/>
  <c r="D78" i="12"/>
  <c r="D62" i="39"/>
  <c r="D62" i="12"/>
  <c r="D46" i="39"/>
  <c r="D46" i="12"/>
  <c r="D30" i="39"/>
  <c r="D30" i="12"/>
  <c r="D14" i="39"/>
  <c r="D14" i="12"/>
  <c r="D218" i="12"/>
  <c r="D218" i="39"/>
  <c r="D202" i="39"/>
  <c r="D202" i="12"/>
  <c r="D186" i="12"/>
  <c r="D186" i="39"/>
  <c r="D170" i="39"/>
  <c r="D170" i="12"/>
  <c r="D154" i="12"/>
  <c r="D154" i="39"/>
  <c r="D138" i="39"/>
  <c r="D138" i="12"/>
  <c r="D122" i="12"/>
  <c r="D122" i="39"/>
  <c r="D106" i="12"/>
  <c r="D106" i="39"/>
  <c r="D90" i="39"/>
  <c r="D90" i="12"/>
  <c r="D74" i="39"/>
  <c r="D74" i="12"/>
  <c r="D58" i="39"/>
  <c r="D58" i="12"/>
  <c r="D42" i="39"/>
  <c r="D42" i="12"/>
  <c r="D26" i="39"/>
  <c r="D26" i="12"/>
  <c r="D10" i="39"/>
  <c r="D10" i="12"/>
  <c r="D298" i="12"/>
  <c r="D298" i="39"/>
  <c r="D171" i="39"/>
  <c r="D171" i="12"/>
  <c r="D301" i="39"/>
  <c r="D301" i="12"/>
  <c r="D269" i="39"/>
  <c r="D269" i="12"/>
  <c r="D237" i="39"/>
  <c r="D237" i="12"/>
  <c r="D226" i="12"/>
  <c r="D226" i="39"/>
  <c r="D198" i="12"/>
  <c r="D198" i="39"/>
  <c r="D134" i="39"/>
  <c r="D134" i="12"/>
  <c r="D70" i="39"/>
  <c r="D70" i="12"/>
  <c r="D313" i="39"/>
  <c r="D313" i="12"/>
  <c r="D297" i="39"/>
  <c r="D297" i="12"/>
  <c r="D281" i="39"/>
  <c r="D281" i="12"/>
  <c r="D265" i="39"/>
  <c r="D265" i="12"/>
  <c r="D249" i="39"/>
  <c r="D249" i="12"/>
  <c r="D233" i="39"/>
  <c r="D233" i="12"/>
  <c r="D189" i="39"/>
  <c r="D189" i="12"/>
  <c r="D125" i="12"/>
  <c r="D125" i="39"/>
  <c r="D61" i="39"/>
  <c r="D61" i="12"/>
  <c r="D296" i="12"/>
  <c r="D296" i="39"/>
  <c r="D273" i="39"/>
  <c r="D273" i="12"/>
  <c r="D255" i="39"/>
  <c r="D255" i="12"/>
  <c r="D157" i="39"/>
  <c r="D157" i="12"/>
  <c r="D43" i="39"/>
  <c r="D43" i="12"/>
  <c r="D302" i="39"/>
  <c r="D302" i="12"/>
  <c r="D286" i="12"/>
  <c r="D286" i="39"/>
  <c r="D270" i="39"/>
  <c r="D270" i="12"/>
  <c r="D254" i="12"/>
  <c r="D254" i="39"/>
  <c r="D238" i="12"/>
  <c r="D238" i="39"/>
  <c r="D180" i="39"/>
  <c r="D180" i="12"/>
  <c r="D116" i="39"/>
  <c r="D116" i="12"/>
  <c r="D52" i="39"/>
  <c r="D52" i="12"/>
  <c r="D217" i="39"/>
  <c r="D217" i="12"/>
  <c r="D201" i="39"/>
  <c r="D201" i="12"/>
  <c r="D185" i="39"/>
  <c r="D185" i="12"/>
  <c r="D169" i="39"/>
  <c r="D169" i="12"/>
  <c r="D153" i="39"/>
  <c r="D153" i="12"/>
  <c r="D137" i="39"/>
  <c r="D137" i="12"/>
  <c r="D121" i="12"/>
  <c r="D121" i="39"/>
  <c r="D105" i="39"/>
  <c r="D105" i="12"/>
  <c r="D89" i="12"/>
  <c r="D89" i="39"/>
  <c r="D73" i="12"/>
  <c r="D73" i="39"/>
  <c r="D57" i="39"/>
  <c r="D57" i="12"/>
  <c r="D41" i="39"/>
  <c r="D41" i="12"/>
  <c r="D25" i="39"/>
  <c r="D25" i="12"/>
  <c r="D9" i="39"/>
  <c r="D9" i="12"/>
  <c r="D220" i="12"/>
  <c r="D220" i="39"/>
  <c r="D204" i="12"/>
  <c r="D204" i="39"/>
  <c r="D188" i="39"/>
  <c r="D188" i="12"/>
  <c r="D172" i="39"/>
  <c r="D172" i="12"/>
  <c r="D156" i="39"/>
  <c r="D156" i="12"/>
  <c r="D140" i="39"/>
  <c r="D140" i="12"/>
  <c r="D124" i="39"/>
  <c r="D124" i="12"/>
  <c r="D108" i="12"/>
  <c r="D108" i="39"/>
  <c r="D92" i="39"/>
  <c r="D92" i="12"/>
  <c r="D76" i="12"/>
  <c r="D76" i="39"/>
  <c r="D60" i="39"/>
  <c r="D60" i="12"/>
  <c r="D44" i="39"/>
  <c r="D44" i="12"/>
  <c r="D28" i="39"/>
  <c r="D28" i="12"/>
  <c r="D12" i="39"/>
  <c r="D12" i="12"/>
  <c r="D216" i="12"/>
  <c r="D216" i="39"/>
  <c r="D200" i="12"/>
  <c r="D200" i="39"/>
  <c r="D184" i="39"/>
  <c r="D184" i="12"/>
  <c r="D168" i="39"/>
  <c r="D168" i="12"/>
  <c r="D152" i="39"/>
  <c r="D152" i="12"/>
  <c r="D136" i="39"/>
  <c r="D136" i="12"/>
  <c r="D120" i="12"/>
  <c r="D120" i="39"/>
  <c r="D104" i="12"/>
  <c r="D104" i="39"/>
  <c r="D88" i="12"/>
  <c r="D88" i="39"/>
  <c r="D72" i="12"/>
  <c r="D72" i="39"/>
  <c r="D56" i="39"/>
  <c r="D56" i="12"/>
  <c r="D40" i="39"/>
  <c r="D40" i="12"/>
  <c r="D24" i="39"/>
  <c r="D24" i="12"/>
  <c r="D8" i="39"/>
  <c r="D8" i="12"/>
  <c r="D132" i="54"/>
  <c r="D205" i="54"/>
  <c r="D148" i="54"/>
  <c r="D228" i="54"/>
  <c r="D237" i="54"/>
  <c r="D109" i="54"/>
  <c r="D255" i="54"/>
  <c r="D127" i="54"/>
  <c r="D45" i="54"/>
  <c r="D196" i="54"/>
  <c r="D303" i="54"/>
  <c r="D269" i="54"/>
  <c r="D235" i="54"/>
  <c r="D175" i="54"/>
  <c r="D141" i="54"/>
  <c r="D107" i="54"/>
  <c r="D212" i="54"/>
  <c r="D287" i="54"/>
  <c r="D253" i="54"/>
  <c r="D219" i="54"/>
  <c r="D159" i="54"/>
  <c r="D125" i="54"/>
  <c r="D91" i="54"/>
  <c r="D75" i="54"/>
  <c r="D59" i="54"/>
  <c r="D43" i="54"/>
  <c r="D21" i="54"/>
  <c r="D311" i="54"/>
  <c r="D295" i="54"/>
  <c r="D279" i="54"/>
  <c r="D263" i="54"/>
  <c r="D247" i="54"/>
  <c r="D231" i="54"/>
  <c r="D215" i="54"/>
  <c r="D199" i="54"/>
  <c r="D183" i="54"/>
  <c r="D167" i="54"/>
  <c r="D151" i="54"/>
  <c r="D135" i="54"/>
  <c r="D119" i="54"/>
  <c r="D103" i="54"/>
  <c r="D87" i="54"/>
  <c r="D71" i="54"/>
  <c r="D55" i="54"/>
  <c r="D39" i="54"/>
  <c r="D26" i="54"/>
  <c r="D15" i="54"/>
  <c r="D307" i="54"/>
  <c r="D293" i="54"/>
  <c r="D282" i="54"/>
  <c r="D268" i="54"/>
  <c r="D254" i="54"/>
  <c r="D243" i="54"/>
  <c r="D229" i="54"/>
  <c r="D218" i="54"/>
  <c r="D204" i="54"/>
  <c r="D190" i="54"/>
  <c r="D179" i="54"/>
  <c r="D165" i="54"/>
  <c r="D154" i="54"/>
  <c r="D140" i="54"/>
  <c r="D126" i="54"/>
  <c r="D115" i="54"/>
  <c r="D101" i="54"/>
  <c r="D90" i="54"/>
  <c r="D76" i="54"/>
  <c r="D62" i="54"/>
  <c r="D51" i="54"/>
  <c r="D37" i="54"/>
  <c r="D20" i="54"/>
  <c r="D305" i="54"/>
  <c r="D280" i="54"/>
  <c r="D262" i="54"/>
  <c r="D241" i="54"/>
  <c r="D216" i="54"/>
  <c r="D198" i="54"/>
  <c r="D177" i="54"/>
  <c r="D152" i="54"/>
  <c r="D134" i="54"/>
  <c r="D113" i="54"/>
  <c r="D88" i="54"/>
  <c r="D70" i="54"/>
  <c r="D49" i="54"/>
  <c r="D27" i="54"/>
  <c r="D16" i="54"/>
  <c r="D260" i="54"/>
  <c r="D171" i="54"/>
  <c r="D283" i="54"/>
  <c r="D271" i="54"/>
  <c r="D203" i="54"/>
  <c r="D244" i="54"/>
  <c r="D221" i="54"/>
  <c r="D93" i="54"/>
  <c r="D61" i="54"/>
  <c r="D292" i="54"/>
  <c r="D164" i="54"/>
  <c r="D301" i="54"/>
  <c r="D267" i="54"/>
  <c r="D207" i="54"/>
  <c r="D173" i="54"/>
  <c r="D139" i="54"/>
  <c r="D308" i="54"/>
  <c r="D180" i="54"/>
  <c r="D285" i="54"/>
  <c r="D251" i="54"/>
  <c r="D191" i="54"/>
  <c r="D157" i="54"/>
  <c r="D123" i="54"/>
  <c r="D84" i="54"/>
  <c r="D68" i="54"/>
  <c r="D52" i="54"/>
  <c r="D36" i="54"/>
  <c r="D14" i="54"/>
  <c r="D306" i="54"/>
  <c r="D290" i="54"/>
  <c r="D274" i="54"/>
  <c r="D258" i="54"/>
  <c r="D242" i="54"/>
  <c r="D226" i="54"/>
  <c r="D210" i="54"/>
  <c r="D194" i="54"/>
  <c r="D178" i="54"/>
  <c r="D162" i="54"/>
  <c r="D146" i="54"/>
  <c r="D130" i="54"/>
  <c r="D114" i="54"/>
  <c r="D98" i="54"/>
  <c r="D82" i="54"/>
  <c r="D66" i="54"/>
  <c r="D50" i="54"/>
  <c r="D34" i="54"/>
  <c r="D24" i="54"/>
  <c r="D10" i="54"/>
  <c r="D302" i="54"/>
  <c r="D291" i="54"/>
  <c r="D277" i="54"/>
  <c r="D266" i="54"/>
  <c r="D252" i="54"/>
  <c r="D238" i="54"/>
  <c r="D227" i="54"/>
  <c r="D213" i="54"/>
  <c r="D202" i="54"/>
  <c r="D188" i="54"/>
  <c r="D174" i="54"/>
  <c r="D163" i="54"/>
  <c r="D149" i="54"/>
  <c r="D138" i="54"/>
  <c r="D124" i="54"/>
  <c r="D110" i="54"/>
  <c r="D99" i="54"/>
  <c r="D85" i="54"/>
  <c r="D74" i="54"/>
  <c r="D60" i="54"/>
  <c r="D46" i="54"/>
  <c r="D35" i="54"/>
  <c r="D13" i="54"/>
  <c r="D296" i="54"/>
  <c r="D278" i="54"/>
  <c r="D257" i="54"/>
  <c r="D232" i="54"/>
  <c r="D214" i="54"/>
  <c r="D193" i="54"/>
  <c r="D168" i="54"/>
  <c r="D150" i="54"/>
  <c r="D129" i="54"/>
  <c r="D104" i="54"/>
  <c r="D86" i="54"/>
  <c r="D65" i="54"/>
  <c r="D40" i="54"/>
  <c r="D25" i="54"/>
  <c r="D11" i="54"/>
  <c r="D299" i="54"/>
  <c r="D111" i="54"/>
  <c r="D223" i="54"/>
  <c r="D189" i="54"/>
  <c r="D155" i="54"/>
  <c r="D95" i="54"/>
  <c r="D79" i="54"/>
  <c r="D63" i="54"/>
  <c r="D47" i="54"/>
  <c r="D30" i="54"/>
  <c r="D12" i="54"/>
  <c r="D304" i="54"/>
  <c r="D288" i="54"/>
  <c r="D272" i="54"/>
  <c r="D256" i="54"/>
  <c r="D240" i="54"/>
  <c r="D224" i="54"/>
  <c r="D208" i="54"/>
  <c r="D192" i="54"/>
  <c r="D176" i="54"/>
  <c r="D160" i="54"/>
  <c r="D144" i="54"/>
  <c r="D128" i="54"/>
  <c r="D112" i="54"/>
  <c r="D96" i="54"/>
  <c r="D80" i="54"/>
  <c r="D64" i="54"/>
  <c r="D48" i="54"/>
  <c r="D32" i="54"/>
  <c r="D19" i="54"/>
  <c r="D8" i="54"/>
  <c r="D300" i="54"/>
  <c r="D286" i="54"/>
  <c r="D275" i="54"/>
  <c r="D261" i="54"/>
  <c r="D250" i="54"/>
  <c r="D236" i="54"/>
  <c r="D222" i="54"/>
  <c r="D211" i="54"/>
  <c r="D197" i="54"/>
  <c r="D186" i="54"/>
  <c r="D172" i="54"/>
  <c r="D158" i="54"/>
  <c r="D147" i="54"/>
  <c r="D133" i="54"/>
  <c r="D122" i="54"/>
  <c r="D108" i="54"/>
  <c r="D94" i="54"/>
  <c r="D83" i="54"/>
  <c r="D69" i="54"/>
  <c r="D58" i="54"/>
  <c r="D44" i="54"/>
  <c r="D29" i="54"/>
  <c r="D312" i="54"/>
  <c r="D294" i="54"/>
  <c r="D273" i="54"/>
  <c r="D248" i="54"/>
  <c r="D230" i="54"/>
  <c r="D209" i="54"/>
  <c r="D184" i="54"/>
  <c r="D166" i="54"/>
  <c r="D145" i="54"/>
  <c r="D120" i="54"/>
  <c r="D102" i="54"/>
  <c r="D81" i="54"/>
  <c r="D56" i="54"/>
  <c r="D38" i="54"/>
  <c r="D23" i="54"/>
  <c r="D9" i="54"/>
  <c r="D239" i="54"/>
  <c r="D276" i="54"/>
  <c r="D100" i="54"/>
  <c r="D143" i="54"/>
  <c r="D116" i="54"/>
  <c r="D187" i="54"/>
  <c r="D77" i="54"/>
  <c r="D28" i="54"/>
  <c r="D313" i="54"/>
  <c r="D297" i="54"/>
  <c r="D281" i="54"/>
  <c r="D265" i="54"/>
  <c r="D249" i="54"/>
  <c r="D233" i="54"/>
  <c r="D217" i="54"/>
  <c r="D201" i="54"/>
  <c r="D185" i="54"/>
  <c r="D169" i="54"/>
  <c r="D153" i="54"/>
  <c r="D137" i="54"/>
  <c r="D121" i="54"/>
  <c r="D105" i="54"/>
  <c r="D89" i="54"/>
  <c r="D73" i="54"/>
  <c r="D57" i="54"/>
  <c r="D41" i="54"/>
  <c r="D31" i="54"/>
  <c r="D17" i="54"/>
  <c r="D309" i="54"/>
  <c r="D298" i="54"/>
  <c r="D284" i="54"/>
  <c r="D270" i="54"/>
  <c r="D259" i="54"/>
  <c r="D245" i="54"/>
  <c r="D234" i="54"/>
  <c r="D220" i="54"/>
  <c r="D206" i="54"/>
  <c r="D195" i="54"/>
  <c r="D181" i="54"/>
  <c r="D170" i="54"/>
  <c r="D156" i="54"/>
  <c r="D142" i="54"/>
  <c r="D131" i="54"/>
  <c r="D117" i="54"/>
  <c r="D106" i="54"/>
  <c r="D92" i="54"/>
  <c r="D78" i="54"/>
  <c r="D67" i="54"/>
  <c r="D53" i="54"/>
  <c r="D42" i="54"/>
  <c r="D22" i="54"/>
  <c r="D310" i="54"/>
  <c r="D289" i="54"/>
  <c r="D264" i="54"/>
  <c r="D246" i="54"/>
  <c r="D225" i="54"/>
  <c r="D200" i="54"/>
  <c r="D182" i="54"/>
  <c r="D161" i="54"/>
  <c r="D136" i="54"/>
  <c r="D118" i="54"/>
  <c r="D97" i="54"/>
  <c r="D72" i="54"/>
  <c r="D54" i="54"/>
  <c r="D33" i="54"/>
  <c r="D18" i="54"/>
  <c r="D7" i="54"/>
  <c r="F22" i="48"/>
  <c r="F24" i="48" s="1"/>
  <c r="F88" i="25"/>
  <c r="E88" i="54" s="1"/>
  <c r="F96" i="25"/>
  <c r="E96" i="54" s="1"/>
  <c r="F50" i="25"/>
  <c r="F106" i="25"/>
  <c r="F76" i="25"/>
  <c r="F152" i="25"/>
  <c r="E152" i="54" s="1"/>
  <c r="F140" i="25"/>
  <c r="E140" i="54" s="1"/>
  <c r="F183" i="25"/>
  <c r="E183" i="54" s="1"/>
  <c r="F133" i="25"/>
  <c r="E133" i="54" s="1"/>
  <c r="F52" i="25"/>
  <c r="F217" i="25"/>
  <c r="E217" i="54" s="1"/>
  <c r="F83" i="25"/>
  <c r="E83" i="54" s="1"/>
  <c r="F104" i="25"/>
  <c r="F41" i="25"/>
  <c r="E41" i="54" s="1"/>
  <c r="F63" i="25"/>
  <c r="E63" i="54" s="1"/>
  <c r="F77" i="25"/>
  <c r="F175" i="25"/>
  <c r="F288" i="25"/>
  <c r="E288" i="54" s="1"/>
  <c r="F23" i="25"/>
  <c r="E23" i="54" s="1"/>
  <c r="F28" i="25"/>
  <c r="E28" i="54" s="1"/>
  <c r="F68" i="25"/>
  <c r="F64" i="25"/>
  <c r="E64" i="54" s="1"/>
  <c r="F46" i="25"/>
  <c r="F39" i="25"/>
  <c r="E39" i="54" s="1"/>
  <c r="F67" i="25"/>
  <c r="F272" i="25"/>
  <c r="F293" i="25"/>
  <c r="E293" i="54" s="1"/>
  <c r="F210" i="25"/>
  <c r="E210" i="54" s="1"/>
  <c r="F129" i="25"/>
  <c r="E129" i="54" s="1"/>
  <c r="F231" i="25"/>
  <c r="E231" i="54" s="1"/>
  <c r="F287" i="25"/>
  <c r="F204" i="25"/>
  <c r="F87" i="25"/>
  <c r="F173" i="25"/>
  <c r="E173" i="54" s="1"/>
  <c r="F304" i="25"/>
  <c r="E304" i="54" s="1"/>
  <c r="F35" i="25"/>
  <c r="F192" i="25"/>
  <c r="F118" i="25"/>
  <c r="F267" i="25"/>
  <c r="F85" i="25"/>
  <c r="F291" i="25"/>
  <c r="F43" i="25"/>
  <c r="F244" i="25"/>
  <c r="E244" i="54" s="1"/>
  <c r="F110" i="25"/>
  <c r="E110" i="54" s="1"/>
  <c r="F94" i="25"/>
  <c r="F246" i="25"/>
  <c r="F172" i="25"/>
  <c r="F84" i="25"/>
  <c r="E84" i="54" s="1"/>
  <c r="F248" i="25"/>
  <c r="E248" i="54" s="1"/>
  <c r="F196" i="25"/>
  <c r="F59" i="25"/>
  <c r="E59" i="54" s="1"/>
  <c r="F170" i="25"/>
  <c r="E170" i="54" s="1"/>
  <c r="F137" i="25"/>
  <c r="E137" i="54" s="1"/>
  <c r="F149" i="25"/>
  <c r="E149" i="54" s="1"/>
  <c r="F168" i="25"/>
  <c r="E168" i="54" s="1"/>
  <c r="F33" i="25"/>
  <c r="E33" i="54" s="1"/>
  <c r="F142" i="25"/>
  <c r="F11" i="25"/>
  <c r="F306" i="25"/>
  <c r="F123" i="25"/>
  <c r="E123" i="54" s="1"/>
  <c r="F202" i="25"/>
  <c r="F109" i="25"/>
  <c r="E109" i="54" s="1"/>
  <c r="F295" i="25"/>
  <c r="E295" i="54" s="1"/>
  <c r="F185" i="25"/>
  <c r="E185" i="54" s="1"/>
  <c r="F259" i="25"/>
  <c r="E259" i="54" s="1"/>
  <c r="F243" i="25"/>
  <c r="E243" i="54" s="1"/>
  <c r="F90" i="25"/>
  <c r="E90" i="54" s="1"/>
  <c r="F253" i="25"/>
  <c r="F13" i="25"/>
  <c r="E13" i="54" s="1"/>
  <c r="F257" i="25"/>
  <c r="F247" i="25"/>
  <c r="E247" i="54" s="1"/>
  <c r="F131" i="25"/>
  <c r="F155" i="25"/>
  <c r="E155" i="54" s="1"/>
  <c r="F174" i="25"/>
  <c r="E174" i="54" s="1"/>
  <c r="F60" i="25"/>
  <c r="E60" i="54" s="1"/>
  <c r="F114" i="25"/>
  <c r="F201" i="25"/>
  <c r="E201" i="54" s="1"/>
  <c r="F206" i="25"/>
  <c r="F122" i="25"/>
  <c r="E122" i="54" s="1"/>
  <c r="F207" i="25"/>
  <c r="E207" i="54" s="1"/>
  <c r="F198" i="25"/>
  <c r="E198" i="54" s="1"/>
  <c r="F62" i="25"/>
  <c r="F130" i="25"/>
  <c r="E130" i="54" s="1"/>
  <c r="F216" i="25"/>
  <c r="F234" i="25"/>
  <c r="F235" i="25"/>
  <c r="E235" i="54" s="1"/>
  <c r="F274" i="25"/>
  <c r="E274" i="54" s="1"/>
  <c r="F258" i="25"/>
  <c r="E258" i="54" s="1"/>
  <c r="F177" i="25"/>
  <c r="E177" i="54" s="1"/>
  <c r="F56" i="25"/>
  <c r="F230" i="25"/>
  <c r="E230" i="54" s="1"/>
  <c r="F57" i="25"/>
  <c r="E57" i="54" s="1"/>
  <c r="F98" i="25"/>
  <c r="F279" i="25"/>
  <c r="E279" i="54" s="1"/>
  <c r="F242" i="25"/>
  <c r="F154" i="25"/>
  <c r="E154" i="54" s="1"/>
  <c r="F95" i="25"/>
  <c r="E95" i="54" s="1"/>
  <c r="F73" i="25"/>
  <c r="E73" i="54" s="1"/>
  <c r="F156" i="25"/>
  <c r="F276" i="25"/>
  <c r="F40" i="25"/>
  <c r="E40" i="54" s="1"/>
  <c r="F298" i="25"/>
  <c r="E298" i="54" s="1"/>
  <c r="F191" i="25"/>
  <c r="F144" i="25"/>
  <c r="E144" i="54" s="1"/>
  <c r="F16" i="25"/>
  <c r="E16" i="54" s="1"/>
  <c r="F138" i="25"/>
  <c r="F289" i="25"/>
  <c r="E289" i="54" s="1"/>
  <c r="F200" i="25"/>
  <c r="E200" i="54" s="1"/>
  <c r="F58" i="25"/>
  <c r="F66" i="25"/>
  <c r="E66" i="54" s="1"/>
  <c r="F167" i="25"/>
  <c r="E167" i="54" s="1"/>
  <c r="F61" i="25"/>
  <c r="F271" i="25"/>
  <c r="E271" i="54" s="1"/>
  <c r="F302" i="25"/>
  <c r="E302" i="54" s="1"/>
  <c r="F80" i="25"/>
  <c r="F42" i="25"/>
  <c r="F69" i="25"/>
  <c r="E69" i="54" s="1"/>
  <c r="F273" i="25"/>
  <c r="F102" i="25"/>
  <c r="E102" i="54" s="1"/>
  <c r="F285" i="25"/>
  <c r="E285" i="54" s="1"/>
  <c r="F286" i="25"/>
  <c r="E286" i="54" s="1"/>
  <c r="F49" i="25"/>
  <c r="F7" i="25"/>
  <c r="E7" i="54" s="1"/>
  <c r="F127" i="25"/>
  <c r="E127" i="54" s="1"/>
  <c r="F178" i="25"/>
  <c r="F188" i="25"/>
  <c r="F9" i="25"/>
  <c r="E9" i="54" s="1"/>
  <c r="F220" i="25"/>
  <c r="F100" i="25"/>
  <c r="F245" i="25"/>
  <c r="F25" i="25"/>
  <c r="F143" i="25"/>
  <c r="E143" i="54" s="1"/>
  <c r="F10" i="25"/>
  <c r="E10" i="54" s="1"/>
  <c r="F134" i="25"/>
  <c r="E134" i="54" s="1"/>
  <c r="F189" i="25"/>
  <c r="E189" i="54" s="1"/>
  <c r="F18" i="25"/>
  <c r="F215" i="25"/>
  <c r="F227" i="25"/>
  <c r="E227" i="54" s="1"/>
  <c r="F12" i="25"/>
  <c r="F117" i="25"/>
  <c r="E117" i="54" s="1"/>
  <c r="F101" i="25"/>
  <c r="E101" i="54" s="1"/>
  <c r="F182" i="25"/>
  <c r="E182" i="54" s="1"/>
  <c r="F256" i="25"/>
  <c r="F150" i="25"/>
  <c r="E150" i="54" s="1"/>
  <c r="F71" i="25"/>
  <c r="E71" i="54" s="1"/>
  <c r="F45" i="25"/>
  <c r="E45" i="54" s="1"/>
  <c r="F99" i="25"/>
  <c r="F270" i="25"/>
  <c r="E270" i="54" s="1"/>
  <c r="F103" i="25"/>
  <c r="E103" i="54" s="1"/>
  <c r="F21" i="25"/>
  <c r="E21" i="54" s="1"/>
  <c r="F47" i="25"/>
  <c r="E47" i="54" s="1"/>
  <c r="F228" i="25"/>
  <c r="F283" i="25"/>
  <c r="E283" i="54" s="1"/>
  <c r="F148" i="25"/>
  <c r="E148" i="54" s="1"/>
  <c r="F105" i="25"/>
  <c r="F147" i="25"/>
  <c r="F218" i="25"/>
  <c r="E218" i="54" s="1"/>
  <c r="F265" i="25"/>
  <c r="E265" i="54" s="1"/>
  <c r="F20" i="25"/>
  <c r="F132" i="25"/>
  <c r="E132" i="54" s="1"/>
  <c r="F211" i="25"/>
  <c r="F116" i="25"/>
  <c r="F190" i="25"/>
  <c r="E190" i="54" s="1"/>
  <c r="F107" i="25"/>
  <c r="E107" i="54" s="1"/>
  <c r="F113" i="25"/>
  <c r="E113" i="54" s="1"/>
  <c r="F93" i="25"/>
  <c r="E93" i="54" s="1"/>
  <c r="F205" i="25"/>
  <c r="F86" i="25"/>
  <c r="E86" i="54" s="1"/>
  <c r="F232" i="25"/>
  <c r="F176" i="25"/>
  <c r="G12" i="9"/>
  <c r="D314" i="39" s="1"/>
  <c r="F320" i="9"/>
  <c r="F169" i="25"/>
  <c r="F312" i="25"/>
  <c r="E312" i="54" s="1"/>
  <c r="F233" i="25"/>
  <c r="F15" i="25"/>
  <c r="E15" i="54" s="1"/>
  <c r="F128" i="25"/>
  <c r="F159" i="25"/>
  <c r="E159" i="54" s="1"/>
  <c r="F222" i="25"/>
  <c r="E222" i="54" s="1"/>
  <c r="F280" i="25"/>
  <c r="E280" i="54" s="1"/>
  <c r="F26" i="25"/>
  <c r="F308" i="25"/>
  <c r="E308" i="54" s="1"/>
  <c r="F193" i="25"/>
  <c r="F51" i="25"/>
  <c r="F250" i="25"/>
  <c r="F186" i="25"/>
  <c r="E186" i="54" s="1"/>
  <c r="F119" i="25"/>
  <c r="E119" i="54" s="1"/>
  <c r="F79" i="25"/>
  <c r="F37" i="25"/>
  <c r="E37" i="54" s="1"/>
  <c r="F310" i="25"/>
  <c r="E310" i="54" s="1"/>
  <c r="F300" i="25"/>
  <c r="E300" i="54" s="1"/>
  <c r="F48" i="25"/>
  <c r="E48" i="54" s="1"/>
  <c r="F29" i="25"/>
  <c r="E29" i="54" s="1"/>
  <c r="F171" i="25"/>
  <c r="E171" i="54" s="1"/>
  <c r="F305" i="25"/>
  <c r="E305" i="54" s="1"/>
  <c r="F126" i="25"/>
  <c r="F120" i="25"/>
  <c r="F91" i="25"/>
  <c r="E91" i="54" s="1"/>
  <c r="F214" i="25"/>
  <c r="E214" i="54" s="1"/>
  <c r="F290" i="25"/>
  <c r="E290" i="54" s="1"/>
  <c r="F34" i="25"/>
  <c r="E34" i="54" s="1"/>
  <c r="F307" i="25"/>
  <c r="E307" i="54" s="1"/>
  <c r="F166" i="25"/>
  <c r="E166" i="54" s="1"/>
  <c r="F121" i="25"/>
  <c r="E121" i="54" s="1"/>
  <c r="F22" i="25"/>
  <c r="F219" i="25"/>
  <c r="E219" i="54" s="1"/>
  <c r="F294" i="25"/>
  <c r="F44" i="25"/>
  <c r="E44" i="54" s="1"/>
  <c r="F115" i="25"/>
  <c r="E115" i="54" s="1"/>
  <c r="F203" i="25"/>
  <c r="F81" i="25"/>
  <c r="E81" i="54" s="1"/>
  <c r="F299" i="25"/>
  <c r="E299" i="54" s="1"/>
  <c r="F208" i="25"/>
  <c r="F229" i="25"/>
  <c r="E229" i="54" s="1"/>
  <c r="F8" i="25"/>
  <c r="F238" i="25"/>
  <c r="E238" i="54" s="1"/>
  <c r="F275" i="25"/>
  <c r="E275" i="54" s="1"/>
  <c r="F226" i="25"/>
  <c r="E226" i="54" s="1"/>
  <c r="F266" i="25"/>
  <c r="E266" i="54" s="1"/>
  <c r="F268" i="25"/>
  <c r="E268" i="54" s="1"/>
  <c r="F313" i="25"/>
  <c r="E313" i="54" s="1"/>
  <c r="F278" i="25"/>
  <c r="E278" i="54" s="1"/>
  <c r="F97" i="25"/>
  <c r="F31" i="25"/>
  <c r="E31" i="54" s="1"/>
  <c r="F184" i="25"/>
  <c r="F74" i="25"/>
  <c r="E74" i="54" s="1"/>
  <c r="F157" i="25"/>
  <c r="E157" i="54" s="1"/>
  <c r="F32" i="25"/>
  <c r="E32" i="54" s="1"/>
  <c r="F281" i="25"/>
  <c r="F237" i="25"/>
  <c r="E237" i="54" s="1"/>
  <c r="F19" i="25"/>
  <c r="E19" i="54" s="1"/>
  <c r="F27" i="25"/>
  <c r="E27" i="54" s="1"/>
  <c r="F292" i="25"/>
  <c r="E292" i="54" s="1"/>
  <c r="F251" i="25"/>
  <c r="E251" i="54" s="1"/>
  <c r="F14" i="25"/>
  <c r="E14" i="54" s="1"/>
  <c r="F151" i="25"/>
  <c r="F240" i="25"/>
  <c r="F72" i="25"/>
  <c r="F296" i="25"/>
  <c r="E296" i="54" s="1"/>
  <c r="F225" i="25"/>
  <c r="E225" i="54" s="1"/>
  <c r="F254" i="25"/>
  <c r="E254" i="54" s="1"/>
  <c r="F260" i="25"/>
  <c r="E260" i="54" s="1"/>
  <c r="F139" i="25"/>
  <c r="E139" i="54" s="1"/>
  <c r="F269" i="25"/>
  <c r="E269" i="54" s="1"/>
  <c r="F55" i="25"/>
  <c r="E55" i="54" s="1"/>
  <c r="F160" i="25"/>
  <c r="E160" i="54" s="1"/>
  <c r="F311" i="25"/>
  <c r="E311" i="54" s="1"/>
  <c r="F124" i="25"/>
  <c r="F162" i="25"/>
  <c r="E162" i="54" s="1"/>
  <c r="F146" i="25"/>
  <c r="E146" i="54" s="1"/>
  <c r="F241" i="25"/>
  <c r="F145" i="25"/>
  <c r="E145" i="54" s="1"/>
  <c r="F163" i="25"/>
  <c r="E163" i="54" s="1"/>
  <c r="F213" i="25"/>
  <c r="E213" i="54" s="1"/>
  <c r="F36" i="25"/>
  <c r="E36" i="54" s="1"/>
  <c r="F284" i="25"/>
  <c r="E284" i="54" s="1"/>
  <c r="F297" i="25"/>
  <c r="F209" i="25"/>
  <c r="E209" i="54" s="1"/>
  <c r="F75" i="25"/>
  <c r="E75" i="54" s="1"/>
  <c r="F112" i="25"/>
  <c r="E112" i="54" s="1"/>
  <c r="F195" i="25"/>
  <c r="F264" i="25"/>
  <c r="E264" i="54" s="1"/>
  <c r="F165" i="25"/>
  <c r="E165" i="54" s="1"/>
  <c r="F65" i="25"/>
  <c r="E65" i="54" s="1"/>
  <c r="F53" i="25"/>
  <c r="E53" i="54" s="1"/>
  <c r="F224" i="25"/>
  <c r="E224" i="54" s="1"/>
  <c r="F125" i="25"/>
  <c r="F141" i="25"/>
  <c r="E141" i="54" s="1"/>
  <c r="F239" i="25"/>
  <c r="E239" i="54" s="1"/>
  <c r="F249" i="25"/>
  <c r="E249" i="54" s="1"/>
  <c r="F197" i="25"/>
  <c r="E197" i="54" s="1"/>
  <c r="F164" i="25"/>
  <c r="F263" i="25"/>
  <c r="E263" i="54" s="1"/>
  <c r="F158" i="25"/>
  <c r="E158" i="54" s="1"/>
  <c r="F282" i="25"/>
  <c r="F262" i="25"/>
  <c r="E262" i="54" s="1"/>
  <c r="F181" i="25"/>
  <c r="E181" i="54" s="1"/>
  <c r="F17" i="25"/>
  <c r="E17" i="54" s="1"/>
  <c r="F187" i="25"/>
  <c r="F24" i="25"/>
  <c r="E24" i="54" s="1"/>
  <c r="F38" i="25"/>
  <c r="F194" i="25"/>
  <c r="E194" i="54" s="1"/>
  <c r="F111" i="25"/>
  <c r="E111" i="54" s="1"/>
  <c r="F303" i="25"/>
  <c r="E303" i="54" s="1"/>
  <c r="F309" i="25"/>
  <c r="E309" i="54" s="1"/>
  <c r="F82" i="25"/>
  <c r="E82" i="54" s="1"/>
  <c r="F301" i="25"/>
  <c r="E301" i="54" s="1"/>
  <c r="F179" i="25"/>
  <c r="F92" i="25"/>
  <c r="F78" i="25"/>
  <c r="E78" i="54" s="1"/>
  <c r="F108" i="25"/>
  <c r="F236" i="25"/>
  <c r="F261" i="25"/>
  <c r="F277" i="25"/>
  <c r="E277" i="54" s="1"/>
  <c r="F252" i="25"/>
  <c r="F89" i="25"/>
  <c r="E89" i="54" s="1"/>
  <c r="F221" i="25"/>
  <c r="E221" i="54" s="1"/>
  <c r="F30" i="25"/>
  <c r="E30" i="54" s="1"/>
  <c r="F180" i="25"/>
  <c r="E180" i="54" s="1"/>
  <c r="F54" i="25"/>
  <c r="E54" i="54" s="1"/>
  <c r="F199" i="25"/>
  <c r="E199" i="54" s="1"/>
  <c r="F136" i="25"/>
  <c r="E136" i="54" s="1"/>
  <c r="F153" i="25"/>
  <c r="E153" i="54" s="1"/>
  <c r="F212" i="25"/>
  <c r="E212" i="54" s="1"/>
  <c r="F135" i="25"/>
  <c r="E135" i="54" s="1"/>
  <c r="F223" i="25"/>
  <c r="E223" i="54" s="1"/>
  <c r="F255" i="25"/>
  <c r="E255" i="54" s="1"/>
  <c r="F161" i="25"/>
  <c r="E161" i="54" s="1"/>
  <c r="F70" i="25"/>
  <c r="E203" i="54" l="1"/>
  <c r="E245" i="54"/>
  <c r="E196" i="54"/>
  <c r="E43" i="54"/>
  <c r="E188" i="54"/>
  <c r="E273" i="54"/>
  <c r="E257" i="54"/>
  <c r="E147" i="54"/>
  <c r="E216" i="54"/>
  <c r="E253" i="54"/>
  <c r="E49" i="54"/>
  <c r="E138" i="54"/>
  <c r="E62" i="54"/>
  <c r="E11" i="54"/>
  <c r="E281" i="54"/>
  <c r="E22" i="54"/>
  <c r="E250" i="54"/>
  <c r="E98" i="54"/>
  <c r="E234" i="54"/>
  <c r="E94" i="54"/>
  <c r="E291" i="54"/>
  <c r="E131" i="54"/>
  <c r="E85" i="54"/>
  <c r="E35" i="54"/>
  <c r="E77" i="54"/>
  <c r="E70" i="54"/>
  <c r="E261" i="54"/>
  <c r="E38" i="54"/>
  <c r="E195" i="54"/>
  <c r="E26" i="54"/>
  <c r="E169" i="54"/>
  <c r="E211" i="54"/>
  <c r="E215" i="54"/>
  <c r="E178" i="54"/>
  <c r="E58" i="54"/>
  <c r="E202" i="54"/>
  <c r="E142" i="54"/>
  <c r="E87" i="54"/>
  <c r="E175" i="54"/>
  <c r="E179" i="54"/>
  <c r="E151" i="54"/>
  <c r="E126" i="54"/>
  <c r="E79" i="54"/>
  <c r="E18" i="54"/>
  <c r="E42" i="54"/>
  <c r="E61" i="54"/>
  <c r="E114" i="54"/>
  <c r="E252" i="54"/>
  <c r="E187" i="54"/>
  <c r="E282" i="54"/>
  <c r="E125" i="54"/>
  <c r="E241" i="54"/>
  <c r="E97" i="54"/>
  <c r="E8" i="54"/>
  <c r="E294" i="54"/>
  <c r="E193" i="54"/>
  <c r="E233" i="54"/>
  <c r="E205" i="54"/>
  <c r="E20" i="54"/>
  <c r="E105" i="54"/>
  <c r="E99" i="54"/>
  <c r="E256" i="54"/>
  <c r="E12" i="54"/>
  <c r="E25" i="54"/>
  <c r="E191" i="54"/>
  <c r="E242" i="54"/>
  <c r="E306" i="54"/>
  <c r="E267" i="54"/>
  <c r="E287" i="54"/>
  <c r="E46" i="54"/>
  <c r="E50" i="54"/>
  <c r="E206" i="54"/>
  <c r="E246" i="54"/>
  <c r="E272" i="54"/>
  <c r="E52" i="54"/>
  <c r="E106" i="54"/>
  <c r="E118" i="54"/>
  <c r="E72" i="54"/>
  <c r="E176" i="54"/>
  <c r="E116" i="54"/>
  <c r="E56" i="54"/>
  <c r="E240" i="54"/>
  <c r="E184" i="54"/>
  <c r="E208" i="54"/>
  <c r="E100" i="54"/>
  <c r="E80" i="54"/>
  <c r="E156" i="54"/>
  <c r="E172" i="54"/>
  <c r="E92" i="54"/>
  <c r="E120" i="54"/>
  <c r="E128" i="54"/>
  <c r="E232" i="54"/>
  <c r="E192" i="54"/>
  <c r="E67" i="54"/>
  <c r="E68" i="54"/>
  <c r="E104" i="54"/>
  <c r="E76" i="54"/>
  <c r="E236" i="54"/>
  <c r="E164" i="54"/>
  <c r="E124" i="54"/>
  <c r="E51" i="54"/>
  <c r="E228" i="54"/>
  <c r="E220" i="54"/>
  <c r="E276" i="54"/>
  <c r="E204" i="54"/>
  <c r="E108" i="54"/>
  <c r="D6" i="54"/>
  <c r="D6" i="39"/>
  <c r="D60" i="48"/>
  <c r="D61" i="48" s="1"/>
  <c r="E297" i="54"/>
  <c r="F6" i="25"/>
  <c r="D6" i="12"/>
  <c r="G320" i="9"/>
  <c r="D314" i="12" s="1"/>
  <c r="E6" i="54" l="1"/>
  <c r="E314" i="54" s="1"/>
  <c r="D314" i="54"/>
  <c r="F314" i="25"/>
  <c r="O41" i="11" l="1"/>
  <c r="O73" i="11"/>
  <c r="O256" i="11"/>
  <c r="O240" i="11"/>
  <c r="O300" i="11"/>
  <c r="N314" i="11"/>
  <c r="E6" i="11" l="1"/>
  <c r="F6" i="11" s="1"/>
  <c r="G314" i="11"/>
  <c r="I314" i="11"/>
  <c r="O225" i="11"/>
  <c r="O313" i="11"/>
  <c r="O296" i="11"/>
  <c r="O304" i="11"/>
  <c r="O294" i="11"/>
  <c r="O272" i="11"/>
  <c r="O209" i="11"/>
  <c r="O307" i="11"/>
  <c r="O285" i="11"/>
  <c r="O275" i="11"/>
  <c r="O257" i="11"/>
  <c r="O193" i="11"/>
  <c r="O10" i="11"/>
  <c r="O305" i="11"/>
  <c r="O298" i="11"/>
  <c r="O292" i="11"/>
  <c r="O273" i="11"/>
  <c r="O220" i="11"/>
  <c r="O103" i="11"/>
  <c r="O67" i="11"/>
  <c r="O158" i="11"/>
  <c r="O94" i="11"/>
  <c r="O35" i="11"/>
  <c r="O270" i="11"/>
  <c r="O261" i="11"/>
  <c r="O254" i="11"/>
  <c r="O245" i="11"/>
  <c r="O238" i="11"/>
  <c r="O229" i="11"/>
  <c r="O222" i="11"/>
  <c r="O213" i="11"/>
  <c r="O206" i="11"/>
  <c r="O197" i="11"/>
  <c r="O190" i="11"/>
  <c r="O181" i="11"/>
  <c r="O174" i="11"/>
  <c r="O165" i="11"/>
  <c r="O128" i="11"/>
  <c r="O63" i="11"/>
  <c r="O33" i="11"/>
  <c r="O70" i="11"/>
  <c r="O53" i="11"/>
  <c r="O38" i="11"/>
  <c r="O29" i="11"/>
  <c r="O22" i="11"/>
  <c r="O13" i="11"/>
  <c r="O157" i="11"/>
  <c r="O150" i="11"/>
  <c r="O141" i="11"/>
  <c r="O134" i="11"/>
  <c r="O125" i="11"/>
  <c r="O118" i="11"/>
  <c r="O109" i="11"/>
  <c r="O102" i="11"/>
  <c r="O93" i="11"/>
  <c r="O86" i="11"/>
  <c r="O77" i="11"/>
  <c r="O62" i="11"/>
  <c r="O45" i="11"/>
  <c r="O69" i="11"/>
  <c r="O54" i="11"/>
  <c r="O37" i="11"/>
  <c r="O30" i="11"/>
  <c r="O21" i="11"/>
  <c r="O14" i="11"/>
  <c r="O301" i="11"/>
  <c r="O306" i="11"/>
  <c r="O161" i="11"/>
  <c r="O291" i="11"/>
  <c r="O204" i="11"/>
  <c r="O311" i="11"/>
  <c r="O279" i="11"/>
  <c r="O266" i="11"/>
  <c r="O202" i="11"/>
  <c r="O46" i="11"/>
  <c r="O297" i="11"/>
  <c r="O290" i="11"/>
  <c r="O284" i="11"/>
  <c r="O250" i="11"/>
  <c r="O186" i="11"/>
  <c r="O126" i="11"/>
  <c r="O310" i="11"/>
  <c r="O288" i="11"/>
  <c r="O278" i="11"/>
  <c r="O241" i="11"/>
  <c r="O177" i="11"/>
  <c r="O119" i="11"/>
  <c r="O271" i="11"/>
  <c r="O255" i="11"/>
  <c r="O239" i="11"/>
  <c r="O223" i="11"/>
  <c r="O216" i="11"/>
  <c r="O207" i="11"/>
  <c r="O200" i="11"/>
  <c r="O191" i="11"/>
  <c r="O184" i="11"/>
  <c r="O175" i="11"/>
  <c r="O168" i="11"/>
  <c r="O159" i="11"/>
  <c r="O96" i="11"/>
  <c r="O267" i="11"/>
  <c r="O251" i="11"/>
  <c r="O235" i="11"/>
  <c r="O228" i="11"/>
  <c r="O219" i="11"/>
  <c r="O212" i="11"/>
  <c r="O203" i="11"/>
  <c r="O196" i="11"/>
  <c r="O187" i="11"/>
  <c r="O180" i="11"/>
  <c r="O164" i="11"/>
  <c r="O151" i="11"/>
  <c r="O87" i="11"/>
  <c r="O28" i="11"/>
  <c r="O260" i="11"/>
  <c r="O244" i="11"/>
  <c r="O149" i="11"/>
  <c r="O85" i="11"/>
  <c r="O26" i="11"/>
  <c r="O156" i="11"/>
  <c r="O147" i="11"/>
  <c r="O140" i="11"/>
  <c r="O131" i="11"/>
  <c r="O124" i="11"/>
  <c r="O115" i="11"/>
  <c r="O108" i="11"/>
  <c r="O99" i="11"/>
  <c r="O92" i="11"/>
  <c r="O83" i="11"/>
  <c r="O76" i="11"/>
  <c r="O59" i="11"/>
  <c r="O44" i="11"/>
  <c r="O68" i="11"/>
  <c r="O51" i="11"/>
  <c r="O36" i="11"/>
  <c r="O27" i="11"/>
  <c r="O20" i="11"/>
  <c r="O11" i="11"/>
  <c r="O155" i="11"/>
  <c r="O148" i="11"/>
  <c r="O139" i="11"/>
  <c r="O132" i="11"/>
  <c r="O123" i="11"/>
  <c r="O116" i="11"/>
  <c r="O107" i="11"/>
  <c r="O100" i="11"/>
  <c r="O91" i="11"/>
  <c r="O84" i="11"/>
  <c r="O75" i="11"/>
  <c r="O60" i="11"/>
  <c r="O43" i="11"/>
  <c r="O274" i="11"/>
  <c r="O211" i="11"/>
  <c r="O309" i="11"/>
  <c r="O299" i="11"/>
  <c r="O277" i="11"/>
  <c r="O259" i="11"/>
  <c r="O195" i="11"/>
  <c r="O17" i="11"/>
  <c r="O312" i="11"/>
  <c r="O302" i="11"/>
  <c r="O280" i="11"/>
  <c r="O243" i="11"/>
  <c r="O179" i="11"/>
  <c r="O295" i="11"/>
  <c r="O234" i="11"/>
  <c r="O170" i="11"/>
  <c r="O269" i="11"/>
  <c r="O262" i="11"/>
  <c r="O253" i="11"/>
  <c r="O246" i="11"/>
  <c r="O237" i="11"/>
  <c r="O230" i="11"/>
  <c r="O221" i="11"/>
  <c r="O214" i="11"/>
  <c r="O205" i="11"/>
  <c r="O198" i="11"/>
  <c r="O189" i="11"/>
  <c r="O182" i="11"/>
  <c r="O173" i="11"/>
  <c r="O166" i="11"/>
  <c r="O117" i="11"/>
  <c r="O52" i="11"/>
  <c r="O265" i="11"/>
  <c r="O258" i="11"/>
  <c r="O249" i="11"/>
  <c r="O242" i="11"/>
  <c r="O233" i="11"/>
  <c r="O226" i="11"/>
  <c r="O217" i="11"/>
  <c r="O210" i="11"/>
  <c r="O201" i="11"/>
  <c r="O194" i="11"/>
  <c r="O185" i="11"/>
  <c r="O178" i="11"/>
  <c r="O169" i="11"/>
  <c r="O162" i="11"/>
  <c r="O144" i="11"/>
  <c r="O80" i="11"/>
  <c r="O50" i="11"/>
  <c r="O142" i="11"/>
  <c r="O78" i="11"/>
  <c r="O48" i="11"/>
  <c r="O19" i="11"/>
  <c r="O154" i="11"/>
  <c r="O145" i="11"/>
  <c r="O138" i="11"/>
  <c r="O129" i="11"/>
  <c r="O122" i="11"/>
  <c r="O113" i="11"/>
  <c r="O106" i="11"/>
  <c r="O97" i="11"/>
  <c r="O90" i="11"/>
  <c r="O81" i="11"/>
  <c r="O74" i="11"/>
  <c r="O42" i="11"/>
  <c r="O66" i="11"/>
  <c r="O34" i="11"/>
  <c r="O25" i="11"/>
  <c r="O18" i="11"/>
  <c r="O9" i="11"/>
  <c r="O153" i="11"/>
  <c r="O146" i="11"/>
  <c r="O137" i="11"/>
  <c r="O130" i="11"/>
  <c r="O121" i="11"/>
  <c r="O114" i="11"/>
  <c r="O105" i="11"/>
  <c r="O98" i="11"/>
  <c r="O89" i="11"/>
  <c r="O82" i="11"/>
  <c r="O58" i="11"/>
  <c r="D314" i="11"/>
  <c r="O281" i="11"/>
  <c r="O6" i="11"/>
  <c r="P314" i="11"/>
  <c r="R6" i="11"/>
  <c r="H314" i="11"/>
  <c r="O286" i="11"/>
  <c r="O218" i="11"/>
  <c r="O303" i="11"/>
  <c r="O112" i="11"/>
  <c r="O308" i="11"/>
  <c r="O289" i="11"/>
  <c r="O282" i="11"/>
  <c r="O276" i="11"/>
  <c r="O188" i="11"/>
  <c r="O133" i="11"/>
  <c r="O287" i="11"/>
  <c r="O172" i="11"/>
  <c r="O293" i="11"/>
  <c r="O283" i="11"/>
  <c r="O227" i="11"/>
  <c r="O163" i="11"/>
  <c r="O61" i="11"/>
  <c r="O268" i="11"/>
  <c r="O252" i="11"/>
  <c r="O236" i="11"/>
  <c r="O110" i="11"/>
  <c r="O264" i="11"/>
  <c r="O248" i="11"/>
  <c r="O232" i="11"/>
  <c r="O101" i="11"/>
  <c r="O263" i="11"/>
  <c r="O247" i="11"/>
  <c r="O231" i="11"/>
  <c r="O224" i="11"/>
  <c r="O215" i="11"/>
  <c r="O208" i="11"/>
  <c r="O199" i="11"/>
  <c r="O192" i="11"/>
  <c r="O183" i="11"/>
  <c r="O176" i="11"/>
  <c r="O167" i="11"/>
  <c r="O160" i="11"/>
  <c r="O135" i="11"/>
  <c r="O12" i="11"/>
  <c r="O72" i="11"/>
  <c r="O65" i="11"/>
  <c r="O55" i="11"/>
  <c r="O40" i="11"/>
  <c r="O31" i="11"/>
  <c r="O24" i="11"/>
  <c r="O15" i="11"/>
  <c r="O8" i="11"/>
  <c r="O152" i="11"/>
  <c r="O143" i="11"/>
  <c r="O136" i="11"/>
  <c r="O127" i="11"/>
  <c r="O120" i="11"/>
  <c r="O111" i="11"/>
  <c r="O104" i="11"/>
  <c r="O95" i="11"/>
  <c r="O88" i="11"/>
  <c r="O79" i="11"/>
  <c r="O64" i="11"/>
  <c r="O57" i="11"/>
  <c r="O47" i="11"/>
  <c r="O71" i="11"/>
  <c r="O56" i="11"/>
  <c r="O49" i="11"/>
  <c r="O39" i="11"/>
  <c r="O32" i="11"/>
  <c r="O23" i="11"/>
  <c r="O16" i="11"/>
  <c r="O7" i="11"/>
  <c r="O314" i="11" l="1"/>
  <c r="R314" i="11"/>
  <c r="K37" i="40" s="1"/>
  <c r="E314" i="11"/>
  <c r="J314" i="11"/>
  <c r="L6" i="11"/>
  <c r="L314" i="11" l="1"/>
  <c r="K36" i="40" s="1"/>
  <c r="K38" i="40" s="1"/>
  <c r="H38" i="40" s="1"/>
  <c r="C38" i="40" l="1"/>
  <c r="S5" i="11" s="1"/>
  <c r="C37" i="40"/>
  <c r="M5" i="11" s="1"/>
  <c r="S15" i="11" l="1"/>
  <c r="S11" i="11"/>
  <c r="S107" i="11"/>
  <c r="S123" i="11"/>
  <c r="S139" i="11"/>
  <c r="S155" i="11"/>
  <c r="S171" i="11"/>
  <c r="S187" i="11"/>
  <c r="S203" i="11"/>
  <c r="S219" i="11"/>
  <c r="S12" i="11"/>
  <c r="S18" i="11"/>
  <c r="S22" i="11"/>
  <c r="S26" i="11"/>
  <c r="S30" i="11"/>
  <c r="S34" i="11"/>
  <c r="S38" i="11"/>
  <c r="S101" i="11"/>
  <c r="S111" i="11"/>
  <c r="S127" i="11"/>
  <c r="S143" i="11"/>
  <c r="S159" i="11"/>
  <c r="S175" i="11"/>
  <c r="S191" i="11"/>
  <c r="S207" i="11"/>
  <c r="S7" i="11"/>
  <c r="S8" i="11"/>
  <c r="S115" i="11"/>
  <c r="S131" i="11"/>
  <c r="S147" i="11"/>
  <c r="S163" i="11"/>
  <c r="S164" i="11"/>
  <c r="S179" i="11"/>
  <c r="S180" i="11"/>
  <c r="S195" i="11"/>
  <c r="S196" i="11"/>
  <c r="S211" i="11"/>
  <c r="S212" i="11"/>
  <c r="S136" i="11"/>
  <c r="S151" i="11"/>
  <c r="S167" i="11"/>
  <c r="S183" i="11"/>
  <c r="S199" i="11"/>
  <c r="S215" i="11"/>
  <c r="S184" i="11"/>
  <c r="S216" i="11"/>
  <c r="S95" i="11"/>
  <c r="S120" i="11"/>
  <c r="S135" i="11"/>
  <c r="S222" i="11"/>
  <c r="S226" i="11"/>
  <c r="S230" i="11"/>
  <c r="S234" i="11"/>
  <c r="S238" i="11"/>
  <c r="S242" i="11"/>
  <c r="S246" i="11"/>
  <c r="S250" i="11"/>
  <c r="S254" i="11"/>
  <c r="S258" i="11"/>
  <c r="S262" i="11"/>
  <c r="S265" i="11"/>
  <c r="S266" i="11"/>
  <c r="S269" i="11"/>
  <c r="S273" i="11"/>
  <c r="S277" i="11"/>
  <c r="S281" i="11"/>
  <c r="S285" i="11"/>
  <c r="S152" i="11"/>
  <c r="S168" i="11"/>
  <c r="S200" i="11"/>
  <c r="S94" i="11"/>
  <c r="S104" i="11"/>
  <c r="S119" i="11"/>
  <c r="S303" i="11"/>
  <c r="S310" i="11"/>
  <c r="S294" i="11"/>
  <c r="S270" i="11"/>
  <c r="S295" i="11"/>
  <c r="S307" i="11"/>
  <c r="S291" i="11"/>
  <c r="S309" i="11"/>
  <c r="S293" i="11"/>
  <c r="S148" i="11"/>
  <c r="S121" i="11"/>
  <c r="S66" i="11"/>
  <c r="S267" i="11"/>
  <c r="S249" i="11"/>
  <c r="S233" i="11"/>
  <c r="S213" i="11"/>
  <c r="S145" i="11"/>
  <c r="S103" i="11"/>
  <c r="S284" i="11"/>
  <c r="S268" i="11"/>
  <c r="S252" i="11"/>
  <c r="S236" i="11"/>
  <c r="S220" i="11"/>
  <c r="S202" i="11"/>
  <c r="S176" i="11"/>
  <c r="S156" i="11"/>
  <c r="S117" i="11"/>
  <c r="S98" i="11"/>
  <c r="S68" i="11"/>
  <c r="S9" i="11"/>
  <c r="S251" i="11"/>
  <c r="S235" i="11"/>
  <c r="S209" i="11"/>
  <c r="S149" i="11"/>
  <c r="S99" i="11"/>
  <c r="S217" i="11"/>
  <c r="S153" i="11"/>
  <c r="S116" i="11"/>
  <c r="S78" i="11"/>
  <c r="S46" i="11"/>
  <c r="S189" i="11"/>
  <c r="S157" i="11"/>
  <c r="S100" i="11"/>
  <c r="S162" i="11"/>
  <c r="S97" i="11"/>
  <c r="S28" i="11"/>
  <c r="S14" i="11"/>
  <c r="S158" i="11"/>
  <c r="S96" i="11"/>
  <c r="S87" i="11"/>
  <c r="S79" i="11"/>
  <c r="S71" i="11"/>
  <c r="S63" i="11"/>
  <c r="S55" i="11"/>
  <c r="S47" i="11"/>
  <c r="S39" i="11"/>
  <c r="S31" i="11"/>
  <c r="S23" i="11"/>
  <c r="S10" i="11"/>
  <c r="S297" i="11"/>
  <c r="S312" i="11"/>
  <c r="S274" i="11"/>
  <c r="S271" i="11"/>
  <c r="S74" i="11"/>
  <c r="S42" i="11"/>
  <c r="S253" i="11"/>
  <c r="S223" i="11"/>
  <c r="S105" i="11"/>
  <c r="S272" i="11"/>
  <c r="S240" i="11"/>
  <c r="S204" i="11"/>
  <c r="S160" i="11"/>
  <c r="S102" i="11"/>
  <c r="S44" i="11"/>
  <c r="S239" i="11"/>
  <c r="S165" i="11"/>
  <c r="S169" i="11"/>
  <c r="S86" i="11"/>
  <c r="S198" i="11"/>
  <c r="S118" i="11"/>
  <c r="S114" i="11"/>
  <c r="S110" i="11"/>
  <c r="S81" i="11"/>
  <c r="S65" i="11"/>
  <c r="S49" i="11"/>
  <c r="E34" i="48" s="1"/>
  <c r="S33" i="11"/>
  <c r="S287" i="11"/>
  <c r="S305" i="11"/>
  <c r="S289" i="11"/>
  <c r="S311" i="11"/>
  <c r="S292" i="11"/>
  <c r="S304" i="11"/>
  <c r="S288" i="11"/>
  <c r="S306" i="11"/>
  <c r="S290" i="11"/>
  <c r="S140" i="11"/>
  <c r="S90" i="11"/>
  <c r="S58" i="11"/>
  <c r="S263" i="11"/>
  <c r="S245" i="11"/>
  <c r="S229" i="11"/>
  <c r="S193" i="11"/>
  <c r="S132" i="11"/>
  <c r="S80" i="11"/>
  <c r="S280" i="11"/>
  <c r="S264" i="11"/>
  <c r="S248" i="11"/>
  <c r="S232" i="11"/>
  <c r="S218" i="11"/>
  <c r="S192" i="11"/>
  <c r="S172" i="11"/>
  <c r="S154" i="11"/>
  <c r="S113" i="11"/>
  <c r="S92" i="11"/>
  <c r="S60" i="11"/>
  <c r="S261" i="11"/>
  <c r="S247" i="11"/>
  <c r="S231" i="11"/>
  <c r="S197" i="11"/>
  <c r="S141" i="11"/>
  <c r="S88" i="11"/>
  <c r="S201" i="11"/>
  <c r="S133" i="11"/>
  <c r="S108" i="11"/>
  <c r="S70" i="11"/>
  <c r="S214" i="11"/>
  <c r="S182" i="11"/>
  <c r="S150" i="11"/>
  <c r="S210" i="11"/>
  <c r="S146" i="11"/>
  <c r="S40" i="11"/>
  <c r="S24" i="11"/>
  <c r="S206" i="11"/>
  <c r="S142" i="11"/>
  <c r="S93" i="11"/>
  <c r="S85" i="11"/>
  <c r="S77" i="11"/>
  <c r="S69" i="11"/>
  <c r="S61" i="11"/>
  <c r="S53" i="11"/>
  <c r="S45" i="11"/>
  <c r="S37" i="11"/>
  <c r="S29" i="11"/>
  <c r="S21" i="11"/>
  <c r="S13" i="11"/>
  <c r="S279" i="11"/>
  <c r="S300" i="11"/>
  <c r="S296" i="11"/>
  <c r="S298" i="11"/>
  <c r="S128" i="11"/>
  <c r="S237" i="11"/>
  <c r="S161" i="11"/>
  <c r="S56" i="11"/>
  <c r="S256" i="11"/>
  <c r="S224" i="11"/>
  <c r="S186" i="11"/>
  <c r="S137" i="11"/>
  <c r="S76" i="11"/>
  <c r="S255" i="11"/>
  <c r="S221" i="11"/>
  <c r="S48" i="11"/>
  <c r="S125" i="11"/>
  <c r="S54" i="11"/>
  <c r="S166" i="11"/>
  <c r="S178" i="11"/>
  <c r="S32" i="11"/>
  <c r="S174" i="11"/>
  <c r="S89" i="11"/>
  <c r="S73" i="11"/>
  <c r="S41" i="11"/>
  <c r="S25" i="11"/>
  <c r="S275" i="11"/>
  <c r="S302" i="11"/>
  <c r="S286" i="11"/>
  <c r="S308" i="11"/>
  <c r="S282" i="11"/>
  <c r="S299" i="11"/>
  <c r="S283" i="11"/>
  <c r="S301" i="11"/>
  <c r="S278" i="11"/>
  <c r="S138" i="11"/>
  <c r="S82" i="11"/>
  <c r="S50" i="11"/>
  <c r="S257" i="11"/>
  <c r="S241" i="11"/>
  <c r="S225" i="11"/>
  <c r="S181" i="11"/>
  <c r="S122" i="11"/>
  <c r="S64" i="11"/>
  <c r="S276" i="11"/>
  <c r="S260" i="11"/>
  <c r="S244" i="11"/>
  <c r="S228" i="11"/>
  <c r="S208" i="11"/>
  <c r="S188" i="11"/>
  <c r="S170" i="11"/>
  <c r="S144" i="11"/>
  <c r="S109" i="11"/>
  <c r="S84" i="11"/>
  <c r="S52" i="11"/>
  <c r="S259" i="11"/>
  <c r="S243" i="11"/>
  <c r="S227" i="11"/>
  <c r="S177" i="11"/>
  <c r="S124" i="11"/>
  <c r="S72" i="11"/>
  <c r="S185" i="11"/>
  <c r="S129" i="11"/>
  <c r="S106" i="11"/>
  <c r="S62" i="11"/>
  <c r="S205" i="11"/>
  <c r="S173" i="11"/>
  <c r="S134" i="11"/>
  <c r="S194" i="11"/>
  <c r="S130" i="11"/>
  <c r="S36" i="11"/>
  <c r="S20" i="11"/>
  <c r="S190" i="11"/>
  <c r="S126" i="11"/>
  <c r="S91" i="11"/>
  <c r="S83" i="11"/>
  <c r="S75" i="11"/>
  <c r="S67" i="11"/>
  <c r="S59" i="11"/>
  <c r="S51" i="11"/>
  <c r="S43" i="11"/>
  <c r="S35" i="11"/>
  <c r="S27" i="11"/>
  <c r="S19" i="11"/>
  <c r="S313" i="11"/>
  <c r="S112" i="11"/>
  <c r="S16" i="11"/>
  <c r="S57" i="11"/>
  <c r="S17" i="11"/>
  <c r="M12" i="11"/>
  <c r="M20" i="11"/>
  <c r="M28" i="11"/>
  <c r="M36" i="11"/>
  <c r="M44" i="11"/>
  <c r="M52" i="11"/>
  <c r="M60" i="11"/>
  <c r="M68" i="11"/>
  <c r="M10" i="11"/>
  <c r="M18" i="11"/>
  <c r="M26" i="11"/>
  <c r="M34" i="11"/>
  <c r="M42" i="11"/>
  <c r="M50" i="11"/>
  <c r="M58" i="11"/>
  <c r="M66" i="11"/>
  <c r="M74" i="11"/>
  <c r="M82" i="11"/>
  <c r="M90" i="11"/>
  <c r="M98" i="11"/>
  <c r="M106" i="11"/>
  <c r="M114" i="11"/>
  <c r="M122" i="11"/>
  <c r="M130" i="11"/>
  <c r="M138" i="11"/>
  <c r="M16" i="11"/>
  <c r="M32" i="11"/>
  <c r="M48" i="11"/>
  <c r="M64" i="11"/>
  <c r="M80" i="11"/>
  <c r="M96" i="11"/>
  <c r="M112" i="11"/>
  <c r="M128" i="11"/>
  <c r="M170" i="11"/>
  <c r="M14" i="11"/>
  <c r="M30" i="11"/>
  <c r="M46" i="11"/>
  <c r="M62" i="11"/>
  <c r="M162" i="11"/>
  <c r="M38" i="11"/>
  <c r="M102" i="11"/>
  <c r="M118" i="11"/>
  <c r="M134" i="11"/>
  <c r="M146" i="11"/>
  <c r="M152" i="11"/>
  <c r="M8" i="11"/>
  <c r="M24" i="11"/>
  <c r="M40" i="11"/>
  <c r="M56" i="11"/>
  <c r="M72" i="11"/>
  <c r="M88" i="11"/>
  <c r="M104" i="11"/>
  <c r="M120" i="11"/>
  <c r="M136" i="11"/>
  <c r="M154" i="11"/>
  <c r="M22" i="11"/>
  <c r="M54" i="11"/>
  <c r="M70" i="11"/>
  <c r="M86" i="11"/>
  <c r="M158" i="11"/>
  <c r="M178" i="11"/>
  <c r="M186" i="11"/>
  <c r="M218" i="11"/>
  <c r="M250" i="11"/>
  <c r="M194" i="11"/>
  <c r="M226" i="11"/>
  <c r="M258" i="11"/>
  <c r="M242" i="11"/>
  <c r="M202" i="11"/>
  <c r="M234" i="11"/>
  <c r="M210" i="11"/>
  <c r="M300" i="11"/>
  <c r="M196" i="11"/>
  <c r="M110" i="11"/>
  <c r="M303" i="11"/>
  <c r="M287" i="11"/>
  <c r="M271" i="11"/>
  <c r="M252" i="11"/>
  <c r="M220" i="11"/>
  <c r="M188" i="11"/>
  <c r="M296" i="11"/>
  <c r="M264" i="11"/>
  <c r="M189" i="11"/>
  <c r="M94" i="11"/>
  <c r="M298" i="11"/>
  <c r="M282" i="11"/>
  <c r="M266" i="11"/>
  <c r="M237" i="11"/>
  <c r="M205" i="11"/>
  <c r="M176" i="11"/>
  <c r="M308" i="11"/>
  <c r="M268" i="11"/>
  <c r="M309" i="11"/>
  <c r="M293" i="11"/>
  <c r="M277" i="11"/>
  <c r="M261" i="11"/>
  <c r="M229" i="11"/>
  <c r="M197" i="11"/>
  <c r="M137" i="11"/>
  <c r="M89" i="11"/>
  <c r="M9" i="11"/>
  <c r="M231" i="11"/>
  <c r="M199" i="11"/>
  <c r="M169" i="11"/>
  <c r="M124" i="11"/>
  <c r="M164" i="11"/>
  <c r="M105" i="11"/>
  <c r="M51" i="11"/>
  <c r="M249" i="11"/>
  <c r="M217" i="11"/>
  <c r="M185" i="11"/>
  <c r="M148" i="11"/>
  <c r="M123" i="11"/>
  <c r="M91" i="11"/>
  <c r="M59" i="11"/>
  <c r="M27" i="11"/>
  <c r="M251" i="11"/>
  <c r="M219" i="11"/>
  <c r="M187" i="11"/>
  <c r="M153" i="11"/>
  <c r="M100" i="11"/>
  <c r="M117" i="11"/>
  <c r="M85" i="11"/>
  <c r="M53" i="11"/>
  <c r="M21" i="11"/>
  <c r="M159" i="11"/>
  <c r="M127" i="11"/>
  <c r="M95" i="11"/>
  <c r="M63" i="11"/>
  <c r="M31" i="11"/>
  <c r="M307" i="11"/>
  <c r="M291" i="11"/>
  <c r="M256" i="11"/>
  <c r="M192" i="11"/>
  <c r="M272" i="11"/>
  <c r="M126" i="11"/>
  <c r="M270" i="11"/>
  <c r="M212" i="11"/>
  <c r="M144" i="11"/>
  <c r="M297" i="11"/>
  <c r="M265" i="11"/>
  <c r="M204" i="11"/>
  <c r="M35" i="11"/>
  <c r="M172" i="11"/>
  <c r="M76" i="11"/>
  <c r="M257" i="11"/>
  <c r="M193" i="11"/>
  <c r="M97" i="11"/>
  <c r="M259" i="11"/>
  <c r="M156" i="11"/>
  <c r="M93" i="11"/>
  <c r="M29" i="11"/>
  <c r="M103" i="11"/>
  <c r="M7" i="11"/>
  <c r="M253" i="11"/>
  <c r="M182" i="11"/>
  <c r="M78" i="11"/>
  <c r="M299" i="11"/>
  <c r="M283" i="11"/>
  <c r="M267" i="11"/>
  <c r="M245" i="11"/>
  <c r="M213" i="11"/>
  <c r="M181" i="11"/>
  <c r="M288" i="11"/>
  <c r="M260" i="11"/>
  <c r="M174" i="11"/>
  <c r="M310" i="11"/>
  <c r="M294" i="11"/>
  <c r="M278" i="11"/>
  <c r="M262" i="11"/>
  <c r="M230" i="11"/>
  <c r="M198" i="11"/>
  <c r="M168" i="11"/>
  <c r="M292" i="11"/>
  <c r="M232" i="11"/>
  <c r="M305" i="11"/>
  <c r="M289" i="11"/>
  <c r="M273" i="11"/>
  <c r="M254" i="11"/>
  <c r="M222" i="11"/>
  <c r="M190" i="11"/>
  <c r="M131" i="11"/>
  <c r="M73" i="11"/>
  <c r="M255" i="11"/>
  <c r="M223" i="11"/>
  <c r="M191" i="11"/>
  <c r="M163" i="11"/>
  <c r="M108" i="11"/>
  <c r="M155" i="11"/>
  <c r="M83" i="11"/>
  <c r="M25" i="11"/>
  <c r="M241" i="11"/>
  <c r="M209" i="11"/>
  <c r="M177" i="11"/>
  <c r="M145" i="11"/>
  <c r="M113" i="11"/>
  <c r="M81" i="11"/>
  <c r="M49" i="11"/>
  <c r="E33" i="48" s="1"/>
  <c r="M17" i="11"/>
  <c r="M243" i="11"/>
  <c r="M211" i="11"/>
  <c r="M179" i="11"/>
  <c r="M147" i="11"/>
  <c r="M84" i="11"/>
  <c r="M109" i="11"/>
  <c r="M77" i="11"/>
  <c r="M45" i="11"/>
  <c r="M13" i="11"/>
  <c r="M151" i="11"/>
  <c r="M119" i="11"/>
  <c r="M87" i="11"/>
  <c r="M55" i="11"/>
  <c r="M23" i="11"/>
  <c r="M142" i="11"/>
  <c r="M313" i="11"/>
  <c r="M161" i="11"/>
  <c r="M207" i="11"/>
  <c r="M121" i="11"/>
  <c r="M157" i="11"/>
  <c r="M33" i="11"/>
  <c r="M116" i="11"/>
  <c r="M167" i="11"/>
  <c r="M39" i="11"/>
  <c r="M221" i="11"/>
  <c r="M166" i="11"/>
  <c r="M311" i="11"/>
  <c r="M295" i="11"/>
  <c r="M279" i="11"/>
  <c r="M263" i="11"/>
  <c r="M238" i="11"/>
  <c r="M206" i="11"/>
  <c r="M312" i="11"/>
  <c r="M280" i="11"/>
  <c r="M246" i="11"/>
  <c r="M150" i="11"/>
  <c r="M306" i="11"/>
  <c r="M290" i="11"/>
  <c r="M274" i="11"/>
  <c r="M248" i="11"/>
  <c r="M216" i="11"/>
  <c r="M184" i="11"/>
  <c r="M160" i="11"/>
  <c r="M284" i="11"/>
  <c r="M200" i="11"/>
  <c r="M301" i="11"/>
  <c r="M285" i="11"/>
  <c r="M269" i="11"/>
  <c r="M240" i="11"/>
  <c r="M208" i="11"/>
  <c r="M173" i="11"/>
  <c r="M115" i="11"/>
  <c r="M41" i="11"/>
  <c r="M247" i="11"/>
  <c r="M215" i="11"/>
  <c r="M183" i="11"/>
  <c r="M149" i="11"/>
  <c r="M92" i="11"/>
  <c r="M141" i="11"/>
  <c r="M67" i="11"/>
  <c r="M19" i="11"/>
  <c r="M233" i="11"/>
  <c r="M201" i="11"/>
  <c r="M171" i="11"/>
  <c r="M139" i="11"/>
  <c r="M107" i="11"/>
  <c r="M75" i="11"/>
  <c r="M43" i="11"/>
  <c r="M11" i="11"/>
  <c r="M235" i="11"/>
  <c r="M203" i="11"/>
  <c r="M165" i="11"/>
  <c r="M132" i="11"/>
  <c r="M133" i="11"/>
  <c r="M101" i="11"/>
  <c r="M69" i="11"/>
  <c r="M37" i="11"/>
  <c r="M175" i="11"/>
  <c r="M143" i="11"/>
  <c r="M111" i="11"/>
  <c r="M79" i="11"/>
  <c r="M47" i="11"/>
  <c r="M15" i="11"/>
  <c r="M214" i="11"/>
  <c r="M275" i="11"/>
  <c r="M224" i="11"/>
  <c r="M304" i="11"/>
  <c r="M228" i="11"/>
  <c r="M302" i="11"/>
  <c r="M286" i="11"/>
  <c r="M244" i="11"/>
  <c r="M180" i="11"/>
  <c r="M276" i="11"/>
  <c r="M281" i="11"/>
  <c r="M236" i="11"/>
  <c r="M99" i="11"/>
  <c r="M239" i="11"/>
  <c r="M140" i="11"/>
  <c r="M57" i="11"/>
  <c r="M225" i="11"/>
  <c r="M129" i="11"/>
  <c r="M65" i="11"/>
  <c r="M227" i="11"/>
  <c r="M195" i="11"/>
  <c r="M125" i="11"/>
  <c r="M61" i="11"/>
  <c r="M135" i="11"/>
  <c r="M71" i="11"/>
  <c r="M6" i="11"/>
  <c r="S6" i="11"/>
  <c r="T194" i="11" l="1"/>
  <c r="U194" i="11" s="1"/>
  <c r="F194" i="39" s="1"/>
  <c r="T122" i="11"/>
  <c r="U122" i="11" s="1"/>
  <c r="F122" i="39" s="1"/>
  <c r="T32" i="11"/>
  <c r="U32" i="11" s="1"/>
  <c r="T59" i="11"/>
  <c r="U59" i="11" s="1"/>
  <c r="T112" i="11"/>
  <c r="U112" i="11" s="1"/>
  <c r="T35" i="11"/>
  <c r="U35" i="11" s="1"/>
  <c r="T67" i="11"/>
  <c r="U67" i="11" s="1"/>
  <c r="T126" i="11"/>
  <c r="U126" i="11" s="1"/>
  <c r="T130" i="11"/>
  <c r="U130" i="11" s="1"/>
  <c r="T205" i="11"/>
  <c r="U205" i="11" s="1"/>
  <c r="T185" i="11"/>
  <c r="U185" i="11" s="1"/>
  <c r="T227" i="11"/>
  <c r="U227" i="11" s="1"/>
  <c r="T84" i="11"/>
  <c r="U84" i="11" s="1"/>
  <c r="T188" i="11"/>
  <c r="U188" i="11" s="1"/>
  <c r="T260" i="11"/>
  <c r="U260" i="11" s="1"/>
  <c r="T181" i="11"/>
  <c r="U181" i="11" s="1"/>
  <c r="T50" i="11"/>
  <c r="U50" i="11" s="1"/>
  <c r="T301" i="11"/>
  <c r="U301" i="11" s="1"/>
  <c r="T308" i="11"/>
  <c r="U308" i="11" s="1"/>
  <c r="T25" i="11"/>
  <c r="U25" i="11" s="1"/>
  <c r="T174" i="11"/>
  <c r="U174" i="11" s="1"/>
  <c r="T54" i="11"/>
  <c r="U54" i="11" s="1"/>
  <c r="T255" i="11"/>
  <c r="U255" i="11" s="1"/>
  <c r="T224" i="11"/>
  <c r="U224" i="11" s="1"/>
  <c r="T237" i="11"/>
  <c r="U237" i="11" s="1"/>
  <c r="T300" i="11"/>
  <c r="U300" i="11" s="1"/>
  <c r="T29" i="11"/>
  <c r="U29" i="11" s="1"/>
  <c r="T61" i="11"/>
  <c r="U61" i="11" s="1"/>
  <c r="T93" i="11"/>
  <c r="U93" i="11" s="1"/>
  <c r="T40" i="11"/>
  <c r="U40" i="11" s="1"/>
  <c r="T182" i="11"/>
  <c r="U182" i="11" s="1"/>
  <c r="T133" i="11"/>
  <c r="U133" i="11" s="1"/>
  <c r="T197" i="11"/>
  <c r="U197" i="11" s="1"/>
  <c r="T60" i="11"/>
  <c r="U60" i="11" s="1"/>
  <c r="T172" i="11"/>
  <c r="U172" i="11" s="1"/>
  <c r="T248" i="11"/>
  <c r="U248" i="11" s="1"/>
  <c r="T132" i="11"/>
  <c r="U132" i="11" s="1"/>
  <c r="T263" i="11"/>
  <c r="U263" i="11" s="1"/>
  <c r="T290" i="11"/>
  <c r="U290" i="11" s="1"/>
  <c r="T292" i="11"/>
  <c r="U292" i="11" s="1"/>
  <c r="T287" i="11"/>
  <c r="U287" i="11" s="1"/>
  <c r="T81" i="11"/>
  <c r="U81" i="11" s="1"/>
  <c r="T198" i="11"/>
  <c r="U198" i="11" s="1"/>
  <c r="T239" i="11"/>
  <c r="U239" i="11" s="1"/>
  <c r="T204" i="11"/>
  <c r="U204" i="11" s="1"/>
  <c r="T223" i="11"/>
  <c r="U223" i="11" s="1"/>
  <c r="T271" i="11"/>
  <c r="U271" i="11" s="1"/>
  <c r="T10" i="11"/>
  <c r="U10" i="11" s="1"/>
  <c r="T47" i="11"/>
  <c r="U47" i="11" s="1"/>
  <c r="T79" i="11"/>
  <c r="U79" i="11" s="1"/>
  <c r="T14" i="11"/>
  <c r="U14" i="11" s="1"/>
  <c r="T100" i="11"/>
  <c r="U100" i="11" s="1"/>
  <c r="T78" i="11"/>
  <c r="U78" i="11" s="1"/>
  <c r="T99" i="11"/>
  <c r="U99" i="11" s="1"/>
  <c r="T251" i="11"/>
  <c r="U251" i="11" s="1"/>
  <c r="T117" i="11"/>
  <c r="U117" i="11" s="1"/>
  <c r="T220" i="11"/>
  <c r="U220" i="11" s="1"/>
  <c r="T284" i="11"/>
  <c r="U284" i="11" s="1"/>
  <c r="T233" i="11"/>
  <c r="U233" i="11" s="1"/>
  <c r="T121" i="11"/>
  <c r="U121" i="11" s="1"/>
  <c r="T291" i="11"/>
  <c r="U291" i="11" s="1"/>
  <c r="T294" i="11"/>
  <c r="U294" i="11" s="1"/>
  <c r="T104" i="11"/>
  <c r="U104" i="11" s="1"/>
  <c r="T152" i="11"/>
  <c r="U152" i="11" s="1"/>
  <c r="T273" i="11"/>
  <c r="U273" i="11" s="1"/>
  <c r="T262" i="11"/>
  <c r="U262" i="11" s="1"/>
  <c r="T246" i="11"/>
  <c r="U246" i="11" s="1"/>
  <c r="T230" i="11"/>
  <c r="U230" i="11" s="1"/>
  <c r="T120" i="11"/>
  <c r="U120" i="11" s="1"/>
  <c r="T215" i="11"/>
  <c r="U215" i="11" s="1"/>
  <c r="T151" i="11"/>
  <c r="U151" i="11" s="1"/>
  <c r="T196" i="11"/>
  <c r="U196" i="11" s="1"/>
  <c r="T164" i="11"/>
  <c r="U164" i="11" s="1"/>
  <c r="T115" i="11"/>
  <c r="U115" i="11" s="1"/>
  <c r="T191" i="11"/>
  <c r="U191" i="11" s="1"/>
  <c r="T127" i="11"/>
  <c r="U127" i="11" s="1"/>
  <c r="T34" i="11"/>
  <c r="U34" i="11" s="1"/>
  <c r="T18" i="11"/>
  <c r="U18" i="11" s="1"/>
  <c r="T187" i="11"/>
  <c r="U187" i="11" s="1"/>
  <c r="T123" i="11"/>
  <c r="U123" i="11" s="1"/>
  <c r="T17" i="11"/>
  <c r="U17" i="11" s="1"/>
  <c r="T313" i="11"/>
  <c r="U313" i="11" s="1"/>
  <c r="T43" i="11"/>
  <c r="U43" i="11" s="1"/>
  <c r="T75" i="11"/>
  <c r="U75" i="11" s="1"/>
  <c r="T190" i="11"/>
  <c r="U190" i="11" s="1"/>
  <c r="T62" i="11"/>
  <c r="U62" i="11" s="1"/>
  <c r="T72" i="11"/>
  <c r="U72" i="11" s="1"/>
  <c r="T243" i="11"/>
  <c r="U243" i="11" s="1"/>
  <c r="T109" i="11"/>
  <c r="U109" i="11" s="1"/>
  <c r="T208" i="11"/>
  <c r="U208" i="11" s="1"/>
  <c r="T276" i="11"/>
  <c r="U276" i="11" s="1"/>
  <c r="T225" i="11"/>
  <c r="U225" i="11" s="1"/>
  <c r="T82" i="11"/>
  <c r="U82" i="11" s="1"/>
  <c r="T283" i="11"/>
  <c r="U283" i="11" s="1"/>
  <c r="T286" i="11"/>
  <c r="U286" i="11" s="1"/>
  <c r="T41" i="11"/>
  <c r="U41" i="11" s="1"/>
  <c r="T125" i="11"/>
  <c r="U125" i="11" s="1"/>
  <c r="T76" i="11"/>
  <c r="U76" i="11" s="1"/>
  <c r="T256" i="11"/>
  <c r="U256" i="11" s="1"/>
  <c r="T128" i="11"/>
  <c r="U128" i="11" s="1"/>
  <c r="T279" i="11"/>
  <c r="U279" i="11" s="1"/>
  <c r="T37" i="11"/>
  <c r="U37" i="11" s="1"/>
  <c r="T69" i="11"/>
  <c r="U69" i="11" s="1"/>
  <c r="T142" i="11"/>
  <c r="U142" i="11" s="1"/>
  <c r="T146" i="11"/>
  <c r="U146" i="11" s="1"/>
  <c r="T214" i="11"/>
  <c r="U214" i="11" s="1"/>
  <c r="T201" i="11"/>
  <c r="U201" i="11" s="1"/>
  <c r="T231" i="11"/>
  <c r="U231" i="11" s="1"/>
  <c r="T92" i="11"/>
  <c r="U92" i="11" s="1"/>
  <c r="T192" i="11"/>
  <c r="U192" i="11" s="1"/>
  <c r="T264" i="11"/>
  <c r="U264" i="11" s="1"/>
  <c r="T193" i="11"/>
  <c r="U193" i="11" s="1"/>
  <c r="T58" i="11"/>
  <c r="U58" i="11" s="1"/>
  <c r="T306" i="11"/>
  <c r="U306" i="11" s="1"/>
  <c r="T311" i="11"/>
  <c r="U311" i="11" s="1"/>
  <c r="T33" i="11"/>
  <c r="U33" i="11" s="1"/>
  <c r="T110" i="11"/>
  <c r="U110" i="11" s="1"/>
  <c r="T86" i="11"/>
  <c r="U86" i="11" s="1"/>
  <c r="T44" i="11"/>
  <c r="U44" i="11" s="1"/>
  <c r="T240" i="11"/>
  <c r="U240" i="11" s="1"/>
  <c r="T253" i="11"/>
  <c r="U253" i="11" s="1"/>
  <c r="T274" i="11"/>
  <c r="U274" i="11" s="1"/>
  <c r="T23" i="11"/>
  <c r="U23" i="11" s="1"/>
  <c r="T55" i="11"/>
  <c r="U55" i="11" s="1"/>
  <c r="T87" i="11"/>
  <c r="U87" i="11" s="1"/>
  <c r="T28" i="11"/>
  <c r="U28" i="11" s="1"/>
  <c r="T157" i="11"/>
  <c r="U157" i="11" s="1"/>
  <c r="T116" i="11"/>
  <c r="U116" i="11" s="1"/>
  <c r="T149" i="11"/>
  <c r="U149" i="11" s="1"/>
  <c r="T9" i="11"/>
  <c r="U9" i="11" s="1"/>
  <c r="T156" i="11"/>
  <c r="U156" i="11" s="1"/>
  <c r="T236" i="11"/>
  <c r="U236" i="11" s="1"/>
  <c r="T103" i="11"/>
  <c r="U103" i="11" s="1"/>
  <c r="T249" i="11"/>
  <c r="U249" i="11" s="1"/>
  <c r="T148" i="11"/>
  <c r="U148" i="11" s="1"/>
  <c r="T307" i="11"/>
  <c r="U307" i="11" s="1"/>
  <c r="T310" i="11"/>
  <c r="U310" i="11" s="1"/>
  <c r="T94" i="11"/>
  <c r="U94" i="11" s="1"/>
  <c r="T285" i="11"/>
  <c r="U285" i="11" s="1"/>
  <c r="T269" i="11"/>
  <c r="U269" i="11" s="1"/>
  <c r="T258" i="11"/>
  <c r="U258" i="11" s="1"/>
  <c r="T242" i="11"/>
  <c r="U242" i="11" s="1"/>
  <c r="T226" i="11"/>
  <c r="U226" i="11" s="1"/>
  <c r="T95" i="11"/>
  <c r="U95" i="11" s="1"/>
  <c r="T199" i="11"/>
  <c r="U199" i="11" s="1"/>
  <c r="T136" i="11"/>
  <c r="U136" i="11" s="1"/>
  <c r="T195" i="11"/>
  <c r="U195" i="11" s="1"/>
  <c r="T163" i="11"/>
  <c r="U163" i="11" s="1"/>
  <c r="T8" i="11"/>
  <c r="U8" i="11" s="1"/>
  <c r="T175" i="11"/>
  <c r="U175" i="11" s="1"/>
  <c r="T111" i="11"/>
  <c r="U111" i="11" s="1"/>
  <c r="T30" i="11"/>
  <c r="U30" i="11" s="1"/>
  <c r="T12" i="11"/>
  <c r="U12" i="11" s="1"/>
  <c r="T171" i="11"/>
  <c r="U171" i="11" s="1"/>
  <c r="T107" i="11"/>
  <c r="U107" i="11" s="1"/>
  <c r="T57" i="11"/>
  <c r="U57" i="11" s="1"/>
  <c r="T19" i="11"/>
  <c r="U19" i="11" s="1"/>
  <c r="T51" i="11"/>
  <c r="U51" i="11" s="1"/>
  <c r="T83" i="11"/>
  <c r="U83" i="11" s="1"/>
  <c r="T20" i="11"/>
  <c r="U20" i="11" s="1"/>
  <c r="T134" i="11"/>
  <c r="U134" i="11" s="1"/>
  <c r="T106" i="11"/>
  <c r="U106" i="11" s="1"/>
  <c r="T124" i="11"/>
  <c r="U124" i="11" s="1"/>
  <c r="T259" i="11"/>
  <c r="U259" i="11" s="1"/>
  <c r="T144" i="11"/>
  <c r="U144" i="11" s="1"/>
  <c r="T228" i="11"/>
  <c r="U228" i="11" s="1"/>
  <c r="T64" i="11"/>
  <c r="U64" i="11" s="1"/>
  <c r="T241" i="11"/>
  <c r="U241" i="11" s="1"/>
  <c r="T138" i="11"/>
  <c r="U138" i="11" s="1"/>
  <c r="T299" i="11"/>
  <c r="U299" i="11" s="1"/>
  <c r="T302" i="11"/>
  <c r="U302" i="11" s="1"/>
  <c r="T73" i="11"/>
  <c r="U73" i="11" s="1"/>
  <c r="T178" i="11"/>
  <c r="U178" i="11" s="1"/>
  <c r="T48" i="11"/>
  <c r="U48" i="11" s="1"/>
  <c r="T137" i="11"/>
  <c r="U137" i="11" s="1"/>
  <c r="T56" i="11"/>
  <c r="U56" i="11" s="1"/>
  <c r="T298" i="11"/>
  <c r="U298" i="11" s="1"/>
  <c r="T13" i="11"/>
  <c r="U13" i="11" s="1"/>
  <c r="T45" i="11"/>
  <c r="U45" i="11" s="1"/>
  <c r="T77" i="11"/>
  <c r="U77" i="11" s="1"/>
  <c r="T206" i="11"/>
  <c r="U206" i="11" s="1"/>
  <c r="T210" i="11"/>
  <c r="U210" i="11" s="1"/>
  <c r="T70" i="11"/>
  <c r="U70" i="11" s="1"/>
  <c r="T88" i="11"/>
  <c r="U88" i="11" s="1"/>
  <c r="T247" i="11"/>
  <c r="U247" i="11" s="1"/>
  <c r="T113" i="11"/>
  <c r="U113" i="11" s="1"/>
  <c r="T218" i="11"/>
  <c r="U218" i="11" s="1"/>
  <c r="T280" i="11"/>
  <c r="U280" i="11" s="1"/>
  <c r="T229" i="11"/>
  <c r="U229" i="11" s="1"/>
  <c r="T90" i="11"/>
  <c r="U90" i="11" s="1"/>
  <c r="T288" i="11"/>
  <c r="U288" i="11" s="1"/>
  <c r="T289" i="11"/>
  <c r="U289" i="11" s="1"/>
  <c r="T49" i="11"/>
  <c r="U49" i="11" s="1"/>
  <c r="T114" i="11"/>
  <c r="U114" i="11" s="1"/>
  <c r="T169" i="11"/>
  <c r="U169" i="11" s="1"/>
  <c r="T102" i="11"/>
  <c r="U102" i="11" s="1"/>
  <c r="T272" i="11"/>
  <c r="U272" i="11" s="1"/>
  <c r="T42" i="11"/>
  <c r="U42" i="11" s="1"/>
  <c r="T312" i="11"/>
  <c r="U312" i="11" s="1"/>
  <c r="T31" i="11"/>
  <c r="U31" i="11" s="1"/>
  <c r="T63" i="11"/>
  <c r="U63" i="11" s="1"/>
  <c r="T96" i="11"/>
  <c r="U96" i="11" s="1"/>
  <c r="T97" i="11"/>
  <c r="U97" i="11" s="1"/>
  <c r="T189" i="11"/>
  <c r="U189" i="11" s="1"/>
  <c r="T153" i="11"/>
  <c r="U153" i="11" s="1"/>
  <c r="T209" i="11"/>
  <c r="U209" i="11" s="1"/>
  <c r="T68" i="11"/>
  <c r="U68" i="11" s="1"/>
  <c r="T176" i="11"/>
  <c r="U176" i="11" s="1"/>
  <c r="T252" i="11"/>
  <c r="U252" i="11" s="1"/>
  <c r="T145" i="11"/>
  <c r="U145" i="11" s="1"/>
  <c r="T267" i="11"/>
  <c r="U267" i="11" s="1"/>
  <c r="T293" i="11"/>
  <c r="U293" i="11" s="1"/>
  <c r="T295" i="11"/>
  <c r="U295" i="11" s="1"/>
  <c r="T303" i="11"/>
  <c r="U303" i="11" s="1"/>
  <c r="T200" i="11"/>
  <c r="U200" i="11" s="1"/>
  <c r="T281" i="11"/>
  <c r="U281" i="11" s="1"/>
  <c r="T266" i="11"/>
  <c r="U266" i="11" s="1"/>
  <c r="T254" i="11"/>
  <c r="U254" i="11" s="1"/>
  <c r="T238" i="11"/>
  <c r="U238" i="11" s="1"/>
  <c r="T222" i="11"/>
  <c r="U222" i="11" s="1"/>
  <c r="T216" i="11"/>
  <c r="U216" i="11" s="1"/>
  <c r="T183" i="11"/>
  <c r="U183" i="11" s="1"/>
  <c r="T212" i="11"/>
  <c r="U212" i="11" s="1"/>
  <c r="T180" i="11"/>
  <c r="U180" i="11" s="1"/>
  <c r="T147" i="11"/>
  <c r="U147" i="11" s="1"/>
  <c r="T7" i="11"/>
  <c r="U7" i="11" s="1"/>
  <c r="T159" i="11"/>
  <c r="U159" i="11" s="1"/>
  <c r="T101" i="11"/>
  <c r="U101" i="11" s="1"/>
  <c r="T26" i="11"/>
  <c r="U26" i="11" s="1"/>
  <c r="T219" i="11"/>
  <c r="U219" i="11" s="1"/>
  <c r="T155" i="11"/>
  <c r="U155" i="11" s="1"/>
  <c r="T11" i="11"/>
  <c r="U11" i="11" s="1"/>
  <c r="T16" i="11"/>
  <c r="U16" i="11" s="1"/>
  <c r="T27" i="11"/>
  <c r="U27" i="11" s="1"/>
  <c r="T91" i="11"/>
  <c r="U91" i="11" s="1"/>
  <c r="T36" i="11"/>
  <c r="U36" i="11" s="1"/>
  <c r="T173" i="11"/>
  <c r="U173" i="11" s="1"/>
  <c r="T129" i="11"/>
  <c r="U129" i="11" s="1"/>
  <c r="T177" i="11"/>
  <c r="U177" i="11" s="1"/>
  <c r="T52" i="11"/>
  <c r="U52" i="11" s="1"/>
  <c r="T170" i="11"/>
  <c r="U170" i="11" s="1"/>
  <c r="T244" i="11"/>
  <c r="U244" i="11" s="1"/>
  <c r="T257" i="11"/>
  <c r="U257" i="11" s="1"/>
  <c r="T278" i="11"/>
  <c r="U278" i="11" s="1"/>
  <c r="T282" i="11"/>
  <c r="U282" i="11" s="1"/>
  <c r="T275" i="11"/>
  <c r="U275" i="11" s="1"/>
  <c r="T89" i="11"/>
  <c r="U89" i="11" s="1"/>
  <c r="T166" i="11"/>
  <c r="U166" i="11" s="1"/>
  <c r="T221" i="11"/>
  <c r="U221" i="11" s="1"/>
  <c r="T186" i="11"/>
  <c r="U186" i="11" s="1"/>
  <c r="T161" i="11"/>
  <c r="U161" i="11" s="1"/>
  <c r="T296" i="11"/>
  <c r="U296" i="11" s="1"/>
  <c r="T21" i="11"/>
  <c r="U21" i="11" s="1"/>
  <c r="T53" i="11"/>
  <c r="U53" i="11" s="1"/>
  <c r="T85" i="11"/>
  <c r="U85" i="11" s="1"/>
  <c r="T24" i="11"/>
  <c r="U24" i="11" s="1"/>
  <c r="T150" i="11"/>
  <c r="U150" i="11" s="1"/>
  <c r="T108" i="11"/>
  <c r="U108" i="11" s="1"/>
  <c r="T141" i="11"/>
  <c r="U141" i="11" s="1"/>
  <c r="T261" i="11"/>
  <c r="U261" i="11" s="1"/>
  <c r="T154" i="11"/>
  <c r="U154" i="11" s="1"/>
  <c r="T232" i="11"/>
  <c r="U232" i="11" s="1"/>
  <c r="T80" i="11"/>
  <c r="U80" i="11" s="1"/>
  <c r="T245" i="11"/>
  <c r="U245" i="11" s="1"/>
  <c r="T140" i="11"/>
  <c r="U140" i="11" s="1"/>
  <c r="T304" i="11"/>
  <c r="U304" i="11" s="1"/>
  <c r="T305" i="11"/>
  <c r="U305" i="11" s="1"/>
  <c r="T65" i="11"/>
  <c r="U65" i="11" s="1"/>
  <c r="T118" i="11"/>
  <c r="U118" i="11" s="1"/>
  <c r="T165" i="11"/>
  <c r="U165" i="11" s="1"/>
  <c r="T160" i="11"/>
  <c r="U160" i="11" s="1"/>
  <c r="T105" i="11"/>
  <c r="U105" i="11" s="1"/>
  <c r="T74" i="11"/>
  <c r="U74" i="11" s="1"/>
  <c r="T297" i="11"/>
  <c r="U297" i="11" s="1"/>
  <c r="T39" i="11"/>
  <c r="U39" i="11" s="1"/>
  <c r="T71" i="11"/>
  <c r="U71" i="11" s="1"/>
  <c r="T158" i="11"/>
  <c r="U158" i="11" s="1"/>
  <c r="T162" i="11"/>
  <c r="U162" i="11" s="1"/>
  <c r="T46" i="11"/>
  <c r="U46" i="11" s="1"/>
  <c r="T217" i="11"/>
  <c r="U217" i="11" s="1"/>
  <c r="T235" i="11"/>
  <c r="U235" i="11" s="1"/>
  <c r="T98" i="11"/>
  <c r="U98" i="11" s="1"/>
  <c r="T202" i="11"/>
  <c r="U202" i="11" s="1"/>
  <c r="T268" i="11"/>
  <c r="U268" i="11" s="1"/>
  <c r="T213" i="11"/>
  <c r="U213" i="11" s="1"/>
  <c r="T66" i="11"/>
  <c r="U66" i="11" s="1"/>
  <c r="T309" i="11"/>
  <c r="U309" i="11" s="1"/>
  <c r="T270" i="11"/>
  <c r="U270" i="11" s="1"/>
  <c r="T119" i="11"/>
  <c r="U119" i="11" s="1"/>
  <c r="T168" i="11"/>
  <c r="U168" i="11" s="1"/>
  <c r="T277" i="11"/>
  <c r="U277" i="11" s="1"/>
  <c r="T265" i="11"/>
  <c r="U265" i="11" s="1"/>
  <c r="T250" i="11"/>
  <c r="U250" i="11" s="1"/>
  <c r="T234" i="11"/>
  <c r="U234" i="11" s="1"/>
  <c r="T135" i="11"/>
  <c r="U135" i="11" s="1"/>
  <c r="T184" i="11"/>
  <c r="U184" i="11" s="1"/>
  <c r="T167" i="11"/>
  <c r="U167" i="11" s="1"/>
  <c r="T211" i="11"/>
  <c r="U211" i="11" s="1"/>
  <c r="T179" i="11"/>
  <c r="U179" i="11" s="1"/>
  <c r="T131" i="11"/>
  <c r="U131" i="11" s="1"/>
  <c r="T207" i="11"/>
  <c r="U207" i="11" s="1"/>
  <c r="T143" i="11"/>
  <c r="U143" i="11" s="1"/>
  <c r="T38" i="11"/>
  <c r="U38" i="11" s="1"/>
  <c r="T22" i="11"/>
  <c r="U22" i="11" s="1"/>
  <c r="T203" i="11"/>
  <c r="U203" i="11" s="1"/>
  <c r="T139" i="11"/>
  <c r="U139" i="11" s="1"/>
  <c r="T15" i="11"/>
  <c r="U15" i="11" s="1"/>
  <c r="H225" i="25"/>
  <c r="S314" i="11"/>
  <c r="T6" i="11"/>
  <c r="M314" i="11"/>
  <c r="F194" i="12" l="1"/>
  <c r="H205" i="25"/>
  <c r="H94" i="25"/>
  <c r="F122" i="12"/>
  <c r="H291" i="25"/>
  <c r="H134" i="25"/>
  <c r="F143" i="39"/>
  <c r="F143" i="12"/>
  <c r="F211" i="39"/>
  <c r="F211" i="12"/>
  <c r="F234" i="39"/>
  <c r="F234" i="12"/>
  <c r="F168" i="39"/>
  <c r="F168" i="12"/>
  <c r="F66" i="39"/>
  <c r="F66" i="12"/>
  <c r="F98" i="39"/>
  <c r="F98" i="12"/>
  <c r="F162" i="39"/>
  <c r="F162" i="12"/>
  <c r="F297" i="39"/>
  <c r="F297" i="12"/>
  <c r="F165" i="39"/>
  <c r="F165" i="12"/>
  <c r="F304" i="39"/>
  <c r="F304" i="12"/>
  <c r="F232" i="39"/>
  <c r="F232" i="12"/>
  <c r="F108" i="39"/>
  <c r="F108" i="12"/>
  <c r="F53" i="39"/>
  <c r="F53" i="12"/>
  <c r="F186" i="39"/>
  <c r="F186" i="12"/>
  <c r="F275" i="39"/>
  <c r="F275" i="12"/>
  <c r="F244" i="39"/>
  <c r="F244" i="12"/>
  <c r="F129" i="39"/>
  <c r="F129" i="12"/>
  <c r="F27" i="39"/>
  <c r="F27" i="12"/>
  <c r="F219" i="39"/>
  <c r="F219" i="12"/>
  <c r="F7" i="39"/>
  <c r="F7" i="12"/>
  <c r="F183" i="39"/>
  <c r="F183" i="12"/>
  <c r="F254" i="39"/>
  <c r="F254" i="12"/>
  <c r="F303" i="39"/>
  <c r="F303" i="12"/>
  <c r="F145" i="39"/>
  <c r="F145" i="12"/>
  <c r="F209" i="39"/>
  <c r="F209" i="12"/>
  <c r="F96" i="39"/>
  <c r="F96" i="12"/>
  <c r="F42" i="39"/>
  <c r="F42" i="12"/>
  <c r="F114" i="39"/>
  <c r="F114" i="12"/>
  <c r="F90" i="39"/>
  <c r="F90" i="12"/>
  <c r="F113" i="39"/>
  <c r="F113" i="12"/>
  <c r="F210" i="39"/>
  <c r="F210" i="12"/>
  <c r="F13" i="39"/>
  <c r="F13" i="12"/>
  <c r="F48" i="39"/>
  <c r="F48" i="12"/>
  <c r="F299" i="39"/>
  <c r="F299" i="12"/>
  <c r="F228" i="39"/>
  <c r="F228" i="12"/>
  <c r="F106" i="39"/>
  <c r="F106" i="12"/>
  <c r="F51" i="39"/>
  <c r="F51" i="12"/>
  <c r="F171" i="39"/>
  <c r="F171" i="12"/>
  <c r="F175" i="39"/>
  <c r="F175" i="12"/>
  <c r="F136" i="39"/>
  <c r="F136" i="12"/>
  <c r="F242" i="39"/>
  <c r="F242" i="12"/>
  <c r="F94" i="39"/>
  <c r="F94" i="12"/>
  <c r="F249" i="39"/>
  <c r="F249" i="12"/>
  <c r="F9" i="39"/>
  <c r="F9" i="12"/>
  <c r="F28" i="39"/>
  <c r="F28" i="12"/>
  <c r="F274" i="39"/>
  <c r="F274" i="12"/>
  <c r="F86" i="39"/>
  <c r="F86" i="12"/>
  <c r="F306" i="39"/>
  <c r="F306" i="12"/>
  <c r="F192" i="39"/>
  <c r="F192" i="12"/>
  <c r="F214" i="39"/>
  <c r="F214" i="12"/>
  <c r="F37" i="39"/>
  <c r="F37" i="12"/>
  <c r="F76" i="39"/>
  <c r="F76" i="12"/>
  <c r="F283" i="39"/>
  <c r="F283" i="12"/>
  <c r="F208" i="39"/>
  <c r="F208" i="12"/>
  <c r="F62" i="39"/>
  <c r="F62" i="12"/>
  <c r="F313" i="39"/>
  <c r="F313" i="12"/>
  <c r="F18" i="39"/>
  <c r="F18" i="12"/>
  <c r="F115" i="39"/>
  <c r="F115" i="12"/>
  <c r="F215" i="39"/>
  <c r="F215" i="12"/>
  <c r="F262" i="39"/>
  <c r="F262" i="12"/>
  <c r="F294" i="39"/>
  <c r="F294" i="12"/>
  <c r="F284" i="39"/>
  <c r="F284" i="12"/>
  <c r="F99" i="39"/>
  <c r="F99" i="12"/>
  <c r="F79" i="39"/>
  <c r="F79" i="12"/>
  <c r="F223" i="39"/>
  <c r="F223" i="12"/>
  <c r="F81" i="39"/>
  <c r="F81" i="12"/>
  <c r="F263" i="39"/>
  <c r="F263" i="12"/>
  <c r="F60" i="39"/>
  <c r="F60" i="12"/>
  <c r="F40" i="39"/>
  <c r="F40" i="12"/>
  <c r="F300" i="39"/>
  <c r="F300" i="12"/>
  <c r="F54" i="39"/>
  <c r="F54" i="12"/>
  <c r="F301" i="39"/>
  <c r="F301" i="12"/>
  <c r="F188" i="39"/>
  <c r="F188" i="12"/>
  <c r="F205" i="39"/>
  <c r="F205" i="12"/>
  <c r="F35" i="39"/>
  <c r="F35" i="12"/>
  <c r="F59" i="39"/>
  <c r="F59" i="12"/>
  <c r="F139" i="39"/>
  <c r="F139" i="12"/>
  <c r="F207" i="39"/>
  <c r="F207" i="12"/>
  <c r="F119" i="39"/>
  <c r="F119" i="12"/>
  <c r="F235" i="39"/>
  <c r="F235" i="12"/>
  <c r="F74" i="39"/>
  <c r="F74" i="12"/>
  <c r="F140" i="39"/>
  <c r="F140" i="12"/>
  <c r="F154" i="39"/>
  <c r="F154" i="12"/>
  <c r="F150" i="39"/>
  <c r="F150" i="12"/>
  <c r="F21" i="39"/>
  <c r="F21" i="12"/>
  <c r="F221" i="39"/>
  <c r="F221" i="12"/>
  <c r="F282" i="39"/>
  <c r="F282" i="12"/>
  <c r="F170" i="39"/>
  <c r="F170" i="12"/>
  <c r="F173" i="39"/>
  <c r="F173" i="12"/>
  <c r="F16" i="39"/>
  <c r="F16" i="12"/>
  <c r="F26" i="39"/>
  <c r="F26" i="12"/>
  <c r="F147" i="39"/>
  <c r="F147" i="12"/>
  <c r="F216" i="39"/>
  <c r="F216" i="12"/>
  <c r="F266" i="39"/>
  <c r="F266" i="12"/>
  <c r="F295" i="39"/>
  <c r="F295" i="12"/>
  <c r="F252" i="39"/>
  <c r="F252" i="12"/>
  <c r="F153" i="39"/>
  <c r="F153" i="12"/>
  <c r="F63" i="39"/>
  <c r="F63" i="12"/>
  <c r="F272" i="39"/>
  <c r="F272" i="12"/>
  <c r="F49" i="39"/>
  <c r="F49" i="12"/>
  <c r="F229" i="39"/>
  <c r="F229" i="12"/>
  <c r="F247" i="39"/>
  <c r="F247" i="12"/>
  <c r="F206" i="39"/>
  <c r="F206" i="12"/>
  <c r="F298" i="39"/>
  <c r="F298" i="12"/>
  <c r="F178" i="39"/>
  <c r="F178" i="12"/>
  <c r="F138" i="39"/>
  <c r="F138" i="12"/>
  <c r="F144" i="39"/>
  <c r="F144" i="12"/>
  <c r="F134" i="39"/>
  <c r="F134" i="12"/>
  <c r="F19" i="39"/>
  <c r="F19" i="12"/>
  <c r="F12" i="39"/>
  <c r="F12" i="12"/>
  <c r="F8" i="39"/>
  <c r="F8" i="12"/>
  <c r="F199" i="39"/>
  <c r="F199" i="12"/>
  <c r="F258" i="39"/>
  <c r="F258" i="12"/>
  <c r="F310" i="39"/>
  <c r="F310" i="12"/>
  <c r="F103" i="39"/>
  <c r="F103" i="12"/>
  <c r="F149" i="39"/>
  <c r="F149" i="12"/>
  <c r="F87" i="39"/>
  <c r="F87" i="12"/>
  <c r="F253" i="39"/>
  <c r="F253" i="12"/>
  <c r="F110" i="39"/>
  <c r="F110" i="12"/>
  <c r="F58" i="39"/>
  <c r="F58" i="12"/>
  <c r="F92" i="39"/>
  <c r="F92" i="12"/>
  <c r="F146" i="39"/>
  <c r="F146" i="12"/>
  <c r="F279" i="12"/>
  <c r="F279" i="39"/>
  <c r="F125" i="39"/>
  <c r="F125" i="12"/>
  <c r="F82" i="39"/>
  <c r="F82" i="12"/>
  <c r="F109" i="39"/>
  <c r="F109" i="12"/>
  <c r="F190" i="39"/>
  <c r="F190" i="12"/>
  <c r="F17" i="39"/>
  <c r="F17" i="12"/>
  <c r="F34" i="39"/>
  <c r="F34" i="12"/>
  <c r="F164" i="39"/>
  <c r="F164" i="12"/>
  <c r="F120" i="39"/>
  <c r="F120" i="12"/>
  <c r="F273" i="39"/>
  <c r="F273" i="12"/>
  <c r="F291" i="39"/>
  <c r="F291" i="12"/>
  <c r="F220" i="39"/>
  <c r="F220" i="12"/>
  <c r="F78" i="39"/>
  <c r="F78" i="12"/>
  <c r="F47" i="39"/>
  <c r="F47" i="12"/>
  <c r="F204" i="39"/>
  <c r="F204" i="12"/>
  <c r="F287" i="39"/>
  <c r="F287" i="12"/>
  <c r="F132" i="39"/>
  <c r="F132" i="12"/>
  <c r="F197" i="39"/>
  <c r="F197" i="12"/>
  <c r="F93" i="39"/>
  <c r="F93" i="12"/>
  <c r="F237" i="39"/>
  <c r="F237" i="12"/>
  <c r="F174" i="39"/>
  <c r="F174" i="12"/>
  <c r="F50" i="39"/>
  <c r="F50" i="12"/>
  <c r="F84" i="39"/>
  <c r="F84" i="12"/>
  <c r="F130" i="39"/>
  <c r="F130" i="12"/>
  <c r="F112" i="39"/>
  <c r="F112" i="12"/>
  <c r="F32" i="39"/>
  <c r="F32" i="12"/>
  <c r="F203" i="39"/>
  <c r="F203" i="12"/>
  <c r="F167" i="39"/>
  <c r="F167" i="12"/>
  <c r="F250" i="39"/>
  <c r="F250" i="12"/>
  <c r="F213" i="39"/>
  <c r="F213" i="12"/>
  <c r="F158" i="39"/>
  <c r="F158" i="12"/>
  <c r="F118" i="39"/>
  <c r="F118" i="12"/>
  <c r="F22" i="39"/>
  <c r="F22" i="12"/>
  <c r="F131" i="39"/>
  <c r="F131" i="12"/>
  <c r="F184" i="39"/>
  <c r="F184" i="12"/>
  <c r="F265" i="39"/>
  <c r="F265" i="12"/>
  <c r="F270" i="39"/>
  <c r="F270" i="12"/>
  <c r="F268" i="39"/>
  <c r="F268" i="12"/>
  <c r="F217" i="39"/>
  <c r="F217" i="12"/>
  <c r="F71" i="39"/>
  <c r="F71" i="12"/>
  <c r="F105" i="39"/>
  <c r="F105" i="12"/>
  <c r="F65" i="39"/>
  <c r="F65" i="12"/>
  <c r="F245" i="39"/>
  <c r="F245" i="12"/>
  <c r="F261" i="39"/>
  <c r="F261" i="12"/>
  <c r="F24" i="39"/>
  <c r="F24" i="12"/>
  <c r="F296" i="39"/>
  <c r="F296" i="12"/>
  <c r="F166" i="39"/>
  <c r="F166" i="12"/>
  <c r="F278" i="39"/>
  <c r="F278" i="12"/>
  <c r="F52" i="39"/>
  <c r="F52" i="12"/>
  <c r="F36" i="39"/>
  <c r="F36" i="12"/>
  <c r="F11" i="39"/>
  <c r="F11" i="12"/>
  <c r="F101" i="39"/>
  <c r="F101" i="12"/>
  <c r="F180" i="39"/>
  <c r="F180" i="12"/>
  <c r="F222" i="39"/>
  <c r="F222" i="12"/>
  <c r="F281" i="39"/>
  <c r="F281" i="12"/>
  <c r="F293" i="39"/>
  <c r="F293" i="12"/>
  <c r="F176" i="39"/>
  <c r="F176" i="12"/>
  <c r="F189" i="39"/>
  <c r="F189" i="12"/>
  <c r="F31" i="39"/>
  <c r="F31" i="12"/>
  <c r="F102" i="39"/>
  <c r="F102" i="12"/>
  <c r="F289" i="39"/>
  <c r="F289" i="12"/>
  <c r="F280" i="39"/>
  <c r="F280" i="12"/>
  <c r="F88" i="39"/>
  <c r="F88" i="12"/>
  <c r="F77" i="39"/>
  <c r="F77" i="12"/>
  <c r="F56" i="39"/>
  <c r="F56" i="12"/>
  <c r="F73" i="39"/>
  <c r="F73" i="12"/>
  <c r="F241" i="39"/>
  <c r="F241" i="12"/>
  <c r="F259" i="39"/>
  <c r="F259" i="12"/>
  <c r="F20" i="39"/>
  <c r="F20" i="12"/>
  <c r="F57" i="39"/>
  <c r="F57" i="12"/>
  <c r="F30" i="39"/>
  <c r="F30" i="12"/>
  <c r="F163" i="39"/>
  <c r="F163" i="12"/>
  <c r="F95" i="39"/>
  <c r="F95" i="12"/>
  <c r="F269" i="39"/>
  <c r="F269" i="12"/>
  <c r="F307" i="39"/>
  <c r="F307" i="12"/>
  <c r="F236" i="39"/>
  <c r="F236" i="12"/>
  <c r="F116" i="39"/>
  <c r="F116" i="12"/>
  <c r="F55" i="39"/>
  <c r="F55" i="12"/>
  <c r="F240" i="39"/>
  <c r="F240" i="12"/>
  <c r="F33" i="39"/>
  <c r="F33" i="12"/>
  <c r="F193" i="12"/>
  <c r="F193" i="39"/>
  <c r="F231" i="39"/>
  <c r="F231" i="12"/>
  <c r="F142" i="39"/>
  <c r="F142" i="12"/>
  <c r="F128" i="39"/>
  <c r="F128" i="12"/>
  <c r="F41" i="39"/>
  <c r="F41" i="12"/>
  <c r="F225" i="39"/>
  <c r="F225" i="12"/>
  <c r="F243" i="39"/>
  <c r="F243" i="12"/>
  <c r="F75" i="39"/>
  <c r="F75" i="12"/>
  <c r="F123" i="39"/>
  <c r="F123" i="12"/>
  <c r="F127" i="39"/>
  <c r="F127" i="12"/>
  <c r="F196" i="39"/>
  <c r="F196" i="12"/>
  <c r="F230" i="39"/>
  <c r="F230" i="12"/>
  <c r="F152" i="39"/>
  <c r="F152" i="12"/>
  <c r="F121" i="39"/>
  <c r="F121" i="12"/>
  <c r="F117" i="39"/>
  <c r="F117" i="12"/>
  <c r="F100" i="39"/>
  <c r="F100" i="12"/>
  <c r="F10" i="39"/>
  <c r="F10" i="12"/>
  <c r="F239" i="39"/>
  <c r="F239" i="12"/>
  <c r="F292" i="39"/>
  <c r="F292" i="12"/>
  <c r="F248" i="39"/>
  <c r="F248" i="12"/>
  <c r="F133" i="39"/>
  <c r="F133" i="12"/>
  <c r="F61" i="39"/>
  <c r="F61" i="12"/>
  <c r="F224" i="39"/>
  <c r="F224" i="12"/>
  <c r="F25" i="39"/>
  <c r="F25" i="12"/>
  <c r="F181" i="39"/>
  <c r="F181" i="12"/>
  <c r="F227" i="39"/>
  <c r="F227" i="12"/>
  <c r="F126" i="39"/>
  <c r="F126" i="12"/>
  <c r="F15" i="39"/>
  <c r="F15" i="12"/>
  <c r="F38" i="39"/>
  <c r="F38" i="12"/>
  <c r="F179" i="39"/>
  <c r="F179" i="12"/>
  <c r="F135" i="39"/>
  <c r="F135" i="12"/>
  <c r="F277" i="39"/>
  <c r="F277" i="12"/>
  <c r="F309" i="12"/>
  <c r="F309" i="39"/>
  <c r="F202" i="39"/>
  <c r="F202" i="12"/>
  <c r="F46" i="39"/>
  <c r="F46" i="12"/>
  <c r="F39" i="39"/>
  <c r="F39" i="12"/>
  <c r="F160" i="39"/>
  <c r="F160" i="12"/>
  <c r="F305" i="39"/>
  <c r="F305" i="12"/>
  <c r="F80" i="39"/>
  <c r="F80" i="12"/>
  <c r="F141" i="39"/>
  <c r="F141" i="12"/>
  <c r="F85" i="39"/>
  <c r="F85" i="12"/>
  <c r="F161" i="12"/>
  <c r="F161" i="39"/>
  <c r="F89" i="39"/>
  <c r="F89" i="12"/>
  <c r="F257" i="39"/>
  <c r="F257" i="12"/>
  <c r="F177" i="39"/>
  <c r="F177" i="12"/>
  <c r="F91" i="39"/>
  <c r="F91" i="12"/>
  <c r="F155" i="39"/>
  <c r="F155" i="12"/>
  <c r="F159" i="39"/>
  <c r="F159" i="12"/>
  <c r="F212" i="39"/>
  <c r="F212" i="12"/>
  <c r="F238" i="39"/>
  <c r="F238" i="12"/>
  <c r="F200" i="39"/>
  <c r="F200" i="12"/>
  <c r="F267" i="39"/>
  <c r="F267" i="12"/>
  <c r="F68" i="39"/>
  <c r="F68" i="12"/>
  <c r="F97" i="39"/>
  <c r="F97" i="12"/>
  <c r="F312" i="12"/>
  <c r="F312" i="39"/>
  <c r="F169" i="39"/>
  <c r="F169" i="12"/>
  <c r="F288" i="39"/>
  <c r="F288" i="12"/>
  <c r="F218" i="39"/>
  <c r="F218" i="12"/>
  <c r="F70" i="39"/>
  <c r="F70" i="12"/>
  <c r="F45" i="39"/>
  <c r="F45" i="12"/>
  <c r="F137" i="39"/>
  <c r="F137" i="12"/>
  <c r="F302" i="39"/>
  <c r="F302" i="12"/>
  <c r="F64" i="39"/>
  <c r="F64" i="12"/>
  <c r="F124" i="39"/>
  <c r="F124" i="12"/>
  <c r="F83" i="39"/>
  <c r="F83" i="12"/>
  <c r="F107" i="39"/>
  <c r="F107" i="12"/>
  <c r="F111" i="39"/>
  <c r="F111" i="12"/>
  <c r="F195" i="39"/>
  <c r="F195" i="12"/>
  <c r="F226" i="12"/>
  <c r="F226" i="39"/>
  <c r="F285" i="39"/>
  <c r="F285" i="12"/>
  <c r="F148" i="39"/>
  <c r="F148" i="12"/>
  <c r="F156" i="39"/>
  <c r="F156" i="12"/>
  <c r="F157" i="39"/>
  <c r="F157" i="12"/>
  <c r="F23" i="39"/>
  <c r="F23" i="12"/>
  <c r="F44" i="39"/>
  <c r="F44" i="12"/>
  <c r="F311" i="39"/>
  <c r="F311" i="12"/>
  <c r="F264" i="39"/>
  <c r="F264" i="12"/>
  <c r="F201" i="39"/>
  <c r="F201" i="12"/>
  <c r="F69" i="39"/>
  <c r="F69" i="12"/>
  <c r="F256" i="39"/>
  <c r="F256" i="12"/>
  <c r="F286" i="39"/>
  <c r="F286" i="12"/>
  <c r="F276" i="39"/>
  <c r="F276" i="12"/>
  <c r="F72" i="39"/>
  <c r="F72" i="12"/>
  <c r="F43" i="39"/>
  <c r="F43" i="12"/>
  <c r="F187" i="39"/>
  <c r="F187" i="12"/>
  <c r="F191" i="39"/>
  <c r="F191" i="12"/>
  <c r="F151" i="39"/>
  <c r="F151" i="12"/>
  <c r="F246" i="39"/>
  <c r="F246" i="12"/>
  <c r="F104" i="39"/>
  <c r="F104" i="12"/>
  <c r="F233" i="39"/>
  <c r="F233" i="12"/>
  <c r="F251" i="39"/>
  <c r="F251" i="12"/>
  <c r="F14" i="39"/>
  <c r="F14" i="12"/>
  <c r="F271" i="39"/>
  <c r="F271" i="12"/>
  <c r="F198" i="39"/>
  <c r="F198" i="12"/>
  <c r="F290" i="12"/>
  <c r="F290" i="39"/>
  <c r="F172" i="12"/>
  <c r="F172" i="39"/>
  <c r="F182" i="39"/>
  <c r="F182" i="12"/>
  <c r="F29" i="39"/>
  <c r="F29" i="12"/>
  <c r="F255" i="39"/>
  <c r="F255" i="12"/>
  <c r="F308" i="39"/>
  <c r="F308" i="12"/>
  <c r="F260" i="39"/>
  <c r="F260" i="12"/>
  <c r="F185" i="39"/>
  <c r="F185" i="12"/>
  <c r="F67" i="39"/>
  <c r="F67" i="12"/>
  <c r="H268" i="25"/>
  <c r="H260" i="25"/>
  <c r="H248" i="25"/>
  <c r="H74" i="25"/>
  <c r="H56" i="25"/>
  <c r="H224" i="25"/>
  <c r="H240" i="25"/>
  <c r="H68" i="25"/>
  <c r="H14" i="25"/>
  <c r="H43" i="25"/>
  <c r="T314" i="11"/>
  <c r="U314" i="11" s="1"/>
  <c r="H222" i="25"/>
  <c r="H277" i="25"/>
  <c r="H245" i="25"/>
  <c r="H296" i="25"/>
  <c r="H230" i="25"/>
  <c r="H246" i="25"/>
  <c r="H145" i="25"/>
  <c r="H290" i="25"/>
  <c r="H66" i="25"/>
  <c r="H279" i="25"/>
  <c r="H207" i="25"/>
  <c r="H61" i="25"/>
  <c r="H76" i="25"/>
  <c r="H137" i="25"/>
  <c r="H286" i="25"/>
  <c r="H180" i="25"/>
  <c r="H312" i="25"/>
  <c r="H72" i="25"/>
  <c r="H48" i="25"/>
  <c r="H117" i="25"/>
  <c r="H234" i="25"/>
  <c r="H306" i="25"/>
  <c r="H160" i="25"/>
  <c r="H237" i="25"/>
  <c r="H228" i="25"/>
  <c r="H25" i="25"/>
  <c r="H173" i="25"/>
  <c r="H124" i="25"/>
  <c r="H164" i="25"/>
  <c r="H274" i="25"/>
  <c r="H254" i="25"/>
  <c r="H264" i="25"/>
  <c r="H33" i="25"/>
  <c r="H67" i="25"/>
  <c r="H179" i="25"/>
  <c r="H141" i="25"/>
  <c r="H232" i="25"/>
  <c r="H140" i="25"/>
  <c r="H223" i="25"/>
  <c r="H152" i="25"/>
  <c r="H157" i="25"/>
  <c r="H150" i="25"/>
  <c r="H196" i="25"/>
  <c r="H193" i="25"/>
  <c r="H112" i="25"/>
  <c r="H308" i="25"/>
  <c r="H10" i="25"/>
  <c r="H197" i="25"/>
  <c r="H278" i="25"/>
  <c r="H249" i="25"/>
  <c r="H91" i="25"/>
  <c r="H122" i="25"/>
  <c r="H168" i="25"/>
  <c r="H38" i="25"/>
  <c r="H276" i="25"/>
  <c r="H256" i="25"/>
  <c r="H242" i="25"/>
  <c r="H304" i="25"/>
  <c r="H195" i="25"/>
  <c r="H198" i="25"/>
  <c r="H221" i="25"/>
  <c r="H243" i="25"/>
  <c r="H227" i="25"/>
  <c r="H81" i="25"/>
  <c r="H106" i="25"/>
  <c r="H188" i="25"/>
  <c r="H265" i="25"/>
  <c r="H259" i="25"/>
  <c r="H155" i="25"/>
  <c r="H253" i="25"/>
  <c r="H17" i="25"/>
  <c r="H218" i="25"/>
  <c r="H257" i="25"/>
  <c r="H95" i="25"/>
  <c r="H189" i="25"/>
  <c r="H182" i="25"/>
  <c r="H258" i="25"/>
  <c r="H60" i="25"/>
  <c r="H210" i="25"/>
  <c r="H128" i="25"/>
  <c r="F34" i="48"/>
  <c r="H101" i="25"/>
  <c r="H8" i="25"/>
  <c r="H31" i="25"/>
  <c r="H47" i="25"/>
  <c r="H65" i="25"/>
  <c r="H23" i="25"/>
  <c r="H287" i="25"/>
  <c r="H105" i="25"/>
  <c r="H238" i="25"/>
  <c r="H41" i="25"/>
  <c r="H177" i="25"/>
  <c r="H213" i="25"/>
  <c r="H121" i="25"/>
  <c r="H266" i="25"/>
  <c r="H15" i="25"/>
  <c r="H294" i="25"/>
  <c r="H165" i="25"/>
  <c r="H252" i="25"/>
  <c r="H311" i="25"/>
  <c r="H83" i="25"/>
  <c r="H309" i="25"/>
  <c r="H88" i="25"/>
  <c r="H206" i="25"/>
  <c r="H100" i="25"/>
  <c r="H305" i="25"/>
  <c r="H298" i="25"/>
  <c r="H139" i="25"/>
  <c r="H104" i="25"/>
  <c r="H263" i="25"/>
  <c r="H293" i="25"/>
  <c r="H241" i="25"/>
  <c r="H87" i="25"/>
  <c r="H111" i="25"/>
  <c r="H131" i="25"/>
  <c r="H190" i="25"/>
  <c r="H13" i="25"/>
  <c r="H29" i="25"/>
  <c r="H32" i="25"/>
  <c r="H119" i="25"/>
  <c r="H78" i="25"/>
  <c r="H174" i="25"/>
  <c r="H26" i="25"/>
  <c r="H45" i="25"/>
  <c r="H39" i="25"/>
  <c r="H301" i="25"/>
  <c r="H187" i="25"/>
  <c r="H235" i="25"/>
  <c r="H127" i="25"/>
  <c r="H135" i="25"/>
  <c r="H71" i="25"/>
  <c r="H49" i="25"/>
  <c r="H138" i="25"/>
  <c r="H98" i="25"/>
  <c r="H89" i="25"/>
  <c r="H53" i="25"/>
  <c r="H142" i="25"/>
  <c r="H20" i="25"/>
  <c r="H7" i="25"/>
  <c r="H167" i="25"/>
  <c r="H288" i="25"/>
  <c r="H169" i="25"/>
  <c r="H96" i="25"/>
  <c r="H40" i="25"/>
  <c r="H281" i="25"/>
  <c r="H136" i="25"/>
  <c r="H214" i="25"/>
  <c r="H170" i="25"/>
  <c r="H300" i="25"/>
  <c r="H114" i="25"/>
  <c r="H118" i="25"/>
  <c r="H37" i="25"/>
  <c r="H103" i="25"/>
  <c r="H18" i="25"/>
  <c r="H166" i="25"/>
  <c r="H54" i="25"/>
  <c r="H57" i="25"/>
  <c r="H194" i="25"/>
  <c r="H267" i="25"/>
  <c r="H282" i="25"/>
  <c r="H24" i="25"/>
  <c r="H113" i="25"/>
  <c r="H22" i="25"/>
  <c r="H162" i="25"/>
  <c r="H280" i="25"/>
  <c r="H80" i="25"/>
  <c r="H93" i="25"/>
  <c r="H86" i="25"/>
  <c r="H126" i="25"/>
  <c r="H297" i="25"/>
  <c r="H133" i="25"/>
  <c r="H220" i="25"/>
  <c r="H255" i="25"/>
  <c r="H183" i="25"/>
  <c r="H116" i="25"/>
  <c r="H149" i="25"/>
  <c r="H161" i="25"/>
  <c r="H58" i="25"/>
  <c r="H285" i="25"/>
  <c r="H35" i="25"/>
  <c r="H211" i="25"/>
  <c r="H55" i="25"/>
  <c r="H200" i="25"/>
  <c r="H90" i="25"/>
  <c r="H295" i="25"/>
  <c r="H231" i="25"/>
  <c r="H283" i="25"/>
  <c r="H209" i="25"/>
  <c r="H63" i="25"/>
  <c r="H42" i="25"/>
  <c r="H186" i="25"/>
  <c r="H244" i="25"/>
  <c r="H239" i="25"/>
  <c r="H233" i="25"/>
  <c r="H120" i="25"/>
  <c r="H202" i="25"/>
  <c r="H107" i="25"/>
  <c r="H201" i="25"/>
  <c r="H147" i="25"/>
  <c r="H203" i="25"/>
  <c r="H154" i="25"/>
  <c r="H50" i="25"/>
  <c r="H299" i="25"/>
  <c r="H11" i="25"/>
  <c r="H219" i="25"/>
  <c r="H64" i="25"/>
  <c r="H102" i="25"/>
  <c r="H302" i="25"/>
  <c r="H310" i="25"/>
  <c r="H303" i="25"/>
  <c r="H34" i="25"/>
  <c r="H226" i="25"/>
  <c r="H30" i="25"/>
  <c r="H171" i="25"/>
  <c r="H156" i="25"/>
  <c r="H132" i="25"/>
  <c r="U6" i="11"/>
  <c r="H6" i="25"/>
  <c r="H36" i="25"/>
  <c r="H159" i="25"/>
  <c r="H109" i="25"/>
  <c r="H212" i="25"/>
  <c r="H9" i="25"/>
  <c r="H123" i="25"/>
  <c r="H172" i="25"/>
  <c r="H62" i="25"/>
  <c r="H158" i="25"/>
  <c r="H69" i="25"/>
  <c r="H250" i="25"/>
  <c r="H247" i="25"/>
  <c r="H292" i="25"/>
  <c r="H146" i="25"/>
  <c r="H85" i="25"/>
  <c r="H97" i="25"/>
  <c r="H12" i="25"/>
  <c r="H176" i="25"/>
  <c r="H273" i="25"/>
  <c r="H77" i="25"/>
  <c r="H70" i="25"/>
  <c r="H46" i="25"/>
  <c r="H153" i="25"/>
  <c r="H79" i="25"/>
  <c r="H204" i="25"/>
  <c r="H289" i="25"/>
  <c r="H216" i="25"/>
  <c r="H271" i="25"/>
  <c r="H27" i="25"/>
  <c r="H75" i="25"/>
  <c r="H307" i="25"/>
  <c r="H130" i="25"/>
  <c r="H262" i="25"/>
  <c r="H217" i="25"/>
  <c r="H125" i="25"/>
  <c r="H184" i="25"/>
  <c r="H251" i="25"/>
  <c r="H272" i="25"/>
  <c r="H110" i="25"/>
  <c r="H19" i="25"/>
  <c r="H215" i="25"/>
  <c r="H129" i="25"/>
  <c r="H44" i="25"/>
  <c r="H84" i="25"/>
  <c r="H82" i="25"/>
  <c r="H99" i="25"/>
  <c r="H192" i="25"/>
  <c r="H144" i="25"/>
  <c r="H261" i="25"/>
  <c r="H143" i="25"/>
  <c r="H51" i="25"/>
  <c r="H236" i="25"/>
  <c r="H21" i="25"/>
  <c r="H28" i="25"/>
  <c r="H16" i="25"/>
  <c r="H151" i="25"/>
  <c r="H92" i="25"/>
  <c r="H275" i="25"/>
  <c r="H178" i="25"/>
  <c r="H175" i="25"/>
  <c r="H59" i="25"/>
  <c r="H108" i="25"/>
  <c r="H148" i="25"/>
  <c r="H52" i="25"/>
  <c r="H163" i="25"/>
  <c r="H191" i="25"/>
  <c r="H199" i="25"/>
  <c r="H313" i="25"/>
  <c r="H284" i="25"/>
  <c r="H115" i="25"/>
  <c r="H181" i="25"/>
  <c r="H208" i="25"/>
  <c r="H73" i="25"/>
  <c r="H270" i="25"/>
  <c r="H185" i="25"/>
  <c r="H229" i="25"/>
  <c r="H269" i="25"/>
  <c r="C8" i="34" l="1"/>
  <c r="C10" i="34" s="1"/>
  <c r="H314" i="25"/>
  <c r="F314" i="39"/>
  <c r="F314" i="12"/>
  <c r="F6" i="12"/>
  <c r="F6" i="39"/>
  <c r="D8" i="34" l="1"/>
  <c r="D10" i="34" s="1"/>
  <c r="E15" i="34" s="1"/>
  <c r="E19" i="34" s="1"/>
  <c r="I19" i="34" s="1"/>
  <c r="E59" i="34"/>
  <c r="I59" i="34" s="1"/>
  <c r="E75" i="34"/>
  <c r="I75" i="34" s="1"/>
  <c r="E84" i="34"/>
  <c r="I84" i="34" s="1"/>
  <c r="E91" i="34"/>
  <c r="I91" i="34" s="1"/>
  <c r="E107" i="34"/>
  <c r="I107" i="34" s="1"/>
  <c r="E108" i="34"/>
  <c r="I108" i="34" s="1"/>
  <c r="E115" i="34"/>
  <c r="I115" i="34" s="1"/>
  <c r="E123" i="34"/>
  <c r="I123" i="34" s="1"/>
  <c r="E124" i="34"/>
  <c r="I124" i="34" s="1"/>
  <c r="E31" i="34"/>
  <c r="I31" i="34" s="1"/>
  <c r="E24" i="34"/>
  <c r="I24" i="34" s="1"/>
  <c r="E40" i="34"/>
  <c r="I40" i="34" s="1"/>
  <c r="E48" i="34"/>
  <c r="I48" i="34" s="1"/>
  <c r="E56" i="34"/>
  <c r="I56" i="34" s="1"/>
  <c r="E64" i="34"/>
  <c r="I64" i="34" s="1"/>
  <c r="E72" i="34"/>
  <c r="I72" i="34" s="1"/>
  <c r="E80" i="34"/>
  <c r="I80" i="34" s="1"/>
  <c r="E88" i="34"/>
  <c r="I88" i="34" s="1"/>
  <c r="E96" i="34"/>
  <c r="I96" i="34" s="1"/>
  <c r="E104" i="34"/>
  <c r="I104" i="34" s="1"/>
  <c r="E112" i="34"/>
  <c r="I112" i="34" s="1"/>
  <c r="E120" i="34"/>
  <c r="I120" i="34" s="1"/>
  <c r="E128" i="34"/>
  <c r="I128" i="34" s="1"/>
  <c r="E146" i="34"/>
  <c r="I146" i="34" s="1"/>
  <c r="E23" i="34"/>
  <c r="I23" i="34" s="1"/>
  <c r="E39" i="34"/>
  <c r="I39" i="34" s="1"/>
  <c r="E47" i="34"/>
  <c r="I47" i="34" s="1"/>
  <c r="E55" i="34"/>
  <c r="I55" i="34" s="1"/>
  <c r="E63" i="34"/>
  <c r="I63" i="34" s="1"/>
  <c r="E71" i="34"/>
  <c r="I71" i="34" s="1"/>
  <c r="E79" i="34"/>
  <c r="I79" i="34" s="1"/>
  <c r="E87" i="34"/>
  <c r="I87" i="34" s="1"/>
  <c r="E95" i="34"/>
  <c r="I95" i="34" s="1"/>
  <c r="E103" i="34"/>
  <c r="I103" i="34" s="1"/>
  <c r="E111" i="34"/>
  <c r="I111" i="34" s="1"/>
  <c r="E119" i="34"/>
  <c r="I119" i="34" s="1"/>
  <c r="E127" i="34"/>
  <c r="I127" i="34" s="1"/>
  <c r="E131" i="34"/>
  <c r="I131" i="34" s="1"/>
  <c r="E133" i="34"/>
  <c r="I133" i="34" s="1"/>
  <c r="E134" i="34"/>
  <c r="I134" i="34" s="1"/>
  <c r="E147" i="34"/>
  <c r="I147" i="34" s="1"/>
  <c r="E149" i="34"/>
  <c r="I149" i="34" s="1"/>
  <c r="E150" i="34"/>
  <c r="I150" i="34" s="1"/>
  <c r="E154" i="34"/>
  <c r="I154" i="34" s="1"/>
  <c r="E158" i="34"/>
  <c r="I158" i="34" s="1"/>
  <c r="E162" i="34"/>
  <c r="I162" i="34" s="1"/>
  <c r="E166" i="34"/>
  <c r="I166" i="34" s="1"/>
  <c r="E170" i="34"/>
  <c r="I170" i="34" s="1"/>
  <c r="E174" i="34"/>
  <c r="I174" i="34" s="1"/>
  <c r="E178" i="34"/>
  <c r="I178" i="34" s="1"/>
  <c r="E182" i="34"/>
  <c r="I182" i="34" s="1"/>
  <c r="E186" i="34"/>
  <c r="I186" i="34" s="1"/>
  <c r="E190" i="34"/>
  <c r="I190" i="34" s="1"/>
  <c r="E194" i="34"/>
  <c r="I194" i="34" s="1"/>
  <c r="E198" i="34"/>
  <c r="I198" i="34" s="1"/>
  <c r="E202" i="34"/>
  <c r="I202" i="34" s="1"/>
  <c r="E206" i="34"/>
  <c r="I206" i="34" s="1"/>
  <c r="E210" i="34"/>
  <c r="I210" i="34" s="1"/>
  <c r="E214" i="34"/>
  <c r="I214" i="34" s="1"/>
  <c r="E218" i="34"/>
  <c r="I218" i="34" s="1"/>
  <c r="E222" i="34"/>
  <c r="I222" i="34" s="1"/>
  <c r="E226" i="34"/>
  <c r="I226" i="34" s="1"/>
  <c r="E230" i="34"/>
  <c r="I230" i="34" s="1"/>
  <c r="E234" i="34"/>
  <c r="I234" i="34" s="1"/>
  <c r="E138" i="34"/>
  <c r="I138" i="34" s="1"/>
  <c r="E227" i="34"/>
  <c r="I227" i="34" s="1"/>
  <c r="E246" i="34"/>
  <c r="I246" i="34" s="1"/>
  <c r="E273" i="34"/>
  <c r="I273" i="34" s="1"/>
  <c r="E277" i="34"/>
  <c r="I277" i="34" s="1"/>
  <c r="E281" i="34"/>
  <c r="I281" i="34" s="1"/>
  <c r="E285" i="34"/>
  <c r="I285" i="34" s="1"/>
  <c r="E289" i="34"/>
  <c r="I289" i="34" s="1"/>
  <c r="E293" i="34"/>
  <c r="I293" i="34" s="1"/>
  <c r="E297" i="34"/>
  <c r="I297" i="34" s="1"/>
  <c r="E301" i="34"/>
  <c r="I301" i="34" s="1"/>
  <c r="E305" i="34"/>
  <c r="I305" i="34" s="1"/>
  <c r="E309" i="34"/>
  <c r="I309" i="34" s="1"/>
  <c r="E313" i="34"/>
  <c r="I313" i="34" s="1"/>
  <c r="E317" i="34"/>
  <c r="I317" i="34" s="1"/>
  <c r="E321" i="34"/>
  <c r="I321" i="34" s="1"/>
  <c r="E223" i="34"/>
  <c r="I223" i="34" s="1"/>
  <c r="E250" i="34"/>
  <c r="I250" i="34" s="1"/>
  <c r="E135" i="34"/>
  <c r="I135" i="34" s="1"/>
  <c r="E137" i="34"/>
  <c r="I137" i="34" s="1"/>
  <c r="E151" i="34"/>
  <c r="I151" i="34" s="1"/>
  <c r="E155" i="34"/>
  <c r="I155" i="34" s="1"/>
  <c r="E159" i="34"/>
  <c r="I159" i="34" s="1"/>
  <c r="E163" i="34"/>
  <c r="I163" i="34" s="1"/>
  <c r="E167" i="34"/>
  <c r="I167" i="34" s="1"/>
  <c r="E171" i="34"/>
  <c r="I171" i="34" s="1"/>
  <c r="E175" i="34"/>
  <c r="I175" i="34" s="1"/>
  <c r="E179" i="34"/>
  <c r="I179" i="34" s="1"/>
  <c r="E183" i="34"/>
  <c r="I183" i="34" s="1"/>
  <c r="E187" i="34"/>
  <c r="I187" i="34" s="1"/>
  <c r="E191" i="34"/>
  <c r="I191" i="34" s="1"/>
  <c r="E195" i="34"/>
  <c r="I195" i="34" s="1"/>
  <c r="E199" i="34"/>
  <c r="I199" i="34" s="1"/>
  <c r="E203" i="34"/>
  <c r="I203" i="34" s="1"/>
  <c r="E207" i="34"/>
  <c r="I207" i="34" s="1"/>
  <c r="E211" i="34"/>
  <c r="I211" i="34" s="1"/>
  <c r="E215" i="34"/>
  <c r="I215" i="34" s="1"/>
  <c r="E219" i="34"/>
  <c r="I219" i="34" s="1"/>
  <c r="E235" i="34"/>
  <c r="I235" i="34" s="1"/>
  <c r="E237" i="34"/>
  <c r="I237" i="34" s="1"/>
  <c r="E238" i="34"/>
  <c r="I238" i="34" s="1"/>
  <c r="E251" i="34"/>
  <c r="I251" i="34" s="1"/>
  <c r="E255" i="34"/>
  <c r="I255" i="34" s="1"/>
  <c r="E259" i="34"/>
  <c r="I259" i="34" s="1"/>
  <c r="E263" i="34"/>
  <c r="I263" i="34" s="1"/>
  <c r="E267" i="34"/>
  <c r="I267" i="34" s="1"/>
  <c r="E271" i="34"/>
  <c r="I271" i="34" s="1"/>
  <c r="E32" i="34"/>
  <c r="I32" i="34" s="1"/>
  <c r="E231" i="34"/>
  <c r="I231" i="34" s="1"/>
  <c r="E239" i="34"/>
  <c r="I239" i="34" s="1"/>
  <c r="E241" i="34"/>
  <c r="I241" i="34" s="1"/>
  <c r="E242" i="34"/>
  <c r="I242" i="34" s="1"/>
  <c r="E252" i="34"/>
  <c r="I252" i="34" s="1"/>
  <c r="E256" i="34"/>
  <c r="I256" i="34" s="1"/>
  <c r="E260" i="34"/>
  <c r="I260" i="34" s="1"/>
  <c r="E264" i="34"/>
  <c r="I264" i="34" s="1"/>
  <c r="E268" i="34"/>
  <c r="I268" i="34" s="1"/>
  <c r="E272" i="34"/>
  <c r="I272" i="34" s="1"/>
  <c r="E276" i="34"/>
  <c r="I276" i="34" s="1"/>
  <c r="E280" i="34"/>
  <c r="I280" i="34" s="1"/>
  <c r="E284" i="34"/>
  <c r="I284" i="34" s="1"/>
  <c r="E288" i="34"/>
  <c r="I288" i="34" s="1"/>
  <c r="E296" i="34"/>
  <c r="I296" i="34" s="1"/>
  <c r="E312" i="34"/>
  <c r="I312" i="34" s="1"/>
  <c r="E300" i="34"/>
  <c r="I300" i="34" s="1"/>
  <c r="E316" i="34"/>
  <c r="I316" i="34" s="1"/>
  <c r="E292" i="34"/>
  <c r="I292" i="34" s="1"/>
  <c r="E308" i="34"/>
  <c r="I308" i="34" s="1"/>
  <c r="E304" i="34"/>
  <c r="I304" i="34" s="1"/>
  <c r="E320" i="34"/>
  <c r="I320" i="34" s="1"/>
  <c r="E319" i="34"/>
  <c r="I319" i="34" s="1"/>
  <c r="E286" i="34"/>
  <c r="I286" i="34" s="1"/>
  <c r="E254" i="34"/>
  <c r="I254" i="34" s="1"/>
  <c r="E307" i="34"/>
  <c r="I307" i="34" s="1"/>
  <c r="E275" i="34"/>
  <c r="I275" i="34" s="1"/>
  <c r="E315" i="34"/>
  <c r="I315" i="34" s="1"/>
  <c r="E283" i="34"/>
  <c r="I283" i="34" s="1"/>
  <c r="E253" i="34"/>
  <c r="I253" i="34" s="1"/>
  <c r="E311" i="34"/>
  <c r="I311" i="34" s="1"/>
  <c r="E278" i="34"/>
  <c r="I278" i="34" s="1"/>
  <c r="E244" i="34"/>
  <c r="I244" i="34" s="1"/>
  <c r="E143" i="34"/>
  <c r="I143" i="34" s="1"/>
  <c r="E109" i="34"/>
  <c r="I109" i="34" s="1"/>
  <c r="E77" i="34"/>
  <c r="I77" i="34" s="1"/>
  <c r="E45" i="34"/>
  <c r="I45" i="34" s="1"/>
  <c r="E228" i="34"/>
  <c r="I228" i="34" s="1"/>
  <c r="E212" i="34"/>
  <c r="I212" i="34" s="1"/>
  <c r="E196" i="34"/>
  <c r="I196" i="34" s="1"/>
  <c r="E180" i="34"/>
  <c r="I180" i="34" s="1"/>
  <c r="E164" i="34"/>
  <c r="I164" i="34" s="1"/>
  <c r="E141" i="34"/>
  <c r="I141" i="34" s="1"/>
  <c r="E216" i="34"/>
  <c r="I216" i="34" s="1"/>
  <c r="E209" i="34"/>
  <c r="I209" i="34" s="1"/>
  <c r="E193" i="34"/>
  <c r="I193" i="34" s="1"/>
  <c r="E177" i="34"/>
  <c r="I177" i="34" s="1"/>
  <c r="E161" i="34"/>
  <c r="I161" i="34" s="1"/>
  <c r="E136" i="34"/>
  <c r="I136" i="34" s="1"/>
  <c r="E102" i="34"/>
  <c r="I102" i="34" s="1"/>
  <c r="E70" i="34"/>
  <c r="I70" i="34" s="1"/>
  <c r="E38" i="34"/>
  <c r="I38" i="34" s="1"/>
  <c r="E132" i="34"/>
  <c r="I132" i="34" s="1"/>
  <c r="E144" i="34"/>
  <c r="I144" i="34" s="1"/>
  <c r="E129" i="34"/>
  <c r="I129" i="34" s="1"/>
  <c r="E97" i="34"/>
  <c r="I97" i="34" s="1"/>
  <c r="E65" i="34"/>
  <c r="I65" i="34" s="1"/>
  <c r="E33" i="34"/>
  <c r="I33" i="34" s="1"/>
  <c r="E122" i="34"/>
  <c r="I122" i="34" s="1"/>
  <c r="E106" i="34"/>
  <c r="I106" i="34" s="1"/>
  <c r="E90" i="34"/>
  <c r="I90" i="34" s="1"/>
  <c r="E74" i="34"/>
  <c r="I74" i="34" s="1"/>
  <c r="E58" i="34"/>
  <c r="I58" i="34" s="1"/>
  <c r="E42" i="34"/>
  <c r="I42" i="34" s="1"/>
  <c r="E26" i="34"/>
  <c r="I26" i="34" s="1"/>
  <c r="E29" i="34"/>
  <c r="I29" i="34" s="1"/>
  <c r="E314" i="34"/>
  <c r="I314" i="34" s="1"/>
  <c r="E105" i="34"/>
  <c r="I105" i="34" s="1"/>
  <c r="E37" i="34"/>
  <c r="I37" i="34" s="1"/>
  <c r="E310" i="34"/>
  <c r="I310" i="34" s="1"/>
  <c r="E279" i="34"/>
  <c r="I279" i="34" s="1"/>
  <c r="E245" i="34"/>
  <c r="I245" i="34" s="1"/>
  <c r="E298" i="34"/>
  <c r="I298" i="34" s="1"/>
  <c r="E266" i="34"/>
  <c r="I266" i="34" s="1"/>
  <c r="E306" i="34"/>
  <c r="I306" i="34" s="1"/>
  <c r="E274" i="34"/>
  <c r="I274" i="34" s="1"/>
  <c r="E249" i="34"/>
  <c r="I249" i="34" s="1"/>
  <c r="E302" i="34"/>
  <c r="I302" i="34" s="1"/>
  <c r="E262" i="34"/>
  <c r="I262" i="34" s="1"/>
  <c r="E224" i="34"/>
  <c r="I224" i="34" s="1"/>
  <c r="E139" i="34"/>
  <c r="I139" i="34" s="1"/>
  <c r="E101" i="34"/>
  <c r="I101" i="34" s="1"/>
  <c r="E69" i="34"/>
  <c r="I69" i="34" s="1"/>
  <c r="E225" i="34"/>
  <c r="I225" i="34" s="1"/>
  <c r="E208" i="34"/>
  <c r="I208" i="34" s="1"/>
  <c r="E192" i="34"/>
  <c r="I192" i="34" s="1"/>
  <c r="E176" i="34"/>
  <c r="I176" i="34" s="1"/>
  <c r="E160" i="34"/>
  <c r="I160" i="34" s="1"/>
  <c r="E236" i="34"/>
  <c r="I236" i="34" s="1"/>
  <c r="E248" i="34"/>
  <c r="I248" i="34" s="1"/>
  <c r="E220" i="34"/>
  <c r="I220" i="34" s="1"/>
  <c r="E205" i="34"/>
  <c r="I205" i="34" s="1"/>
  <c r="E189" i="34"/>
  <c r="I189" i="34" s="1"/>
  <c r="E173" i="34"/>
  <c r="I173" i="34" s="1"/>
  <c r="E157" i="34"/>
  <c r="I157" i="34" s="1"/>
  <c r="E126" i="34"/>
  <c r="I126" i="34" s="1"/>
  <c r="E94" i="34"/>
  <c r="I94" i="34" s="1"/>
  <c r="E62" i="34"/>
  <c r="I62" i="34" s="1"/>
  <c r="E22" i="34"/>
  <c r="I22" i="34" s="1"/>
  <c r="E121" i="34"/>
  <c r="I121" i="34" s="1"/>
  <c r="E89" i="34"/>
  <c r="I89" i="34" s="1"/>
  <c r="E57" i="34"/>
  <c r="I57" i="34" s="1"/>
  <c r="E25" i="34"/>
  <c r="I25" i="34" s="1"/>
  <c r="E21" i="34"/>
  <c r="I21" i="34" s="1"/>
  <c r="E265" i="34"/>
  <c r="I265" i="34" s="1"/>
  <c r="E322" i="34"/>
  <c r="I322" i="34" s="1"/>
  <c r="E258" i="34"/>
  <c r="I258" i="34" s="1"/>
  <c r="E287" i="34"/>
  <c r="I287" i="34" s="1"/>
  <c r="E243" i="34"/>
  <c r="I243" i="34" s="1"/>
  <c r="E117" i="34"/>
  <c r="I117" i="34" s="1"/>
  <c r="E53" i="34"/>
  <c r="I53" i="34" s="1"/>
  <c r="E140" i="34"/>
  <c r="I140" i="34" s="1"/>
  <c r="E200" i="34"/>
  <c r="I200" i="34" s="1"/>
  <c r="E168" i="34"/>
  <c r="I168" i="34" s="1"/>
  <c r="E229" i="34"/>
  <c r="I229" i="34" s="1"/>
  <c r="E213" i="34"/>
  <c r="I213" i="34" s="1"/>
  <c r="E181" i="34"/>
  <c r="I181" i="34" s="1"/>
  <c r="E78" i="34"/>
  <c r="I78" i="34" s="1"/>
  <c r="E30" i="34"/>
  <c r="I30" i="34" s="1"/>
  <c r="E41" i="34"/>
  <c r="I41" i="34" s="1"/>
  <c r="E303" i="34"/>
  <c r="I303" i="34" s="1"/>
  <c r="E270" i="34"/>
  <c r="I270" i="34" s="1"/>
  <c r="E323" i="34"/>
  <c r="I323" i="34" s="1"/>
  <c r="E291" i="34"/>
  <c r="I291" i="34" s="1"/>
  <c r="E261" i="34"/>
  <c r="I261" i="34" s="1"/>
  <c r="E299" i="34"/>
  <c r="I299" i="34" s="1"/>
  <c r="E269" i="34"/>
  <c r="I269" i="34" s="1"/>
  <c r="E247" i="34"/>
  <c r="I247" i="34" s="1"/>
  <c r="E295" i="34"/>
  <c r="I295" i="34" s="1"/>
  <c r="E257" i="34"/>
  <c r="I257" i="34" s="1"/>
  <c r="E221" i="34"/>
  <c r="I221" i="34" s="1"/>
  <c r="E125" i="34"/>
  <c r="I125" i="34" s="1"/>
  <c r="E93" i="34"/>
  <c r="I93" i="34" s="1"/>
  <c r="E61" i="34"/>
  <c r="I61" i="34" s="1"/>
  <c r="E240" i="34"/>
  <c r="I240" i="34" s="1"/>
  <c r="E204" i="34"/>
  <c r="I204" i="34" s="1"/>
  <c r="E188" i="34"/>
  <c r="I188" i="34" s="1"/>
  <c r="E172" i="34"/>
  <c r="I172" i="34" s="1"/>
  <c r="E156" i="34"/>
  <c r="I156" i="34" s="1"/>
  <c r="E232" i="34"/>
  <c r="I232" i="34" s="1"/>
  <c r="E217" i="34"/>
  <c r="I217" i="34" s="1"/>
  <c r="E201" i="34"/>
  <c r="I201" i="34" s="1"/>
  <c r="E185" i="34"/>
  <c r="I185" i="34" s="1"/>
  <c r="E169" i="34"/>
  <c r="I169" i="34" s="1"/>
  <c r="E153" i="34"/>
  <c r="I153" i="34" s="1"/>
  <c r="E118" i="34"/>
  <c r="I118" i="34" s="1"/>
  <c r="E86" i="34"/>
  <c r="I86" i="34" s="1"/>
  <c r="E54" i="34"/>
  <c r="I54" i="34" s="1"/>
  <c r="E148" i="34"/>
  <c r="I148" i="34" s="1"/>
  <c r="E130" i="34"/>
  <c r="I130" i="34" s="1"/>
  <c r="E113" i="34"/>
  <c r="I113" i="34" s="1"/>
  <c r="E81" i="34"/>
  <c r="I81" i="34" s="1"/>
  <c r="E49" i="34"/>
  <c r="I49" i="34" s="1"/>
  <c r="E17" i="34"/>
  <c r="I17" i="34" s="1"/>
  <c r="E114" i="34"/>
  <c r="I114" i="34" s="1"/>
  <c r="E98" i="34"/>
  <c r="I98" i="34" s="1"/>
  <c r="E82" i="34"/>
  <c r="I82" i="34" s="1"/>
  <c r="E66" i="34"/>
  <c r="I66" i="34" s="1"/>
  <c r="E50" i="34"/>
  <c r="I50" i="34" s="1"/>
  <c r="E34" i="34"/>
  <c r="I34" i="34" s="1"/>
  <c r="E18" i="34"/>
  <c r="I18" i="34" s="1"/>
  <c r="E294" i="34"/>
  <c r="I294" i="34" s="1"/>
  <c r="E282" i="34"/>
  <c r="I282" i="34" s="1"/>
  <c r="E290" i="34"/>
  <c r="I290" i="34" s="1"/>
  <c r="E318" i="34"/>
  <c r="I318" i="34" s="1"/>
  <c r="E145" i="34"/>
  <c r="I145" i="34" s="1"/>
  <c r="E85" i="34"/>
  <c r="I85" i="34" s="1"/>
  <c r="E184" i="34"/>
  <c r="I184" i="34" s="1"/>
  <c r="E152" i="34"/>
  <c r="I152" i="34" s="1"/>
  <c r="E233" i="34"/>
  <c r="I233" i="34" s="1"/>
  <c r="E197" i="34"/>
  <c r="I197" i="34" s="1"/>
  <c r="E165" i="34"/>
  <c r="I165" i="34" s="1"/>
  <c r="E110" i="34"/>
  <c r="I110" i="34" s="1"/>
  <c r="E46" i="34"/>
  <c r="I46" i="34" s="1"/>
  <c r="E73" i="34"/>
  <c r="I73" i="34" s="1"/>
  <c r="E16" i="34"/>
  <c r="E52" i="34" l="1"/>
  <c r="I52" i="34" s="1"/>
  <c r="E36" i="34"/>
  <c r="I36" i="34" s="1"/>
  <c r="E142" i="34"/>
  <c r="I142" i="34" s="1"/>
  <c r="E116" i="34"/>
  <c r="I116" i="34" s="1"/>
  <c r="E100" i="34"/>
  <c r="I100" i="34" s="1"/>
  <c r="E90" i="39" s="1"/>
  <c r="G90" i="39" s="1"/>
  <c r="H90" i="39" s="1"/>
  <c r="I90" i="39" s="1"/>
  <c r="J90" i="39" s="1"/>
  <c r="I90" i="25" s="1"/>
  <c r="E68" i="34"/>
  <c r="I68" i="34" s="1"/>
  <c r="G58" i="25" s="1"/>
  <c r="E35" i="34"/>
  <c r="I35" i="34" s="1"/>
  <c r="E99" i="34"/>
  <c r="I99" i="34" s="1"/>
  <c r="G89" i="25" s="1"/>
  <c r="E83" i="34"/>
  <c r="I83" i="34" s="1"/>
  <c r="E73" i="39" s="1"/>
  <c r="G73" i="39" s="1"/>
  <c r="H73" i="39" s="1"/>
  <c r="I73" i="39" s="1"/>
  <c r="J73" i="39" s="1"/>
  <c r="I73" i="25" s="1"/>
  <c r="E67" i="34"/>
  <c r="I67" i="34" s="1"/>
  <c r="E57" i="12" s="1"/>
  <c r="G57" i="12" s="1"/>
  <c r="H57" i="12" s="1"/>
  <c r="E44" i="34"/>
  <c r="I44" i="34" s="1"/>
  <c r="E34" i="39" s="1"/>
  <c r="G34" i="39" s="1"/>
  <c r="H34" i="39" s="1"/>
  <c r="I34" i="39" s="1"/>
  <c r="J34" i="39" s="1"/>
  <c r="I34" i="25" s="1"/>
  <c r="E28" i="34"/>
  <c r="I28" i="34" s="1"/>
  <c r="E92" i="34"/>
  <c r="I92" i="34" s="1"/>
  <c r="E82" i="12" s="1"/>
  <c r="G82" i="12" s="1"/>
  <c r="H82" i="12" s="1"/>
  <c r="E76" i="34"/>
  <c r="I76" i="34" s="1"/>
  <c r="E66" i="39" s="1"/>
  <c r="G66" i="39" s="1"/>
  <c r="H66" i="39" s="1"/>
  <c r="I66" i="39" s="1"/>
  <c r="J66" i="39" s="1"/>
  <c r="I66" i="25" s="1"/>
  <c r="E60" i="34"/>
  <c r="I60" i="34" s="1"/>
  <c r="E50" i="39" s="1"/>
  <c r="G50" i="39" s="1"/>
  <c r="H50" i="39" s="1"/>
  <c r="I50" i="39" s="1"/>
  <c r="J50" i="39" s="1"/>
  <c r="I50" i="25" s="1"/>
  <c r="E43" i="34"/>
  <c r="I43" i="34" s="1"/>
  <c r="E33" i="12" s="1"/>
  <c r="G33" i="12" s="1"/>
  <c r="H33" i="12" s="1"/>
  <c r="E27" i="34"/>
  <c r="I27" i="34" s="1"/>
  <c r="E17" i="39" s="1"/>
  <c r="G17" i="39" s="1"/>
  <c r="H17" i="39" s="1"/>
  <c r="I17" i="39" s="1"/>
  <c r="J17" i="39" s="1"/>
  <c r="I17" i="25" s="1"/>
  <c r="E20" i="34"/>
  <c r="I20" i="34" s="1"/>
  <c r="E10" i="39" s="1"/>
  <c r="G10" i="39" s="1"/>
  <c r="H10" i="39" s="1"/>
  <c r="I10" i="39" s="1"/>
  <c r="J10" i="39" s="1"/>
  <c r="I10" i="25" s="1"/>
  <c r="E51" i="34"/>
  <c r="I51" i="34" s="1"/>
  <c r="E41" i="12" s="1"/>
  <c r="G41" i="12" s="1"/>
  <c r="H41" i="12" s="1"/>
  <c r="E36" i="39"/>
  <c r="G36" i="39" s="1"/>
  <c r="H36" i="39" s="1"/>
  <c r="I36" i="39" s="1"/>
  <c r="J36" i="39" s="1"/>
  <c r="E36" i="12"/>
  <c r="G36" i="12" s="1"/>
  <c r="H36" i="12" s="1"/>
  <c r="E56" i="39"/>
  <c r="G56" i="39" s="1"/>
  <c r="H56" i="39" s="1"/>
  <c r="I56" i="39" s="1"/>
  <c r="J56" i="39" s="1"/>
  <c r="I56" i="25" s="1"/>
  <c r="E56" i="12"/>
  <c r="G56" i="12" s="1"/>
  <c r="H56" i="12" s="1"/>
  <c r="E100" i="12"/>
  <c r="G100" i="12" s="1"/>
  <c r="H100" i="12" s="1"/>
  <c r="E100" i="39"/>
  <c r="G100" i="39" s="1"/>
  <c r="H100" i="39" s="1"/>
  <c r="I100" i="39" s="1"/>
  <c r="J100" i="39" s="1"/>
  <c r="I100" i="25" s="1"/>
  <c r="E8" i="12"/>
  <c r="G8" i="12" s="1"/>
  <c r="H8" i="12" s="1"/>
  <c r="E8" i="39"/>
  <c r="G8" i="39" s="1"/>
  <c r="H8" i="39" s="1"/>
  <c r="I8" i="39" s="1"/>
  <c r="J8" i="39" s="1"/>
  <c r="I8" i="25" s="1"/>
  <c r="E39" i="39"/>
  <c r="G39" i="39" s="1"/>
  <c r="H39" i="39" s="1"/>
  <c r="I39" i="39" s="1"/>
  <c r="J39" i="39" s="1"/>
  <c r="E39" i="12"/>
  <c r="G39" i="12" s="1"/>
  <c r="H39" i="12" s="1"/>
  <c r="E207" i="39"/>
  <c r="G207" i="39" s="1"/>
  <c r="H207" i="39" s="1"/>
  <c r="I207" i="39" s="1"/>
  <c r="J207" i="39" s="1"/>
  <c r="I207" i="25" s="1"/>
  <c r="E207" i="12"/>
  <c r="G207" i="12" s="1"/>
  <c r="H207" i="12" s="1"/>
  <c r="E155" i="39"/>
  <c r="G155" i="39" s="1"/>
  <c r="H155" i="39" s="1"/>
  <c r="I155" i="39" s="1"/>
  <c r="J155" i="39" s="1"/>
  <c r="I155" i="25" s="1"/>
  <c r="E155" i="12"/>
  <c r="G155" i="12" s="1"/>
  <c r="H155" i="12" s="1"/>
  <c r="E174" i="12"/>
  <c r="G174" i="12" s="1"/>
  <c r="H174" i="12" s="1"/>
  <c r="E174" i="39"/>
  <c r="G174" i="39" s="1"/>
  <c r="H174" i="39" s="1"/>
  <c r="I174" i="39" s="1"/>
  <c r="J174" i="39" s="1"/>
  <c r="I174" i="25" s="1"/>
  <c r="E280" i="12"/>
  <c r="G280" i="12" s="1"/>
  <c r="H280" i="12" s="1"/>
  <c r="E280" i="39"/>
  <c r="G280" i="39" s="1"/>
  <c r="H280" i="39" s="1"/>
  <c r="I280" i="39" s="1"/>
  <c r="J280" i="39" s="1"/>
  <c r="I280" i="25" s="1"/>
  <c r="E24" i="39"/>
  <c r="G24" i="39" s="1"/>
  <c r="H24" i="39" s="1"/>
  <c r="I24" i="39" s="1"/>
  <c r="J24" i="39" s="1"/>
  <c r="E24" i="12"/>
  <c r="G24" i="12" s="1"/>
  <c r="H24" i="12" s="1"/>
  <c r="E88" i="12"/>
  <c r="G88" i="12" s="1"/>
  <c r="H88" i="12" s="1"/>
  <c r="E88" i="39"/>
  <c r="G88" i="39" s="1"/>
  <c r="H88" i="39" s="1"/>
  <c r="I88" i="39" s="1"/>
  <c r="J88" i="39" s="1"/>
  <c r="I88" i="25" s="1"/>
  <c r="E71" i="39"/>
  <c r="G71" i="39" s="1"/>
  <c r="H71" i="39" s="1"/>
  <c r="I71" i="39" s="1"/>
  <c r="J71" i="39" s="1"/>
  <c r="I71" i="25" s="1"/>
  <c r="E71" i="12"/>
  <c r="G71" i="12" s="1"/>
  <c r="H71" i="12" s="1"/>
  <c r="E44" i="39"/>
  <c r="G44" i="39" s="1"/>
  <c r="H44" i="39" s="1"/>
  <c r="I44" i="39" s="1"/>
  <c r="J44" i="39" s="1"/>
  <c r="E44" i="12"/>
  <c r="G44" i="12" s="1"/>
  <c r="H44" i="12" s="1"/>
  <c r="E159" i="39"/>
  <c r="G159" i="39" s="1"/>
  <c r="H159" i="39" s="1"/>
  <c r="I159" i="39" s="1"/>
  <c r="J159" i="39" s="1"/>
  <c r="I159" i="25" s="1"/>
  <c r="E159" i="12"/>
  <c r="G159" i="12" s="1"/>
  <c r="H159" i="12" s="1"/>
  <c r="E222" i="12"/>
  <c r="G222" i="12" s="1"/>
  <c r="H222" i="12" s="1"/>
  <c r="E222" i="39"/>
  <c r="G222" i="39" s="1"/>
  <c r="H222" i="39" s="1"/>
  <c r="I222" i="39" s="1"/>
  <c r="J222" i="39" s="1"/>
  <c r="I222" i="25" s="1"/>
  <c r="E194" i="12"/>
  <c r="G194" i="12" s="1"/>
  <c r="H194" i="12" s="1"/>
  <c r="E194" i="39"/>
  <c r="G194" i="39" s="1"/>
  <c r="H194" i="39" s="1"/>
  <c r="I194" i="39" s="1"/>
  <c r="J194" i="39" s="1"/>
  <c r="I194" i="25" s="1"/>
  <c r="E115" i="39"/>
  <c r="G115" i="39" s="1"/>
  <c r="H115" i="39" s="1"/>
  <c r="I115" i="39" s="1"/>
  <c r="J115" i="39" s="1"/>
  <c r="E115" i="12"/>
  <c r="G115" i="12" s="1"/>
  <c r="H115" i="12" s="1"/>
  <c r="E237" i="39"/>
  <c r="G237" i="39" s="1"/>
  <c r="H237" i="39" s="1"/>
  <c r="I237" i="39" s="1"/>
  <c r="J237" i="39" s="1"/>
  <c r="I237" i="25" s="1"/>
  <c r="E237" i="12"/>
  <c r="G237" i="12" s="1"/>
  <c r="H237" i="12" s="1"/>
  <c r="E281" i="39"/>
  <c r="G281" i="39" s="1"/>
  <c r="H281" i="39" s="1"/>
  <c r="I281" i="39" s="1"/>
  <c r="J281" i="39" s="1"/>
  <c r="I281" i="25" s="1"/>
  <c r="E281" i="12"/>
  <c r="G281" i="12" s="1"/>
  <c r="H281" i="12" s="1"/>
  <c r="E31" i="39"/>
  <c r="G31" i="39" s="1"/>
  <c r="H31" i="39" s="1"/>
  <c r="I31" i="39" s="1"/>
  <c r="J31" i="39" s="1"/>
  <c r="I31" i="25" s="1"/>
  <c r="E31" i="12"/>
  <c r="G31" i="12" s="1"/>
  <c r="H31" i="12" s="1"/>
  <c r="E203" i="39"/>
  <c r="G203" i="39" s="1"/>
  <c r="H203" i="39" s="1"/>
  <c r="I203" i="39" s="1"/>
  <c r="J203" i="39" s="1"/>
  <c r="E203" i="12"/>
  <c r="G203" i="12" s="1"/>
  <c r="H203" i="12" s="1"/>
  <c r="E130" i="39"/>
  <c r="G130" i="39" s="1"/>
  <c r="H130" i="39" s="1"/>
  <c r="I130" i="39" s="1"/>
  <c r="J130" i="39" s="1"/>
  <c r="I130" i="25" s="1"/>
  <c r="E130" i="12"/>
  <c r="G130" i="12" s="1"/>
  <c r="H130" i="12" s="1"/>
  <c r="E277" i="39"/>
  <c r="G277" i="39" s="1"/>
  <c r="H277" i="39" s="1"/>
  <c r="I277" i="39" s="1"/>
  <c r="J277" i="39" s="1"/>
  <c r="I277" i="25" s="1"/>
  <c r="E277" i="12"/>
  <c r="G277" i="12" s="1"/>
  <c r="H277" i="12" s="1"/>
  <c r="E11" i="39"/>
  <c r="G11" i="39" s="1"/>
  <c r="H11" i="39" s="1"/>
  <c r="I11" i="39" s="1"/>
  <c r="J11" i="39" s="1"/>
  <c r="I11" i="25" s="1"/>
  <c r="E11" i="12"/>
  <c r="G11" i="12" s="1"/>
  <c r="H11" i="12" s="1"/>
  <c r="E111" i="39"/>
  <c r="G111" i="39" s="1"/>
  <c r="H111" i="39" s="1"/>
  <c r="I111" i="39" s="1"/>
  <c r="J111" i="39" s="1"/>
  <c r="E111" i="12"/>
  <c r="G111" i="12" s="1"/>
  <c r="H111" i="12" s="1"/>
  <c r="E116" i="39"/>
  <c r="G116" i="39" s="1"/>
  <c r="H116" i="39" s="1"/>
  <c r="I116" i="39" s="1"/>
  <c r="J116" i="39" s="1"/>
  <c r="I116" i="25" s="1"/>
  <c r="E116" i="12"/>
  <c r="G116" i="12" s="1"/>
  <c r="H116" i="12" s="1"/>
  <c r="E195" i="39"/>
  <c r="G195" i="39" s="1"/>
  <c r="H195" i="39" s="1"/>
  <c r="I195" i="39" s="1"/>
  <c r="J195" i="39" s="1"/>
  <c r="I195" i="25" s="1"/>
  <c r="E195" i="12"/>
  <c r="G195" i="12" s="1"/>
  <c r="H195" i="12" s="1"/>
  <c r="E150" i="12"/>
  <c r="G150" i="12" s="1"/>
  <c r="H150" i="12" s="1"/>
  <c r="E150" i="39"/>
  <c r="G150" i="39" s="1"/>
  <c r="H150" i="39" s="1"/>
  <c r="I150" i="39" s="1"/>
  <c r="J150" i="39" s="1"/>
  <c r="I150" i="25" s="1"/>
  <c r="E215" i="39"/>
  <c r="G215" i="39" s="1"/>
  <c r="H215" i="39" s="1"/>
  <c r="I215" i="39" s="1"/>
  <c r="J215" i="39" s="1"/>
  <c r="E215" i="12"/>
  <c r="G215" i="12" s="1"/>
  <c r="H215" i="12" s="1"/>
  <c r="E214" i="12"/>
  <c r="G214" i="12" s="1"/>
  <c r="H214" i="12" s="1"/>
  <c r="E214" i="39"/>
  <c r="G214" i="39" s="1"/>
  <c r="H214" i="39" s="1"/>
  <c r="I214" i="39" s="1"/>
  <c r="J214" i="39" s="1"/>
  <c r="I214" i="25" s="1"/>
  <c r="E264" i="12"/>
  <c r="G264" i="12" s="1"/>
  <c r="H264" i="12" s="1"/>
  <c r="E264" i="39"/>
  <c r="G264" i="39" s="1"/>
  <c r="H264" i="39" s="1"/>
  <c r="I264" i="39" s="1"/>
  <c r="J264" i="39" s="1"/>
  <c r="I264" i="25" s="1"/>
  <c r="E235" i="39"/>
  <c r="G235" i="39" s="1"/>
  <c r="H235" i="39" s="1"/>
  <c r="I235" i="39" s="1"/>
  <c r="J235" i="39" s="1"/>
  <c r="I235" i="25" s="1"/>
  <c r="E235" i="12"/>
  <c r="G235" i="12" s="1"/>
  <c r="H235" i="12" s="1"/>
  <c r="E95" i="39"/>
  <c r="G95" i="39" s="1"/>
  <c r="H95" i="39" s="1"/>
  <c r="I95" i="39" s="1"/>
  <c r="J95" i="39" s="1"/>
  <c r="E95" i="12"/>
  <c r="G95" i="12" s="1"/>
  <c r="H95" i="12" s="1"/>
  <c r="E32" i="39"/>
  <c r="G32" i="39" s="1"/>
  <c r="H32" i="39" s="1"/>
  <c r="I32" i="39" s="1"/>
  <c r="J32" i="39" s="1"/>
  <c r="I32" i="25" s="1"/>
  <c r="E32" i="12"/>
  <c r="G32" i="12" s="1"/>
  <c r="H32" i="12" s="1"/>
  <c r="E96" i="12"/>
  <c r="G96" i="12" s="1"/>
  <c r="H96" i="12" s="1"/>
  <c r="E96" i="39"/>
  <c r="G96" i="39" s="1"/>
  <c r="H96" i="39" s="1"/>
  <c r="I96" i="39" s="1"/>
  <c r="J96" i="39" s="1"/>
  <c r="I96" i="25" s="1"/>
  <c r="E87" i="39"/>
  <c r="G87" i="39" s="1"/>
  <c r="H87" i="39" s="1"/>
  <c r="I87" i="39" s="1"/>
  <c r="J87" i="39" s="1"/>
  <c r="I87" i="25" s="1"/>
  <c r="E87" i="12"/>
  <c r="G87" i="12" s="1"/>
  <c r="H87" i="12" s="1"/>
  <c r="E28" i="39"/>
  <c r="G28" i="39" s="1"/>
  <c r="H28" i="39" s="1"/>
  <c r="I28" i="39" s="1"/>
  <c r="J28" i="39" s="1"/>
  <c r="E28" i="12"/>
  <c r="G28" i="12" s="1"/>
  <c r="H28" i="12" s="1"/>
  <c r="E151" i="12"/>
  <c r="G151" i="12" s="1"/>
  <c r="H151" i="12" s="1"/>
  <c r="E151" i="39"/>
  <c r="G151" i="39" s="1"/>
  <c r="H151" i="39" s="1"/>
  <c r="I151" i="39" s="1"/>
  <c r="J151" i="39" s="1"/>
  <c r="I151" i="25" s="1"/>
  <c r="E206" i="12"/>
  <c r="G206" i="12" s="1"/>
  <c r="H206" i="12" s="1"/>
  <c r="E206" i="39"/>
  <c r="G206" i="39" s="1"/>
  <c r="H206" i="39" s="1"/>
  <c r="I206" i="39" s="1"/>
  <c r="J206" i="39" s="1"/>
  <c r="I206" i="25" s="1"/>
  <c r="E186" i="12"/>
  <c r="G186" i="12" s="1"/>
  <c r="H186" i="12" s="1"/>
  <c r="E186" i="39"/>
  <c r="G186" i="39" s="1"/>
  <c r="H186" i="39" s="1"/>
  <c r="I186" i="39" s="1"/>
  <c r="J186" i="39" s="1"/>
  <c r="I186" i="25" s="1"/>
  <c r="E67" i="12"/>
  <c r="G67" i="12" s="1"/>
  <c r="H67" i="12" s="1"/>
  <c r="E67" i="39"/>
  <c r="G67" i="39" s="1"/>
  <c r="H67" i="39" s="1"/>
  <c r="I67" i="39" s="1"/>
  <c r="J67" i="39" s="1"/>
  <c r="I67" i="25" s="1"/>
  <c r="E268" i="12"/>
  <c r="G268" i="12" s="1"/>
  <c r="H268" i="12" s="1"/>
  <c r="E268" i="39"/>
  <c r="G268" i="39" s="1"/>
  <c r="H268" i="39" s="1"/>
  <c r="I268" i="39" s="1"/>
  <c r="J268" i="39" s="1"/>
  <c r="I268" i="25" s="1"/>
  <c r="E305" i="39"/>
  <c r="G305" i="39" s="1"/>
  <c r="H305" i="39" s="1"/>
  <c r="I305" i="39" s="1"/>
  <c r="J305" i="39" s="1"/>
  <c r="I305" i="25" s="1"/>
  <c r="E305" i="12"/>
  <c r="G305" i="12" s="1"/>
  <c r="H305" i="12" s="1"/>
  <c r="E276" i="12"/>
  <c r="G276" i="12" s="1"/>
  <c r="H276" i="12" s="1"/>
  <c r="E276" i="39"/>
  <c r="G276" i="39" s="1"/>
  <c r="H276" i="39" s="1"/>
  <c r="I276" i="39" s="1"/>
  <c r="J276" i="39" s="1"/>
  <c r="I276" i="25" s="1"/>
  <c r="E298" i="39"/>
  <c r="G298" i="39" s="1"/>
  <c r="H298" i="39" s="1"/>
  <c r="I298" i="39" s="1"/>
  <c r="J298" i="39" s="1"/>
  <c r="E298" i="12"/>
  <c r="G298" i="12" s="1"/>
  <c r="H298" i="12" s="1"/>
  <c r="E302" i="39"/>
  <c r="G302" i="39" s="1"/>
  <c r="H302" i="39" s="1"/>
  <c r="I302" i="39" s="1"/>
  <c r="J302" i="39" s="1"/>
  <c r="I302" i="25" s="1"/>
  <c r="E302" i="12"/>
  <c r="G302" i="12" s="1"/>
  <c r="H302" i="12" s="1"/>
  <c r="E270" i="39"/>
  <c r="G270" i="39" s="1"/>
  <c r="H270" i="39" s="1"/>
  <c r="I270" i="39" s="1"/>
  <c r="J270" i="39" s="1"/>
  <c r="I270" i="25" s="1"/>
  <c r="E270" i="12"/>
  <c r="G270" i="12" s="1"/>
  <c r="H270" i="12" s="1"/>
  <c r="E254" i="39"/>
  <c r="G254" i="39" s="1"/>
  <c r="H254" i="39" s="1"/>
  <c r="I254" i="39" s="1"/>
  <c r="J254" i="39" s="1"/>
  <c r="I254" i="25" s="1"/>
  <c r="E254" i="12"/>
  <c r="G254" i="12" s="1"/>
  <c r="H254" i="12" s="1"/>
  <c r="E232" i="12"/>
  <c r="G232" i="12" s="1"/>
  <c r="H232" i="12" s="1"/>
  <c r="E232" i="39"/>
  <c r="G232" i="39" s="1"/>
  <c r="H232" i="39" s="1"/>
  <c r="I232" i="39" s="1"/>
  <c r="J232" i="39" s="1"/>
  <c r="I232" i="25" s="1"/>
  <c r="E22" i="39"/>
  <c r="G22" i="39" s="1"/>
  <c r="H22" i="39" s="1"/>
  <c r="I22" i="39" s="1"/>
  <c r="J22" i="39" s="1"/>
  <c r="I22" i="25" s="1"/>
  <c r="E22" i="12"/>
  <c r="G22" i="12" s="1"/>
  <c r="H22" i="12" s="1"/>
  <c r="E249" i="39"/>
  <c r="G249" i="39" s="1"/>
  <c r="H249" i="39" s="1"/>
  <c r="I249" i="39" s="1"/>
  <c r="J249" i="39" s="1"/>
  <c r="I249" i="25" s="1"/>
  <c r="E249" i="12"/>
  <c r="G249" i="12" s="1"/>
  <c r="H249" i="12" s="1"/>
  <c r="E227" i="39"/>
  <c r="G227" i="39" s="1"/>
  <c r="H227" i="39" s="1"/>
  <c r="I227" i="39" s="1"/>
  <c r="J227" i="39" s="1"/>
  <c r="I227" i="25" s="1"/>
  <c r="E227" i="12"/>
  <c r="G227" i="12" s="1"/>
  <c r="H227" i="12" s="1"/>
  <c r="E201" i="39"/>
  <c r="G201" i="39" s="1"/>
  <c r="H201" i="39" s="1"/>
  <c r="I201" i="39" s="1"/>
  <c r="J201" i="39" s="1"/>
  <c r="E201" i="12"/>
  <c r="G201" i="12" s="1"/>
  <c r="H201" i="12" s="1"/>
  <c r="E185" i="39"/>
  <c r="G185" i="39" s="1"/>
  <c r="H185" i="39" s="1"/>
  <c r="I185" i="39" s="1"/>
  <c r="J185" i="39" s="1"/>
  <c r="I185" i="25" s="1"/>
  <c r="E185" i="12"/>
  <c r="G185" i="12" s="1"/>
  <c r="H185" i="12" s="1"/>
  <c r="E169" i="39"/>
  <c r="G169" i="39" s="1"/>
  <c r="H169" i="39" s="1"/>
  <c r="I169" i="39" s="1"/>
  <c r="J169" i="39" s="1"/>
  <c r="I169" i="25" s="1"/>
  <c r="E169" i="12"/>
  <c r="G169" i="12" s="1"/>
  <c r="H169" i="12" s="1"/>
  <c r="E153" i="39"/>
  <c r="G153" i="39" s="1"/>
  <c r="H153" i="39" s="1"/>
  <c r="I153" i="39" s="1"/>
  <c r="J153" i="39" s="1"/>
  <c r="I153" i="25" s="1"/>
  <c r="E153" i="12"/>
  <c r="G153" i="12" s="1"/>
  <c r="H153" i="12" s="1"/>
  <c r="E127" i="39"/>
  <c r="G127" i="39" s="1"/>
  <c r="H127" i="39" s="1"/>
  <c r="I127" i="39" s="1"/>
  <c r="J127" i="39" s="1"/>
  <c r="E127" i="12"/>
  <c r="G127" i="12" s="1"/>
  <c r="H127" i="12" s="1"/>
  <c r="E311" i="39"/>
  <c r="G311" i="39" s="1"/>
  <c r="H311" i="39" s="1"/>
  <c r="I311" i="39" s="1"/>
  <c r="J311" i="39" s="1"/>
  <c r="I311" i="25" s="1"/>
  <c r="E311" i="12"/>
  <c r="G311" i="12" s="1"/>
  <c r="H311" i="12" s="1"/>
  <c r="E295" i="39"/>
  <c r="G295" i="39" s="1"/>
  <c r="H295" i="39" s="1"/>
  <c r="I295" i="39" s="1"/>
  <c r="J295" i="39" s="1"/>
  <c r="I295" i="25" s="1"/>
  <c r="E295" i="12"/>
  <c r="G295" i="12" s="1"/>
  <c r="H295" i="12" s="1"/>
  <c r="E279" i="39"/>
  <c r="G279" i="39" s="1"/>
  <c r="H279" i="39" s="1"/>
  <c r="I279" i="39" s="1"/>
  <c r="J279" i="39" s="1"/>
  <c r="I279" i="25" s="1"/>
  <c r="E279" i="12"/>
  <c r="G279" i="12" s="1"/>
  <c r="H279" i="12" s="1"/>
  <c r="E263" i="39"/>
  <c r="G263" i="39" s="1"/>
  <c r="H263" i="39" s="1"/>
  <c r="I263" i="39" s="1"/>
  <c r="J263" i="39" s="1"/>
  <c r="E263" i="12"/>
  <c r="G263" i="12" s="1"/>
  <c r="H263" i="12" s="1"/>
  <c r="E224" i="12"/>
  <c r="G224" i="12" s="1"/>
  <c r="H224" i="12" s="1"/>
  <c r="E224" i="39"/>
  <c r="G224" i="39" s="1"/>
  <c r="H224" i="39" s="1"/>
  <c r="I224" i="39" s="1"/>
  <c r="J224" i="39" s="1"/>
  <c r="I224" i="25" s="1"/>
  <c r="E208" i="39"/>
  <c r="G208" i="39" s="1"/>
  <c r="H208" i="39" s="1"/>
  <c r="I208" i="39" s="1"/>
  <c r="J208" i="39" s="1"/>
  <c r="I208" i="25" s="1"/>
  <c r="E208" i="12"/>
  <c r="G208" i="12" s="1"/>
  <c r="H208" i="12" s="1"/>
  <c r="E192" i="39"/>
  <c r="G192" i="39" s="1"/>
  <c r="H192" i="39" s="1"/>
  <c r="I192" i="39" s="1"/>
  <c r="J192" i="39" s="1"/>
  <c r="I192" i="25" s="1"/>
  <c r="E192" i="12"/>
  <c r="G192" i="12" s="1"/>
  <c r="H192" i="12" s="1"/>
  <c r="E176" i="39"/>
  <c r="G176" i="39" s="1"/>
  <c r="H176" i="39" s="1"/>
  <c r="I176" i="39" s="1"/>
  <c r="J176" i="39" s="1"/>
  <c r="E176" i="12"/>
  <c r="G176" i="12" s="1"/>
  <c r="H176" i="12" s="1"/>
  <c r="E160" i="39"/>
  <c r="G160" i="39" s="1"/>
  <c r="H160" i="39" s="1"/>
  <c r="I160" i="39" s="1"/>
  <c r="J160" i="39" s="1"/>
  <c r="I160" i="25" s="1"/>
  <c r="E160" i="12"/>
  <c r="G160" i="12" s="1"/>
  <c r="H160" i="12" s="1"/>
  <c r="E144" i="39"/>
  <c r="G144" i="39" s="1"/>
  <c r="H144" i="39" s="1"/>
  <c r="I144" i="39" s="1"/>
  <c r="J144" i="39" s="1"/>
  <c r="I144" i="25" s="1"/>
  <c r="E144" i="12"/>
  <c r="G144" i="12" s="1"/>
  <c r="H144" i="12" s="1"/>
  <c r="E124" i="39"/>
  <c r="G124" i="39" s="1"/>
  <c r="H124" i="39" s="1"/>
  <c r="I124" i="39" s="1"/>
  <c r="J124" i="39" s="1"/>
  <c r="I124" i="25" s="1"/>
  <c r="E124" i="12"/>
  <c r="G124" i="12" s="1"/>
  <c r="H124" i="12" s="1"/>
  <c r="E109" i="12"/>
  <c r="G109" i="12" s="1"/>
  <c r="H109" i="12" s="1"/>
  <c r="E109" i="39"/>
  <c r="G109" i="39" s="1"/>
  <c r="H109" i="39" s="1"/>
  <c r="I109" i="39" s="1"/>
  <c r="J109" i="39" s="1"/>
  <c r="I109" i="25" s="1"/>
  <c r="E77" i="39"/>
  <c r="G77" i="39" s="1"/>
  <c r="H77" i="39" s="1"/>
  <c r="I77" i="39" s="1"/>
  <c r="J77" i="39" s="1"/>
  <c r="I77" i="25" s="1"/>
  <c r="E77" i="12"/>
  <c r="G77" i="12" s="1"/>
  <c r="H77" i="12" s="1"/>
  <c r="E45" i="12"/>
  <c r="G45" i="12" s="1"/>
  <c r="H45" i="12" s="1"/>
  <c r="E45" i="39"/>
  <c r="G45" i="39" s="1"/>
  <c r="H45" i="39" s="1"/>
  <c r="I45" i="39" s="1"/>
  <c r="J45" i="39" s="1"/>
  <c r="I45" i="25" s="1"/>
  <c r="E136" i="39"/>
  <c r="G136" i="39" s="1"/>
  <c r="H136" i="39" s="1"/>
  <c r="I136" i="39" s="1"/>
  <c r="J136" i="39" s="1"/>
  <c r="I136" i="25" s="1"/>
  <c r="E136" i="12"/>
  <c r="G136" i="12" s="1"/>
  <c r="H136" i="12" s="1"/>
  <c r="E94" i="12"/>
  <c r="G94" i="12" s="1"/>
  <c r="H94" i="12" s="1"/>
  <c r="E94" i="39"/>
  <c r="G94" i="39" s="1"/>
  <c r="H94" i="39" s="1"/>
  <c r="I94" i="39" s="1"/>
  <c r="J94" i="39" s="1"/>
  <c r="I94" i="25" s="1"/>
  <c r="E62" i="39"/>
  <c r="G62" i="39" s="1"/>
  <c r="H62" i="39" s="1"/>
  <c r="I62" i="39" s="1"/>
  <c r="J62" i="39" s="1"/>
  <c r="I62" i="25" s="1"/>
  <c r="E62" i="12"/>
  <c r="G62" i="12" s="1"/>
  <c r="H62" i="12" s="1"/>
  <c r="E30" i="39"/>
  <c r="G30" i="39" s="1"/>
  <c r="H30" i="39" s="1"/>
  <c r="I30" i="39" s="1"/>
  <c r="J30" i="39" s="1"/>
  <c r="I30" i="25" s="1"/>
  <c r="E30" i="12"/>
  <c r="G30" i="12" s="1"/>
  <c r="H30" i="12" s="1"/>
  <c r="E114" i="39"/>
  <c r="G114" i="39" s="1"/>
  <c r="H114" i="39" s="1"/>
  <c r="I114" i="39" s="1"/>
  <c r="J114" i="39" s="1"/>
  <c r="E114" i="12"/>
  <c r="G114" i="12" s="1"/>
  <c r="H114" i="12" s="1"/>
  <c r="E98" i="39"/>
  <c r="G98" i="39" s="1"/>
  <c r="H98" i="39" s="1"/>
  <c r="I98" i="39" s="1"/>
  <c r="J98" i="39" s="1"/>
  <c r="E98" i="12"/>
  <c r="G98" i="12" s="1"/>
  <c r="H98" i="12" s="1"/>
  <c r="E50" i="12"/>
  <c r="G50" i="12" s="1"/>
  <c r="H50" i="12" s="1"/>
  <c r="E18" i="39"/>
  <c r="G18" i="39" s="1"/>
  <c r="H18" i="39" s="1"/>
  <c r="I18" i="39" s="1"/>
  <c r="J18" i="39" s="1"/>
  <c r="I18" i="25" s="1"/>
  <c r="E18" i="12"/>
  <c r="G18" i="12" s="1"/>
  <c r="H18" i="12" s="1"/>
  <c r="E135" i="12"/>
  <c r="G135" i="12" s="1"/>
  <c r="H135" i="12" s="1"/>
  <c r="E135" i="39"/>
  <c r="G135" i="39" s="1"/>
  <c r="H135" i="39" s="1"/>
  <c r="I135" i="39" s="1"/>
  <c r="J135" i="39" s="1"/>
  <c r="I135" i="25" s="1"/>
  <c r="E7" i="39"/>
  <c r="G7" i="39" s="1"/>
  <c r="H7" i="39" s="1"/>
  <c r="I7" i="39" s="1"/>
  <c r="J7" i="39" s="1"/>
  <c r="E7" i="12"/>
  <c r="G7" i="12" s="1"/>
  <c r="H7" i="12" s="1"/>
  <c r="E142" i="39"/>
  <c r="G142" i="39" s="1"/>
  <c r="H142" i="39" s="1"/>
  <c r="I142" i="39" s="1"/>
  <c r="J142" i="39" s="1"/>
  <c r="I142" i="25" s="1"/>
  <c r="E142" i="12"/>
  <c r="G142" i="12" s="1"/>
  <c r="H142" i="12" s="1"/>
  <c r="E72" i="12"/>
  <c r="G72" i="12" s="1"/>
  <c r="H72" i="12" s="1"/>
  <c r="E72" i="39"/>
  <c r="G72" i="39" s="1"/>
  <c r="H72" i="39" s="1"/>
  <c r="I72" i="39" s="1"/>
  <c r="J72" i="39" s="1"/>
  <c r="I72" i="25" s="1"/>
  <c r="E138" i="39"/>
  <c r="G138" i="39" s="1"/>
  <c r="H138" i="39" s="1"/>
  <c r="I138" i="39" s="1"/>
  <c r="J138" i="39" s="1"/>
  <c r="I138" i="25" s="1"/>
  <c r="E138" i="12"/>
  <c r="G138" i="12" s="1"/>
  <c r="H138" i="12" s="1"/>
  <c r="E178" i="12"/>
  <c r="G178" i="12" s="1"/>
  <c r="H178" i="12" s="1"/>
  <c r="E178" i="39"/>
  <c r="G178" i="39" s="1"/>
  <c r="H178" i="39" s="1"/>
  <c r="I178" i="39" s="1"/>
  <c r="J178" i="39" s="1"/>
  <c r="I178" i="25" s="1"/>
  <c r="E63" i="12"/>
  <c r="G63" i="12" s="1"/>
  <c r="H63" i="12" s="1"/>
  <c r="E63" i="39"/>
  <c r="G63" i="39" s="1"/>
  <c r="H63" i="39" s="1"/>
  <c r="I63" i="39" s="1"/>
  <c r="J63" i="39" s="1"/>
  <c r="I63" i="25" s="1"/>
  <c r="E187" i="39"/>
  <c r="G187" i="39" s="1"/>
  <c r="H187" i="39" s="1"/>
  <c r="I187" i="39" s="1"/>
  <c r="J187" i="39" s="1"/>
  <c r="I187" i="25" s="1"/>
  <c r="E187" i="12"/>
  <c r="G187" i="12" s="1"/>
  <c r="H187" i="12" s="1"/>
  <c r="E75" i="39"/>
  <c r="G75" i="39" s="1"/>
  <c r="H75" i="39" s="1"/>
  <c r="I75" i="39" s="1"/>
  <c r="J75" i="39" s="1"/>
  <c r="I75" i="25" s="1"/>
  <c r="E75" i="12"/>
  <c r="G75" i="12" s="1"/>
  <c r="H75" i="12" s="1"/>
  <c r="E272" i="12"/>
  <c r="G272" i="12" s="1"/>
  <c r="H272" i="12" s="1"/>
  <c r="E272" i="39"/>
  <c r="G272" i="39" s="1"/>
  <c r="H272" i="39" s="1"/>
  <c r="I272" i="39" s="1"/>
  <c r="J272" i="39" s="1"/>
  <c r="I272" i="25" s="1"/>
  <c r="E40" i="39"/>
  <c r="G40" i="39" s="1"/>
  <c r="H40" i="39" s="1"/>
  <c r="I40" i="39" s="1"/>
  <c r="J40" i="39" s="1"/>
  <c r="I40" i="25" s="1"/>
  <c r="E40" i="12"/>
  <c r="G40" i="12" s="1"/>
  <c r="H40" i="12" s="1"/>
  <c r="E104" i="39"/>
  <c r="G104" i="39" s="1"/>
  <c r="H104" i="39" s="1"/>
  <c r="I104" i="39" s="1"/>
  <c r="J104" i="39" s="1"/>
  <c r="I104" i="25" s="1"/>
  <c r="E104" i="12"/>
  <c r="G104" i="12" s="1"/>
  <c r="H104" i="12" s="1"/>
  <c r="E103" i="39"/>
  <c r="G103" i="39" s="1"/>
  <c r="H103" i="39" s="1"/>
  <c r="I103" i="39" s="1"/>
  <c r="J103" i="39" s="1"/>
  <c r="I103" i="25" s="1"/>
  <c r="E103" i="12"/>
  <c r="G103" i="12" s="1"/>
  <c r="H103" i="12" s="1"/>
  <c r="E76" i="12"/>
  <c r="G76" i="12" s="1"/>
  <c r="H76" i="12" s="1"/>
  <c r="E76" i="39"/>
  <c r="G76" i="39" s="1"/>
  <c r="H76" i="39" s="1"/>
  <c r="I76" i="39" s="1"/>
  <c r="J76" i="39" s="1"/>
  <c r="I76" i="25" s="1"/>
  <c r="E175" i="39"/>
  <c r="G175" i="39" s="1"/>
  <c r="H175" i="39" s="1"/>
  <c r="I175" i="39" s="1"/>
  <c r="J175" i="39" s="1"/>
  <c r="I175" i="25" s="1"/>
  <c r="E175" i="12"/>
  <c r="G175" i="12" s="1"/>
  <c r="H175" i="12" s="1"/>
  <c r="E146" i="39"/>
  <c r="G146" i="39" s="1"/>
  <c r="H146" i="39" s="1"/>
  <c r="I146" i="39" s="1"/>
  <c r="J146" i="39" s="1"/>
  <c r="I146" i="25" s="1"/>
  <c r="E146" i="12"/>
  <c r="G146" i="12" s="1"/>
  <c r="H146" i="12" s="1"/>
  <c r="E230" i="12"/>
  <c r="G230" i="12" s="1"/>
  <c r="H230" i="12" s="1"/>
  <c r="E230" i="39"/>
  <c r="G230" i="39" s="1"/>
  <c r="H230" i="39" s="1"/>
  <c r="I230" i="39" s="1"/>
  <c r="J230" i="39" s="1"/>
  <c r="I230" i="25" s="1"/>
  <c r="E211" i="39"/>
  <c r="G211" i="39" s="1"/>
  <c r="H211" i="39" s="1"/>
  <c r="I211" i="39" s="1"/>
  <c r="J211" i="39" s="1"/>
  <c r="E211" i="12"/>
  <c r="G211" i="12" s="1"/>
  <c r="H211" i="12" s="1"/>
  <c r="E259" i="39"/>
  <c r="G259" i="39" s="1"/>
  <c r="H259" i="39" s="1"/>
  <c r="I259" i="39" s="1"/>
  <c r="J259" i="39" s="1"/>
  <c r="I259" i="25" s="1"/>
  <c r="E259" i="12"/>
  <c r="G259" i="12" s="1"/>
  <c r="H259" i="12" s="1"/>
  <c r="E313" i="39"/>
  <c r="G313" i="39" s="1"/>
  <c r="H313" i="39" s="1"/>
  <c r="I313" i="39" s="1"/>
  <c r="J313" i="39" s="1"/>
  <c r="I313" i="25" s="1"/>
  <c r="E313" i="12"/>
  <c r="G313" i="12" s="1"/>
  <c r="H313" i="12" s="1"/>
  <c r="E20" i="39"/>
  <c r="G20" i="39" s="1"/>
  <c r="H20" i="39" s="1"/>
  <c r="I20" i="39" s="1"/>
  <c r="J20" i="39" s="1"/>
  <c r="I20" i="25" s="1"/>
  <c r="E20" i="12"/>
  <c r="G20" i="12" s="1"/>
  <c r="H20" i="12" s="1"/>
  <c r="E219" i="39"/>
  <c r="G219" i="39" s="1"/>
  <c r="H219" i="39" s="1"/>
  <c r="I219" i="39" s="1"/>
  <c r="J219" i="39" s="1"/>
  <c r="I219" i="25" s="1"/>
  <c r="E219" i="12"/>
  <c r="G219" i="12" s="1"/>
  <c r="H219" i="12" s="1"/>
  <c r="E43" i="39"/>
  <c r="G43" i="39" s="1"/>
  <c r="H43" i="39" s="1"/>
  <c r="I43" i="39" s="1"/>
  <c r="J43" i="39" s="1"/>
  <c r="I43" i="25" s="1"/>
  <c r="E43" i="12"/>
  <c r="G43" i="12" s="1"/>
  <c r="H43" i="12" s="1"/>
  <c r="E248" i="12"/>
  <c r="G248" i="12" s="1"/>
  <c r="H248" i="12" s="1"/>
  <c r="E248" i="39"/>
  <c r="G248" i="39" s="1"/>
  <c r="H248" i="39" s="1"/>
  <c r="I248" i="39" s="1"/>
  <c r="J248" i="39" s="1"/>
  <c r="I248" i="25" s="1"/>
  <c r="E15" i="39"/>
  <c r="G15" i="39" s="1"/>
  <c r="H15" i="39" s="1"/>
  <c r="I15" i="39" s="1"/>
  <c r="J15" i="39" s="1"/>
  <c r="I15" i="25" s="1"/>
  <c r="E15" i="12"/>
  <c r="G15" i="12" s="1"/>
  <c r="H15" i="12" s="1"/>
  <c r="E12" i="12"/>
  <c r="G12" i="12" s="1"/>
  <c r="H12" i="12" s="1"/>
  <c r="E12" i="39"/>
  <c r="G12" i="39" s="1"/>
  <c r="H12" i="39" s="1"/>
  <c r="I12" i="39" s="1"/>
  <c r="J12" i="39" s="1"/>
  <c r="I12" i="25" s="1"/>
  <c r="E147" i="12"/>
  <c r="G147" i="12" s="1"/>
  <c r="H147" i="12" s="1"/>
  <c r="E147" i="39"/>
  <c r="G147" i="39" s="1"/>
  <c r="H147" i="39" s="1"/>
  <c r="I147" i="39" s="1"/>
  <c r="J147" i="39" s="1"/>
  <c r="I147" i="25" s="1"/>
  <c r="E210" i="12"/>
  <c r="G210" i="12" s="1"/>
  <c r="H210" i="12" s="1"/>
  <c r="E210" i="39"/>
  <c r="G210" i="39" s="1"/>
  <c r="H210" i="39" s="1"/>
  <c r="I210" i="39" s="1"/>
  <c r="J210" i="39" s="1"/>
  <c r="I210" i="25" s="1"/>
  <c r="E166" i="12"/>
  <c r="G166" i="12" s="1"/>
  <c r="H166" i="12" s="1"/>
  <c r="E166" i="39"/>
  <c r="G166" i="39" s="1"/>
  <c r="H166" i="39" s="1"/>
  <c r="I166" i="39" s="1"/>
  <c r="J166" i="39" s="1"/>
  <c r="I166" i="25" s="1"/>
  <c r="E59" i="12"/>
  <c r="G59" i="12" s="1"/>
  <c r="H59" i="12" s="1"/>
  <c r="E59" i="39"/>
  <c r="G59" i="39" s="1"/>
  <c r="H59" i="39" s="1"/>
  <c r="I59" i="39" s="1"/>
  <c r="J59" i="39" s="1"/>
  <c r="I59" i="25" s="1"/>
  <c r="E252" i="12"/>
  <c r="G252" i="12" s="1"/>
  <c r="H252" i="12" s="1"/>
  <c r="E252" i="39"/>
  <c r="G252" i="39" s="1"/>
  <c r="H252" i="39" s="1"/>
  <c r="I252" i="39" s="1"/>
  <c r="J252" i="39" s="1"/>
  <c r="I252" i="25" s="1"/>
  <c r="E296" i="12"/>
  <c r="G296" i="12" s="1"/>
  <c r="H296" i="12" s="1"/>
  <c r="E296" i="39"/>
  <c r="G296" i="39" s="1"/>
  <c r="H296" i="39" s="1"/>
  <c r="I296" i="39" s="1"/>
  <c r="J296" i="39" s="1"/>
  <c r="I296" i="25" s="1"/>
  <c r="E269" i="39"/>
  <c r="G269" i="39" s="1"/>
  <c r="H269" i="39" s="1"/>
  <c r="I269" i="39" s="1"/>
  <c r="J269" i="39" s="1"/>
  <c r="I269" i="25" s="1"/>
  <c r="E269" i="12"/>
  <c r="G269" i="12" s="1"/>
  <c r="H269" i="12" s="1"/>
  <c r="E304" i="12"/>
  <c r="G304" i="12" s="1"/>
  <c r="H304" i="12" s="1"/>
  <c r="E304" i="39"/>
  <c r="G304" i="39" s="1"/>
  <c r="H304" i="39" s="1"/>
  <c r="I304" i="39" s="1"/>
  <c r="J304" i="39" s="1"/>
  <c r="I304" i="25" s="1"/>
  <c r="E48" i="39"/>
  <c r="G48" i="39" s="1"/>
  <c r="H48" i="39" s="1"/>
  <c r="I48" i="39" s="1"/>
  <c r="J48" i="39" s="1"/>
  <c r="I48" i="25" s="1"/>
  <c r="E48" i="12"/>
  <c r="G48" i="12" s="1"/>
  <c r="H48" i="12" s="1"/>
  <c r="E112" i="39"/>
  <c r="G112" i="39" s="1"/>
  <c r="H112" i="39" s="1"/>
  <c r="I112" i="39" s="1"/>
  <c r="J112" i="39" s="1"/>
  <c r="I112" i="25" s="1"/>
  <c r="E112" i="12"/>
  <c r="G112" i="12" s="1"/>
  <c r="H112" i="12" s="1"/>
  <c r="E119" i="39"/>
  <c r="G119" i="39" s="1"/>
  <c r="H119" i="39" s="1"/>
  <c r="I119" i="39" s="1"/>
  <c r="J119" i="39" s="1"/>
  <c r="I119" i="25" s="1"/>
  <c r="E119" i="12"/>
  <c r="G119" i="12" s="1"/>
  <c r="H119" i="12" s="1"/>
  <c r="E60" i="39"/>
  <c r="G60" i="39" s="1"/>
  <c r="H60" i="39" s="1"/>
  <c r="I60" i="39" s="1"/>
  <c r="J60" i="39" s="1"/>
  <c r="I60" i="25" s="1"/>
  <c r="E60" i="12"/>
  <c r="G60" i="12" s="1"/>
  <c r="H60" i="12" s="1"/>
  <c r="E167" i="39"/>
  <c r="G167" i="39" s="1"/>
  <c r="H167" i="39" s="1"/>
  <c r="I167" i="39" s="1"/>
  <c r="J167" i="39" s="1"/>
  <c r="I167" i="25" s="1"/>
  <c r="E167" i="12"/>
  <c r="G167" i="12" s="1"/>
  <c r="H167" i="12" s="1"/>
  <c r="E131" i="12"/>
  <c r="G131" i="12" s="1"/>
  <c r="H131" i="12" s="1"/>
  <c r="E131" i="39"/>
  <c r="G131" i="39" s="1"/>
  <c r="H131" i="39" s="1"/>
  <c r="I131" i="39" s="1"/>
  <c r="J131" i="39" s="1"/>
  <c r="I131" i="25" s="1"/>
  <c r="E202" i="12"/>
  <c r="G202" i="12" s="1"/>
  <c r="H202" i="12" s="1"/>
  <c r="E202" i="39"/>
  <c r="G202" i="39" s="1"/>
  <c r="H202" i="39" s="1"/>
  <c r="I202" i="39" s="1"/>
  <c r="J202" i="39" s="1"/>
  <c r="I202" i="25" s="1"/>
  <c r="E99" i="39"/>
  <c r="G99" i="39" s="1"/>
  <c r="H99" i="39" s="1"/>
  <c r="I99" i="39" s="1"/>
  <c r="J99" i="39" s="1"/>
  <c r="I99" i="25" s="1"/>
  <c r="E99" i="12"/>
  <c r="G99" i="12" s="1"/>
  <c r="H99" i="12" s="1"/>
  <c r="E301" i="39"/>
  <c r="G301" i="39" s="1"/>
  <c r="H301" i="39" s="1"/>
  <c r="I301" i="39" s="1"/>
  <c r="J301" i="39" s="1"/>
  <c r="I301" i="25" s="1"/>
  <c r="E301" i="12"/>
  <c r="G301" i="12" s="1"/>
  <c r="H301" i="12" s="1"/>
  <c r="E265" i="39"/>
  <c r="G265" i="39" s="1"/>
  <c r="H265" i="39" s="1"/>
  <c r="I265" i="39" s="1"/>
  <c r="J265" i="39" s="1"/>
  <c r="I265" i="25" s="1"/>
  <c r="E265" i="12"/>
  <c r="G265" i="12" s="1"/>
  <c r="H265" i="12" s="1"/>
  <c r="E309" i="39"/>
  <c r="G309" i="39" s="1"/>
  <c r="H309" i="39" s="1"/>
  <c r="I309" i="39" s="1"/>
  <c r="J309" i="39" s="1"/>
  <c r="I309" i="25" s="1"/>
  <c r="E309" i="12"/>
  <c r="G309" i="12" s="1"/>
  <c r="H309" i="12" s="1"/>
  <c r="E282" i="39"/>
  <c r="G282" i="39" s="1"/>
  <c r="H282" i="39" s="1"/>
  <c r="I282" i="39" s="1"/>
  <c r="J282" i="39" s="1"/>
  <c r="E282" i="12"/>
  <c r="G282" i="12" s="1"/>
  <c r="H282" i="12" s="1"/>
  <c r="E286" i="39"/>
  <c r="G286" i="39" s="1"/>
  <c r="H286" i="39" s="1"/>
  <c r="I286" i="39" s="1"/>
  <c r="J286" i="39" s="1"/>
  <c r="I286" i="25" s="1"/>
  <c r="E286" i="12"/>
  <c r="G286" i="12" s="1"/>
  <c r="H286" i="12" s="1"/>
  <c r="E266" i="12"/>
  <c r="G266" i="12" s="1"/>
  <c r="H266" i="12" s="1"/>
  <c r="E266" i="39"/>
  <c r="G266" i="39" s="1"/>
  <c r="H266" i="39" s="1"/>
  <c r="I266" i="39" s="1"/>
  <c r="J266" i="39" s="1"/>
  <c r="I266" i="25" s="1"/>
  <c r="E250" i="12"/>
  <c r="G250" i="12" s="1"/>
  <c r="H250" i="12" s="1"/>
  <c r="E250" i="39"/>
  <c r="G250" i="39" s="1"/>
  <c r="H250" i="39" s="1"/>
  <c r="I250" i="39" s="1"/>
  <c r="J250" i="39" s="1"/>
  <c r="E231" i="39"/>
  <c r="G231" i="39" s="1"/>
  <c r="H231" i="39" s="1"/>
  <c r="I231" i="39" s="1"/>
  <c r="J231" i="39" s="1"/>
  <c r="I231" i="25" s="1"/>
  <c r="E231" i="12"/>
  <c r="G231" i="12" s="1"/>
  <c r="H231" i="12" s="1"/>
  <c r="E261" i="39"/>
  <c r="G261" i="39" s="1"/>
  <c r="H261" i="39" s="1"/>
  <c r="I261" i="39" s="1"/>
  <c r="J261" i="39" s="1"/>
  <c r="I261" i="25" s="1"/>
  <c r="E261" i="12"/>
  <c r="G261" i="12" s="1"/>
  <c r="H261" i="12" s="1"/>
  <c r="E245" i="39"/>
  <c r="G245" i="39" s="1"/>
  <c r="H245" i="39" s="1"/>
  <c r="I245" i="39" s="1"/>
  <c r="J245" i="39" s="1"/>
  <c r="I245" i="25" s="1"/>
  <c r="E245" i="12"/>
  <c r="G245" i="12" s="1"/>
  <c r="H245" i="12" s="1"/>
  <c r="E225" i="39"/>
  <c r="G225" i="39" s="1"/>
  <c r="H225" i="39" s="1"/>
  <c r="I225" i="39" s="1"/>
  <c r="J225" i="39" s="1"/>
  <c r="I225" i="25" s="1"/>
  <c r="E225" i="12"/>
  <c r="G225" i="12" s="1"/>
  <c r="H225" i="12" s="1"/>
  <c r="E197" i="39"/>
  <c r="G197" i="39" s="1"/>
  <c r="H197" i="39" s="1"/>
  <c r="I197" i="39" s="1"/>
  <c r="J197" i="39" s="1"/>
  <c r="E197" i="12"/>
  <c r="G197" i="12" s="1"/>
  <c r="H197" i="12" s="1"/>
  <c r="E181" i="39"/>
  <c r="G181" i="39" s="1"/>
  <c r="H181" i="39" s="1"/>
  <c r="I181" i="39" s="1"/>
  <c r="J181" i="39" s="1"/>
  <c r="I181" i="25" s="1"/>
  <c r="E181" i="12"/>
  <c r="G181" i="12" s="1"/>
  <c r="H181" i="12" s="1"/>
  <c r="E165" i="39"/>
  <c r="G165" i="39" s="1"/>
  <c r="H165" i="39" s="1"/>
  <c r="I165" i="39" s="1"/>
  <c r="J165" i="39" s="1"/>
  <c r="I165" i="25" s="1"/>
  <c r="E165" i="12"/>
  <c r="G165" i="12" s="1"/>
  <c r="H165" i="12" s="1"/>
  <c r="E149" i="39"/>
  <c r="G149" i="39" s="1"/>
  <c r="H149" i="39" s="1"/>
  <c r="I149" i="39" s="1"/>
  <c r="J149" i="39" s="1"/>
  <c r="I149" i="25" s="1"/>
  <c r="E149" i="12"/>
  <c r="G149" i="12" s="1"/>
  <c r="H149" i="12" s="1"/>
  <c r="E125" i="12"/>
  <c r="G125" i="12" s="1"/>
  <c r="H125" i="12" s="1"/>
  <c r="E125" i="39"/>
  <c r="G125" i="39" s="1"/>
  <c r="H125" i="39" s="1"/>
  <c r="I125" i="39" s="1"/>
  <c r="J125" i="39" s="1"/>
  <c r="I125" i="25" s="1"/>
  <c r="E307" i="39"/>
  <c r="G307" i="39" s="1"/>
  <c r="H307" i="39" s="1"/>
  <c r="I307" i="39" s="1"/>
  <c r="J307" i="39" s="1"/>
  <c r="I307" i="25" s="1"/>
  <c r="E307" i="12"/>
  <c r="G307" i="12" s="1"/>
  <c r="H307" i="12" s="1"/>
  <c r="E291" i="39"/>
  <c r="G291" i="39" s="1"/>
  <c r="H291" i="39" s="1"/>
  <c r="I291" i="39" s="1"/>
  <c r="J291" i="39" s="1"/>
  <c r="I291" i="25" s="1"/>
  <c r="E291" i="12"/>
  <c r="G291" i="12" s="1"/>
  <c r="H291" i="12" s="1"/>
  <c r="E275" i="39"/>
  <c r="G275" i="39" s="1"/>
  <c r="H275" i="39" s="1"/>
  <c r="I275" i="39" s="1"/>
  <c r="J275" i="39" s="1"/>
  <c r="I275" i="25" s="1"/>
  <c r="E275" i="12"/>
  <c r="G275" i="12" s="1"/>
  <c r="H275" i="12" s="1"/>
  <c r="E236" i="12"/>
  <c r="G236" i="12" s="1"/>
  <c r="H236" i="12" s="1"/>
  <c r="E236" i="39"/>
  <c r="G236" i="39" s="1"/>
  <c r="H236" i="39" s="1"/>
  <c r="I236" i="39" s="1"/>
  <c r="J236" i="39" s="1"/>
  <c r="I236" i="25" s="1"/>
  <c r="E220" i="12"/>
  <c r="G220" i="12" s="1"/>
  <c r="H220" i="12" s="1"/>
  <c r="E220" i="39"/>
  <c r="G220" i="39" s="1"/>
  <c r="H220" i="39" s="1"/>
  <c r="I220" i="39" s="1"/>
  <c r="J220" i="39" s="1"/>
  <c r="I220" i="25" s="1"/>
  <c r="E204" i="12"/>
  <c r="G204" i="12" s="1"/>
  <c r="H204" i="12" s="1"/>
  <c r="E204" i="39"/>
  <c r="G204" i="39" s="1"/>
  <c r="H204" i="39" s="1"/>
  <c r="I204" i="39" s="1"/>
  <c r="J204" i="39" s="1"/>
  <c r="I204" i="25" s="1"/>
  <c r="E188" i="39"/>
  <c r="G188" i="39" s="1"/>
  <c r="H188" i="39" s="1"/>
  <c r="I188" i="39" s="1"/>
  <c r="J188" i="39" s="1"/>
  <c r="I188" i="25" s="1"/>
  <c r="E188" i="12"/>
  <c r="G188" i="12" s="1"/>
  <c r="H188" i="12" s="1"/>
  <c r="E172" i="39"/>
  <c r="G172" i="39" s="1"/>
  <c r="H172" i="39" s="1"/>
  <c r="I172" i="39" s="1"/>
  <c r="J172" i="39" s="1"/>
  <c r="I172" i="25" s="1"/>
  <c r="E172" i="12"/>
  <c r="G172" i="12" s="1"/>
  <c r="H172" i="12" s="1"/>
  <c r="E156" i="39"/>
  <c r="G156" i="39" s="1"/>
  <c r="H156" i="39" s="1"/>
  <c r="I156" i="39" s="1"/>
  <c r="J156" i="39" s="1"/>
  <c r="I156" i="25" s="1"/>
  <c r="E156" i="12"/>
  <c r="G156" i="12" s="1"/>
  <c r="H156" i="12" s="1"/>
  <c r="E140" i="39"/>
  <c r="G140" i="39" s="1"/>
  <c r="H140" i="39" s="1"/>
  <c r="I140" i="39" s="1"/>
  <c r="J140" i="39" s="1"/>
  <c r="I140" i="25" s="1"/>
  <c r="E140" i="12"/>
  <c r="G140" i="12" s="1"/>
  <c r="H140" i="12" s="1"/>
  <c r="E123" i="39"/>
  <c r="G123" i="39" s="1"/>
  <c r="H123" i="39" s="1"/>
  <c r="I123" i="39" s="1"/>
  <c r="J123" i="39" s="1"/>
  <c r="I123" i="25" s="1"/>
  <c r="E123" i="12"/>
  <c r="G123" i="12" s="1"/>
  <c r="H123" i="12" s="1"/>
  <c r="E101" i="39"/>
  <c r="G101" i="39" s="1"/>
  <c r="H101" i="39" s="1"/>
  <c r="I101" i="39" s="1"/>
  <c r="J101" i="39" s="1"/>
  <c r="E101" i="12"/>
  <c r="G101" i="12" s="1"/>
  <c r="H101" i="12" s="1"/>
  <c r="E69" i="39"/>
  <c r="G69" i="39" s="1"/>
  <c r="H69" i="39" s="1"/>
  <c r="I69" i="39" s="1"/>
  <c r="J69" i="39" s="1"/>
  <c r="I69" i="25" s="1"/>
  <c r="E69" i="12"/>
  <c r="G69" i="12" s="1"/>
  <c r="H69" i="12" s="1"/>
  <c r="E37" i="12"/>
  <c r="G37" i="12" s="1"/>
  <c r="H37" i="12" s="1"/>
  <c r="E37" i="39"/>
  <c r="G37" i="39" s="1"/>
  <c r="H37" i="39" s="1"/>
  <c r="I37" i="39" s="1"/>
  <c r="J37" i="39" s="1"/>
  <c r="I37" i="25" s="1"/>
  <c r="E118" i="39"/>
  <c r="G118" i="39" s="1"/>
  <c r="H118" i="39" s="1"/>
  <c r="I118" i="39" s="1"/>
  <c r="J118" i="39" s="1"/>
  <c r="I118" i="25" s="1"/>
  <c r="E118" i="12"/>
  <c r="G118" i="12" s="1"/>
  <c r="H118" i="12" s="1"/>
  <c r="E86" i="39"/>
  <c r="G86" i="39" s="1"/>
  <c r="H86" i="39" s="1"/>
  <c r="I86" i="39" s="1"/>
  <c r="J86" i="39" s="1"/>
  <c r="I86" i="25" s="1"/>
  <c r="E86" i="12"/>
  <c r="G86" i="12" s="1"/>
  <c r="H86" i="12" s="1"/>
  <c r="E54" i="39"/>
  <c r="G54" i="39" s="1"/>
  <c r="H54" i="39" s="1"/>
  <c r="I54" i="39" s="1"/>
  <c r="J54" i="39" s="1"/>
  <c r="I54" i="25" s="1"/>
  <c r="E54" i="12"/>
  <c r="G54" i="12" s="1"/>
  <c r="H54" i="12" s="1"/>
  <c r="E14" i="39"/>
  <c r="G14" i="39" s="1"/>
  <c r="H14" i="39" s="1"/>
  <c r="I14" i="39" s="1"/>
  <c r="J14" i="39" s="1"/>
  <c r="I14" i="25" s="1"/>
  <c r="E14" i="12"/>
  <c r="G14" i="12" s="1"/>
  <c r="H14" i="12" s="1"/>
  <c r="E113" i="12"/>
  <c r="G113" i="12" s="1"/>
  <c r="H113" i="12" s="1"/>
  <c r="E113" i="39"/>
  <c r="G113" i="39" s="1"/>
  <c r="H113" i="39" s="1"/>
  <c r="I113" i="39" s="1"/>
  <c r="J113" i="39" s="1"/>
  <c r="I113" i="25" s="1"/>
  <c r="E97" i="39"/>
  <c r="G97" i="39" s="1"/>
  <c r="H97" i="39" s="1"/>
  <c r="I97" i="39" s="1"/>
  <c r="J97" i="39" s="1"/>
  <c r="I97" i="25" s="1"/>
  <c r="E97" i="12"/>
  <c r="G97" i="12" s="1"/>
  <c r="H97" i="12" s="1"/>
  <c r="E81" i="39"/>
  <c r="G81" i="39" s="1"/>
  <c r="H81" i="39" s="1"/>
  <c r="I81" i="39" s="1"/>
  <c r="J81" i="39" s="1"/>
  <c r="I81" i="25" s="1"/>
  <c r="E81" i="12"/>
  <c r="G81" i="12" s="1"/>
  <c r="H81" i="12" s="1"/>
  <c r="E65" i="39"/>
  <c r="G65" i="39" s="1"/>
  <c r="H65" i="39" s="1"/>
  <c r="I65" i="39" s="1"/>
  <c r="J65" i="39" s="1"/>
  <c r="I65" i="25" s="1"/>
  <c r="E65" i="12"/>
  <c r="G65" i="12" s="1"/>
  <c r="H65" i="12" s="1"/>
  <c r="E49" i="12"/>
  <c r="G49" i="12" s="1"/>
  <c r="H49" i="12" s="1"/>
  <c r="E49" i="39"/>
  <c r="G49" i="39" s="1"/>
  <c r="H49" i="39" s="1"/>
  <c r="I49" i="39" s="1"/>
  <c r="J49" i="39" s="1"/>
  <c r="I49" i="25" s="1"/>
  <c r="E284" i="12"/>
  <c r="G284" i="12" s="1"/>
  <c r="H284" i="12" s="1"/>
  <c r="E284" i="39"/>
  <c r="G284" i="39" s="1"/>
  <c r="H284" i="39" s="1"/>
  <c r="I284" i="39" s="1"/>
  <c r="J284" i="39" s="1"/>
  <c r="I284" i="25" s="1"/>
  <c r="E120" i="39"/>
  <c r="G120" i="39" s="1"/>
  <c r="H120" i="39" s="1"/>
  <c r="I120" i="39" s="1"/>
  <c r="J120" i="39" s="1"/>
  <c r="I120" i="25" s="1"/>
  <c r="E120" i="12"/>
  <c r="G120" i="12" s="1"/>
  <c r="H120" i="12" s="1"/>
  <c r="E108" i="39"/>
  <c r="G108" i="39" s="1"/>
  <c r="H108" i="39" s="1"/>
  <c r="I108" i="39" s="1"/>
  <c r="J108" i="39" s="1"/>
  <c r="I108" i="25" s="1"/>
  <c r="E108" i="12"/>
  <c r="G108" i="12" s="1"/>
  <c r="H108" i="12" s="1"/>
  <c r="E191" i="39"/>
  <c r="G191" i="39" s="1"/>
  <c r="H191" i="39" s="1"/>
  <c r="I191" i="39" s="1"/>
  <c r="J191" i="39" s="1"/>
  <c r="I191" i="25" s="1"/>
  <c r="E191" i="12"/>
  <c r="G191" i="12" s="1"/>
  <c r="H191" i="12" s="1"/>
  <c r="E162" i="12"/>
  <c r="G162" i="12" s="1"/>
  <c r="H162" i="12" s="1"/>
  <c r="E162" i="39"/>
  <c r="G162" i="39" s="1"/>
  <c r="H162" i="39" s="1"/>
  <c r="I162" i="39" s="1"/>
  <c r="J162" i="39" s="1"/>
  <c r="I162" i="25" s="1"/>
  <c r="E51" i="39"/>
  <c r="G51" i="39" s="1"/>
  <c r="H51" i="39" s="1"/>
  <c r="I51" i="39" s="1"/>
  <c r="J51" i="39" s="1"/>
  <c r="I51" i="25" s="1"/>
  <c r="E51" i="12"/>
  <c r="G51" i="12" s="1"/>
  <c r="H51" i="12" s="1"/>
  <c r="E247" i="39"/>
  <c r="G247" i="39" s="1"/>
  <c r="H247" i="39" s="1"/>
  <c r="I247" i="39" s="1"/>
  <c r="J247" i="39" s="1"/>
  <c r="I247" i="25" s="1"/>
  <c r="E247" i="12"/>
  <c r="G247" i="12" s="1"/>
  <c r="H247" i="12" s="1"/>
  <c r="E289" i="39"/>
  <c r="G289" i="39" s="1"/>
  <c r="H289" i="39" s="1"/>
  <c r="I289" i="39" s="1"/>
  <c r="J289" i="39" s="1"/>
  <c r="E289" i="12"/>
  <c r="G289" i="12" s="1"/>
  <c r="H289" i="12" s="1"/>
  <c r="E260" i="12"/>
  <c r="G260" i="12" s="1"/>
  <c r="H260" i="12" s="1"/>
  <c r="E260" i="39"/>
  <c r="G260" i="39" s="1"/>
  <c r="H260" i="39" s="1"/>
  <c r="I260" i="39" s="1"/>
  <c r="J260" i="39" s="1"/>
  <c r="I260" i="25" s="1"/>
  <c r="E68" i="12"/>
  <c r="G68" i="12" s="1"/>
  <c r="H68" i="12" s="1"/>
  <c r="E68" i="39"/>
  <c r="G68" i="39" s="1"/>
  <c r="H68" i="39" s="1"/>
  <c r="I68" i="39" s="1"/>
  <c r="J68" i="39" s="1"/>
  <c r="I68" i="25" s="1"/>
  <c r="E158" i="12"/>
  <c r="G158" i="12" s="1"/>
  <c r="H158" i="12" s="1"/>
  <c r="E158" i="39"/>
  <c r="G158" i="39" s="1"/>
  <c r="H158" i="39" s="1"/>
  <c r="I158" i="39" s="1"/>
  <c r="J158" i="39" s="1"/>
  <c r="I158" i="25" s="1"/>
  <c r="E107" i="39"/>
  <c r="G107" i="39" s="1"/>
  <c r="H107" i="39" s="1"/>
  <c r="I107" i="39" s="1"/>
  <c r="J107" i="39" s="1"/>
  <c r="I107" i="25" s="1"/>
  <c r="E107" i="12"/>
  <c r="G107" i="12" s="1"/>
  <c r="H107" i="12" s="1"/>
  <c r="E312" i="12"/>
  <c r="G312" i="12" s="1"/>
  <c r="H312" i="12" s="1"/>
  <c r="E312" i="39"/>
  <c r="G312" i="39" s="1"/>
  <c r="H312" i="39" s="1"/>
  <c r="I312" i="39" s="1"/>
  <c r="J312" i="39" s="1"/>
  <c r="I312" i="25" s="1"/>
  <c r="E47" i="39"/>
  <c r="G47" i="39" s="1"/>
  <c r="H47" i="39" s="1"/>
  <c r="I47" i="39" s="1"/>
  <c r="J47" i="39" s="1"/>
  <c r="I47" i="25" s="1"/>
  <c r="E47" i="12"/>
  <c r="G47" i="12" s="1"/>
  <c r="H47" i="12" s="1"/>
  <c r="E52" i="39"/>
  <c r="G52" i="39" s="1"/>
  <c r="H52" i="39" s="1"/>
  <c r="I52" i="39" s="1"/>
  <c r="J52" i="39" s="1"/>
  <c r="I52" i="25" s="1"/>
  <c r="E52" i="12"/>
  <c r="G52" i="12" s="1"/>
  <c r="H52" i="12" s="1"/>
  <c r="E163" i="39"/>
  <c r="G163" i="39" s="1"/>
  <c r="H163" i="39" s="1"/>
  <c r="I163" i="39" s="1"/>
  <c r="J163" i="39" s="1"/>
  <c r="I163" i="25" s="1"/>
  <c r="E163" i="12"/>
  <c r="G163" i="12" s="1"/>
  <c r="H163" i="12" s="1"/>
  <c r="E238" i="12"/>
  <c r="G238" i="12" s="1"/>
  <c r="H238" i="12" s="1"/>
  <c r="E238" i="39"/>
  <c r="G238" i="39" s="1"/>
  <c r="H238" i="39" s="1"/>
  <c r="I238" i="39" s="1"/>
  <c r="J238" i="39" s="1"/>
  <c r="I238" i="25" s="1"/>
  <c r="E182" i="12"/>
  <c r="G182" i="12" s="1"/>
  <c r="H182" i="12" s="1"/>
  <c r="E182" i="39"/>
  <c r="G182" i="39" s="1"/>
  <c r="H182" i="39" s="1"/>
  <c r="I182" i="39" s="1"/>
  <c r="J182" i="39" s="1"/>
  <c r="I182" i="25" s="1"/>
  <c r="E91" i="39"/>
  <c r="G91" i="39" s="1"/>
  <c r="H91" i="39" s="1"/>
  <c r="I91" i="39" s="1"/>
  <c r="J91" i="39" s="1"/>
  <c r="I91" i="25" s="1"/>
  <c r="E91" i="12"/>
  <c r="G91" i="12" s="1"/>
  <c r="H91" i="12" s="1"/>
  <c r="E292" i="12"/>
  <c r="G292" i="12" s="1"/>
  <c r="H292" i="12" s="1"/>
  <c r="E292" i="39"/>
  <c r="G292" i="39" s="1"/>
  <c r="H292" i="39" s="1"/>
  <c r="I292" i="39" s="1"/>
  <c r="J292" i="39" s="1"/>
  <c r="I292" i="25" s="1"/>
  <c r="E256" i="12"/>
  <c r="G256" i="12" s="1"/>
  <c r="H256" i="12" s="1"/>
  <c r="E256" i="39"/>
  <c r="G256" i="39" s="1"/>
  <c r="H256" i="39" s="1"/>
  <c r="I256" i="39" s="1"/>
  <c r="J256" i="39" s="1"/>
  <c r="I256" i="25" s="1"/>
  <c r="E300" i="12"/>
  <c r="G300" i="12" s="1"/>
  <c r="H300" i="12" s="1"/>
  <c r="E300" i="39"/>
  <c r="G300" i="39" s="1"/>
  <c r="H300" i="39" s="1"/>
  <c r="I300" i="39" s="1"/>
  <c r="J300" i="39" s="1"/>
  <c r="I300" i="25" s="1"/>
  <c r="E19" i="39"/>
  <c r="G19" i="39" s="1"/>
  <c r="H19" i="39" s="1"/>
  <c r="I19" i="39" s="1"/>
  <c r="J19" i="39" s="1"/>
  <c r="I19" i="25" s="1"/>
  <c r="E19" i="12"/>
  <c r="G19" i="12" s="1"/>
  <c r="H19" i="12" s="1"/>
  <c r="E64" i="39"/>
  <c r="G64" i="39" s="1"/>
  <c r="H64" i="39" s="1"/>
  <c r="I64" i="39" s="1"/>
  <c r="J64" i="39" s="1"/>
  <c r="I64" i="25" s="1"/>
  <c r="E64" i="12"/>
  <c r="G64" i="12" s="1"/>
  <c r="H64" i="12" s="1"/>
  <c r="E23" i="39"/>
  <c r="G23" i="39" s="1"/>
  <c r="H23" i="39" s="1"/>
  <c r="I23" i="39" s="1"/>
  <c r="J23" i="39" s="1"/>
  <c r="I23" i="25" s="1"/>
  <c r="E23" i="12"/>
  <c r="G23" i="12" s="1"/>
  <c r="H23" i="12" s="1"/>
  <c r="E134" i="39"/>
  <c r="G134" i="39" s="1"/>
  <c r="H134" i="39" s="1"/>
  <c r="I134" i="39" s="1"/>
  <c r="J134" i="39" s="1"/>
  <c r="I134" i="25" s="1"/>
  <c r="E134" i="12"/>
  <c r="G134" i="12" s="1"/>
  <c r="H134" i="12" s="1"/>
  <c r="E92" i="12"/>
  <c r="G92" i="12" s="1"/>
  <c r="H92" i="12" s="1"/>
  <c r="E92" i="39"/>
  <c r="G92" i="39" s="1"/>
  <c r="H92" i="39" s="1"/>
  <c r="I92" i="39" s="1"/>
  <c r="J92" i="39" s="1"/>
  <c r="I92" i="25" s="1"/>
  <c r="E183" i="39"/>
  <c r="G183" i="39" s="1"/>
  <c r="H183" i="39" s="1"/>
  <c r="I183" i="39" s="1"/>
  <c r="J183" i="39" s="1"/>
  <c r="I183" i="25" s="1"/>
  <c r="E183" i="12"/>
  <c r="G183" i="12" s="1"/>
  <c r="H183" i="12" s="1"/>
  <c r="E154" i="12"/>
  <c r="G154" i="12" s="1"/>
  <c r="H154" i="12" s="1"/>
  <c r="E154" i="39"/>
  <c r="G154" i="39" s="1"/>
  <c r="H154" i="39" s="1"/>
  <c r="I154" i="39" s="1"/>
  <c r="J154" i="39" s="1"/>
  <c r="I154" i="25" s="1"/>
  <c r="E218" i="39"/>
  <c r="G218" i="39" s="1"/>
  <c r="H218" i="39" s="1"/>
  <c r="I218" i="39" s="1"/>
  <c r="J218" i="39" s="1"/>
  <c r="I218" i="25" s="1"/>
  <c r="E218" i="12"/>
  <c r="G218" i="12" s="1"/>
  <c r="H218" i="12" s="1"/>
  <c r="E133" i="39"/>
  <c r="G133" i="39" s="1"/>
  <c r="H133" i="39" s="1"/>
  <c r="I133" i="39" s="1"/>
  <c r="J133" i="39" s="1"/>
  <c r="I133" i="25" s="1"/>
  <c r="E133" i="12"/>
  <c r="G133" i="12" s="1"/>
  <c r="H133" i="12" s="1"/>
  <c r="E243" i="39"/>
  <c r="G243" i="39" s="1"/>
  <c r="H243" i="39" s="1"/>
  <c r="I243" i="39" s="1"/>
  <c r="J243" i="39" s="1"/>
  <c r="I243" i="25" s="1"/>
  <c r="E243" i="12"/>
  <c r="G243" i="12" s="1"/>
  <c r="H243" i="12" s="1"/>
  <c r="E297" i="39"/>
  <c r="G297" i="39" s="1"/>
  <c r="H297" i="39" s="1"/>
  <c r="I297" i="39" s="1"/>
  <c r="J297" i="39" s="1"/>
  <c r="I297" i="25" s="1"/>
  <c r="E297" i="12"/>
  <c r="G297" i="12" s="1"/>
  <c r="H297" i="12" s="1"/>
  <c r="E310" i="39"/>
  <c r="G310" i="39" s="1"/>
  <c r="H310" i="39" s="1"/>
  <c r="I310" i="39" s="1"/>
  <c r="J310" i="39" s="1"/>
  <c r="I310" i="25" s="1"/>
  <c r="E310" i="12"/>
  <c r="G310" i="12" s="1"/>
  <c r="H310" i="12" s="1"/>
  <c r="E306" i="39"/>
  <c r="G306" i="39" s="1"/>
  <c r="H306" i="39" s="1"/>
  <c r="I306" i="39" s="1"/>
  <c r="J306" i="39" s="1"/>
  <c r="I306" i="25" s="1"/>
  <c r="E306" i="12"/>
  <c r="G306" i="12" s="1"/>
  <c r="H306" i="12" s="1"/>
  <c r="E278" i="39"/>
  <c r="G278" i="39" s="1"/>
  <c r="H278" i="39" s="1"/>
  <c r="I278" i="39" s="1"/>
  <c r="J278" i="39" s="1"/>
  <c r="I278" i="25" s="1"/>
  <c r="E278" i="12"/>
  <c r="G278" i="12" s="1"/>
  <c r="H278" i="12" s="1"/>
  <c r="E262" i="39"/>
  <c r="G262" i="39" s="1"/>
  <c r="H262" i="39" s="1"/>
  <c r="I262" i="39" s="1"/>
  <c r="J262" i="39" s="1"/>
  <c r="I262" i="25" s="1"/>
  <c r="E262" i="12"/>
  <c r="G262" i="12" s="1"/>
  <c r="H262" i="12" s="1"/>
  <c r="E246" i="12"/>
  <c r="G246" i="12" s="1"/>
  <c r="H246" i="12" s="1"/>
  <c r="E246" i="39"/>
  <c r="G246" i="39" s="1"/>
  <c r="H246" i="39" s="1"/>
  <c r="I246" i="39" s="1"/>
  <c r="J246" i="39" s="1"/>
  <c r="I246" i="25" s="1"/>
  <c r="E229" i="39"/>
  <c r="G229" i="39" s="1"/>
  <c r="H229" i="39" s="1"/>
  <c r="I229" i="39" s="1"/>
  <c r="J229" i="39" s="1"/>
  <c r="I229" i="25" s="1"/>
  <c r="E229" i="12"/>
  <c r="G229" i="12" s="1"/>
  <c r="H229" i="12" s="1"/>
  <c r="E257" i="39"/>
  <c r="G257" i="39" s="1"/>
  <c r="H257" i="39" s="1"/>
  <c r="I257" i="39" s="1"/>
  <c r="J257" i="39" s="1"/>
  <c r="I257" i="25" s="1"/>
  <c r="E257" i="12"/>
  <c r="G257" i="12" s="1"/>
  <c r="H257" i="12" s="1"/>
  <c r="E241" i="39"/>
  <c r="G241" i="39" s="1"/>
  <c r="H241" i="39" s="1"/>
  <c r="I241" i="39" s="1"/>
  <c r="J241" i="39" s="1"/>
  <c r="I241" i="25" s="1"/>
  <c r="E241" i="12"/>
  <c r="G241" i="12" s="1"/>
  <c r="H241" i="12" s="1"/>
  <c r="E209" i="39"/>
  <c r="G209" i="39" s="1"/>
  <c r="H209" i="39" s="1"/>
  <c r="I209" i="39" s="1"/>
  <c r="J209" i="39" s="1"/>
  <c r="I209" i="25" s="1"/>
  <c r="E209" i="12"/>
  <c r="G209" i="12" s="1"/>
  <c r="H209" i="12" s="1"/>
  <c r="E193" i="39"/>
  <c r="G193" i="39" s="1"/>
  <c r="H193" i="39" s="1"/>
  <c r="I193" i="39" s="1"/>
  <c r="J193" i="39" s="1"/>
  <c r="I193" i="25" s="1"/>
  <c r="E193" i="12"/>
  <c r="G193" i="12" s="1"/>
  <c r="H193" i="12" s="1"/>
  <c r="E177" i="39"/>
  <c r="G177" i="39" s="1"/>
  <c r="H177" i="39" s="1"/>
  <c r="I177" i="39" s="1"/>
  <c r="J177" i="39" s="1"/>
  <c r="I177" i="25" s="1"/>
  <c r="E177" i="12"/>
  <c r="G177" i="12" s="1"/>
  <c r="H177" i="12" s="1"/>
  <c r="E161" i="39"/>
  <c r="G161" i="39" s="1"/>
  <c r="H161" i="39" s="1"/>
  <c r="I161" i="39" s="1"/>
  <c r="J161" i="39" s="1"/>
  <c r="I161" i="25" s="1"/>
  <c r="E161" i="12"/>
  <c r="G161" i="12" s="1"/>
  <c r="H161" i="12" s="1"/>
  <c r="E145" i="39"/>
  <c r="G145" i="39" s="1"/>
  <c r="H145" i="39" s="1"/>
  <c r="I145" i="39" s="1"/>
  <c r="J145" i="39" s="1"/>
  <c r="I145" i="25" s="1"/>
  <c r="E145" i="12"/>
  <c r="G145" i="12" s="1"/>
  <c r="H145" i="12" s="1"/>
  <c r="E240" i="12"/>
  <c r="G240" i="12" s="1"/>
  <c r="H240" i="12" s="1"/>
  <c r="E240" i="39"/>
  <c r="G240" i="39" s="1"/>
  <c r="H240" i="39" s="1"/>
  <c r="I240" i="39" s="1"/>
  <c r="J240" i="39" s="1"/>
  <c r="I240" i="25" s="1"/>
  <c r="E303" i="39"/>
  <c r="G303" i="39" s="1"/>
  <c r="H303" i="39" s="1"/>
  <c r="I303" i="39" s="1"/>
  <c r="J303" i="39" s="1"/>
  <c r="I303" i="25" s="1"/>
  <c r="E303" i="12"/>
  <c r="G303" i="12" s="1"/>
  <c r="H303" i="12" s="1"/>
  <c r="E287" i="39"/>
  <c r="G287" i="39" s="1"/>
  <c r="H287" i="39" s="1"/>
  <c r="I287" i="39" s="1"/>
  <c r="J287" i="39" s="1"/>
  <c r="I287" i="25" s="1"/>
  <c r="E287" i="12"/>
  <c r="G287" i="12" s="1"/>
  <c r="H287" i="12" s="1"/>
  <c r="E271" i="39"/>
  <c r="G271" i="39" s="1"/>
  <c r="H271" i="39" s="1"/>
  <c r="I271" i="39" s="1"/>
  <c r="J271" i="39" s="1"/>
  <c r="I271" i="25" s="1"/>
  <c r="E271" i="12"/>
  <c r="G271" i="12" s="1"/>
  <c r="H271" i="12" s="1"/>
  <c r="E217" i="39"/>
  <c r="G217" i="39" s="1"/>
  <c r="H217" i="39" s="1"/>
  <c r="I217" i="39" s="1"/>
  <c r="J217" i="39" s="1"/>
  <c r="I217" i="25" s="1"/>
  <c r="E217" i="12"/>
  <c r="G217" i="12" s="1"/>
  <c r="H217" i="12" s="1"/>
  <c r="E216" i="12"/>
  <c r="G216" i="12" s="1"/>
  <c r="H216" i="12" s="1"/>
  <c r="E216" i="39"/>
  <c r="G216" i="39" s="1"/>
  <c r="H216" i="39" s="1"/>
  <c r="I216" i="39" s="1"/>
  <c r="J216" i="39" s="1"/>
  <c r="I216" i="25" s="1"/>
  <c r="E200" i="39"/>
  <c r="G200" i="39" s="1"/>
  <c r="H200" i="39" s="1"/>
  <c r="I200" i="39" s="1"/>
  <c r="J200" i="39" s="1"/>
  <c r="I200" i="25" s="1"/>
  <c r="E200" i="12"/>
  <c r="G200" i="12" s="1"/>
  <c r="H200" i="12" s="1"/>
  <c r="E184" i="39"/>
  <c r="G184" i="39" s="1"/>
  <c r="H184" i="39" s="1"/>
  <c r="I184" i="39" s="1"/>
  <c r="J184" i="39" s="1"/>
  <c r="I184" i="25" s="1"/>
  <c r="E184" i="12"/>
  <c r="G184" i="12" s="1"/>
  <c r="H184" i="12" s="1"/>
  <c r="E168" i="39"/>
  <c r="G168" i="39" s="1"/>
  <c r="H168" i="39" s="1"/>
  <c r="I168" i="39" s="1"/>
  <c r="J168" i="39" s="1"/>
  <c r="I168" i="25" s="1"/>
  <c r="E168" i="12"/>
  <c r="G168" i="12" s="1"/>
  <c r="H168" i="12" s="1"/>
  <c r="E152" i="39"/>
  <c r="G152" i="39" s="1"/>
  <c r="H152" i="39" s="1"/>
  <c r="I152" i="39" s="1"/>
  <c r="J152" i="39" s="1"/>
  <c r="I152" i="25" s="1"/>
  <c r="E152" i="12"/>
  <c r="G152" i="12" s="1"/>
  <c r="H152" i="12" s="1"/>
  <c r="E139" i="12"/>
  <c r="G139" i="12" s="1"/>
  <c r="H139" i="12" s="1"/>
  <c r="E139" i="39"/>
  <c r="G139" i="39" s="1"/>
  <c r="H139" i="39" s="1"/>
  <c r="I139" i="39" s="1"/>
  <c r="J139" i="39" s="1"/>
  <c r="I139" i="25" s="1"/>
  <c r="E121" i="12"/>
  <c r="G121" i="12" s="1"/>
  <c r="H121" i="12" s="1"/>
  <c r="E121" i="39"/>
  <c r="G121" i="39" s="1"/>
  <c r="H121" i="39" s="1"/>
  <c r="I121" i="39" s="1"/>
  <c r="J121" i="39" s="1"/>
  <c r="I121" i="25" s="1"/>
  <c r="E93" i="39"/>
  <c r="G93" i="39" s="1"/>
  <c r="H93" i="39" s="1"/>
  <c r="I93" i="39" s="1"/>
  <c r="J93" i="39" s="1"/>
  <c r="I93" i="25" s="1"/>
  <c r="E93" i="12"/>
  <c r="G93" i="12" s="1"/>
  <c r="H93" i="12" s="1"/>
  <c r="E61" i="39"/>
  <c r="G61" i="39" s="1"/>
  <c r="H61" i="39" s="1"/>
  <c r="I61" i="39" s="1"/>
  <c r="J61" i="39" s="1"/>
  <c r="I61" i="25" s="1"/>
  <c r="E61" i="12"/>
  <c r="G61" i="12" s="1"/>
  <c r="H61" i="12" s="1"/>
  <c r="E29" i="12"/>
  <c r="G29" i="12" s="1"/>
  <c r="H29" i="12" s="1"/>
  <c r="E29" i="39"/>
  <c r="G29" i="39" s="1"/>
  <c r="H29" i="39" s="1"/>
  <c r="I29" i="39" s="1"/>
  <c r="J29" i="39" s="1"/>
  <c r="I29" i="25" s="1"/>
  <c r="E110" i="39"/>
  <c r="G110" i="39" s="1"/>
  <c r="H110" i="39" s="1"/>
  <c r="I110" i="39" s="1"/>
  <c r="J110" i="39" s="1"/>
  <c r="I110" i="25" s="1"/>
  <c r="E110" i="12"/>
  <c r="G110" i="12" s="1"/>
  <c r="H110" i="12" s="1"/>
  <c r="E78" i="39"/>
  <c r="G78" i="39" s="1"/>
  <c r="H78" i="39" s="1"/>
  <c r="I78" i="39" s="1"/>
  <c r="J78" i="39" s="1"/>
  <c r="I78" i="25" s="1"/>
  <c r="E78" i="12"/>
  <c r="G78" i="12" s="1"/>
  <c r="H78" i="12" s="1"/>
  <c r="E46" i="39"/>
  <c r="G46" i="39" s="1"/>
  <c r="H46" i="39" s="1"/>
  <c r="I46" i="39" s="1"/>
  <c r="J46" i="39" s="1"/>
  <c r="I46" i="25" s="1"/>
  <c r="E46" i="12"/>
  <c r="G46" i="12" s="1"/>
  <c r="H46" i="12" s="1"/>
  <c r="E132" i="39"/>
  <c r="G132" i="39" s="1"/>
  <c r="H132" i="39" s="1"/>
  <c r="I132" i="39" s="1"/>
  <c r="J132" i="39" s="1"/>
  <c r="I132" i="25" s="1"/>
  <c r="E132" i="12"/>
  <c r="G132" i="12" s="1"/>
  <c r="H132" i="12" s="1"/>
  <c r="E106" i="39"/>
  <c r="G106" i="39" s="1"/>
  <c r="H106" i="39" s="1"/>
  <c r="I106" i="39" s="1"/>
  <c r="J106" i="39" s="1"/>
  <c r="I106" i="25" s="1"/>
  <c r="E106" i="12"/>
  <c r="G106" i="12" s="1"/>
  <c r="H106" i="12" s="1"/>
  <c r="E74" i="39"/>
  <c r="G74" i="39" s="1"/>
  <c r="H74" i="39" s="1"/>
  <c r="I74" i="39" s="1"/>
  <c r="J74" i="39" s="1"/>
  <c r="I74" i="25" s="1"/>
  <c r="E74" i="12"/>
  <c r="G74" i="12" s="1"/>
  <c r="H74" i="12" s="1"/>
  <c r="E42" i="39"/>
  <c r="G42" i="39" s="1"/>
  <c r="H42" i="39" s="1"/>
  <c r="I42" i="39" s="1"/>
  <c r="J42" i="39" s="1"/>
  <c r="I42" i="25" s="1"/>
  <c r="E42" i="12"/>
  <c r="G42" i="12" s="1"/>
  <c r="H42" i="12" s="1"/>
  <c r="E26" i="39"/>
  <c r="G26" i="39" s="1"/>
  <c r="H26" i="39" s="1"/>
  <c r="I26" i="39" s="1"/>
  <c r="J26" i="39" s="1"/>
  <c r="I26" i="25" s="1"/>
  <c r="E26" i="12"/>
  <c r="G26" i="12" s="1"/>
  <c r="H26" i="12" s="1"/>
  <c r="E223" i="39"/>
  <c r="G223" i="39" s="1"/>
  <c r="H223" i="39" s="1"/>
  <c r="I223" i="39" s="1"/>
  <c r="J223" i="39" s="1"/>
  <c r="I223" i="25" s="1"/>
  <c r="E223" i="12"/>
  <c r="G223" i="12" s="1"/>
  <c r="H223" i="12" s="1"/>
  <c r="E308" i="12"/>
  <c r="G308" i="12" s="1"/>
  <c r="H308" i="12" s="1"/>
  <c r="E308" i="39"/>
  <c r="G308" i="39" s="1"/>
  <c r="H308" i="39" s="1"/>
  <c r="I308" i="39" s="1"/>
  <c r="J308" i="39" s="1"/>
  <c r="I308" i="25" s="1"/>
  <c r="E143" i="12"/>
  <c r="G143" i="12" s="1"/>
  <c r="H143" i="12" s="1"/>
  <c r="E143" i="39"/>
  <c r="G143" i="39" s="1"/>
  <c r="H143" i="39" s="1"/>
  <c r="I143" i="39" s="1"/>
  <c r="J143" i="39" s="1"/>
  <c r="I143" i="25" s="1"/>
  <c r="E83" i="39"/>
  <c r="G83" i="39" s="1"/>
  <c r="H83" i="39" s="1"/>
  <c r="I83" i="39" s="1"/>
  <c r="J83" i="39" s="1"/>
  <c r="I83" i="25" s="1"/>
  <c r="E83" i="12"/>
  <c r="G83" i="12" s="1"/>
  <c r="H83" i="12" s="1"/>
  <c r="E285" i="39"/>
  <c r="G285" i="39" s="1"/>
  <c r="H285" i="39" s="1"/>
  <c r="I285" i="39" s="1"/>
  <c r="J285" i="39" s="1"/>
  <c r="I285" i="25" s="1"/>
  <c r="E285" i="12"/>
  <c r="G285" i="12" s="1"/>
  <c r="H285" i="12" s="1"/>
  <c r="E251" i="39"/>
  <c r="G251" i="39" s="1"/>
  <c r="H251" i="39" s="1"/>
  <c r="I251" i="39" s="1"/>
  <c r="J251" i="39" s="1"/>
  <c r="I251" i="25" s="1"/>
  <c r="E251" i="12"/>
  <c r="G251" i="12" s="1"/>
  <c r="H251" i="12" s="1"/>
  <c r="E293" i="39"/>
  <c r="G293" i="39" s="1"/>
  <c r="H293" i="39" s="1"/>
  <c r="I293" i="39" s="1"/>
  <c r="J293" i="39" s="1"/>
  <c r="I293" i="25" s="1"/>
  <c r="E293" i="12"/>
  <c r="G293" i="12" s="1"/>
  <c r="H293" i="12" s="1"/>
  <c r="E171" i="39"/>
  <c r="G171" i="39" s="1"/>
  <c r="H171" i="39" s="1"/>
  <c r="I171" i="39" s="1"/>
  <c r="J171" i="39" s="1"/>
  <c r="I171" i="25" s="1"/>
  <c r="E171" i="12"/>
  <c r="G171" i="12" s="1"/>
  <c r="H171" i="12" s="1"/>
  <c r="E190" i="12"/>
  <c r="G190" i="12" s="1"/>
  <c r="H190" i="12" s="1"/>
  <c r="E190" i="39"/>
  <c r="G190" i="39" s="1"/>
  <c r="H190" i="39" s="1"/>
  <c r="I190" i="39" s="1"/>
  <c r="J190" i="39" s="1"/>
  <c r="I190" i="25" s="1"/>
  <c r="E233" i="39"/>
  <c r="G233" i="39" s="1"/>
  <c r="H233" i="39" s="1"/>
  <c r="I233" i="39" s="1"/>
  <c r="J233" i="39" s="1"/>
  <c r="I233" i="25" s="1"/>
  <c r="E233" i="12"/>
  <c r="G233" i="12" s="1"/>
  <c r="H233" i="12" s="1"/>
  <c r="E255" i="39"/>
  <c r="G255" i="39" s="1"/>
  <c r="H255" i="39" s="1"/>
  <c r="I255" i="39" s="1"/>
  <c r="J255" i="39" s="1"/>
  <c r="I255" i="25" s="1"/>
  <c r="E255" i="12"/>
  <c r="G255" i="12" s="1"/>
  <c r="H255" i="12" s="1"/>
  <c r="E79" i="39"/>
  <c r="G79" i="39" s="1"/>
  <c r="H79" i="39" s="1"/>
  <c r="I79" i="39" s="1"/>
  <c r="J79" i="39" s="1"/>
  <c r="I79" i="25" s="1"/>
  <c r="E79" i="12"/>
  <c r="G79" i="12" s="1"/>
  <c r="H79" i="12" s="1"/>
  <c r="E84" i="12"/>
  <c r="G84" i="12" s="1"/>
  <c r="H84" i="12" s="1"/>
  <c r="E84" i="39"/>
  <c r="G84" i="39" s="1"/>
  <c r="H84" i="39" s="1"/>
  <c r="I84" i="39" s="1"/>
  <c r="J84" i="39" s="1"/>
  <c r="I84" i="25" s="1"/>
  <c r="E179" i="39"/>
  <c r="G179" i="39" s="1"/>
  <c r="H179" i="39" s="1"/>
  <c r="I179" i="39" s="1"/>
  <c r="J179" i="39" s="1"/>
  <c r="I179" i="25" s="1"/>
  <c r="E179" i="12"/>
  <c r="G179" i="12" s="1"/>
  <c r="H179" i="12" s="1"/>
  <c r="E226" i="39"/>
  <c r="G226" i="39" s="1"/>
  <c r="H226" i="39" s="1"/>
  <c r="I226" i="39" s="1"/>
  <c r="J226" i="39" s="1"/>
  <c r="I226" i="25" s="1"/>
  <c r="E226" i="12"/>
  <c r="G226" i="12" s="1"/>
  <c r="H226" i="12" s="1"/>
  <c r="E198" i="12"/>
  <c r="G198" i="12" s="1"/>
  <c r="H198" i="12" s="1"/>
  <c r="E198" i="39"/>
  <c r="G198" i="39" s="1"/>
  <c r="H198" i="39" s="1"/>
  <c r="I198" i="39" s="1"/>
  <c r="J198" i="39" s="1"/>
  <c r="I198" i="25" s="1"/>
  <c r="E129" i="12"/>
  <c r="G129" i="12" s="1"/>
  <c r="H129" i="12" s="1"/>
  <c r="E129" i="39"/>
  <c r="G129" i="39" s="1"/>
  <c r="H129" i="39" s="1"/>
  <c r="I129" i="39" s="1"/>
  <c r="J129" i="39" s="1"/>
  <c r="I129" i="25" s="1"/>
  <c r="E239" i="39"/>
  <c r="G239" i="39" s="1"/>
  <c r="H239" i="39" s="1"/>
  <c r="I239" i="39" s="1"/>
  <c r="J239" i="39" s="1"/>
  <c r="I239" i="25" s="1"/>
  <c r="E239" i="12"/>
  <c r="G239" i="12" s="1"/>
  <c r="H239" i="12" s="1"/>
  <c r="E288" i="12"/>
  <c r="G288" i="12" s="1"/>
  <c r="H288" i="12" s="1"/>
  <c r="E288" i="39"/>
  <c r="G288" i="39" s="1"/>
  <c r="H288" i="39" s="1"/>
  <c r="I288" i="39" s="1"/>
  <c r="J288" i="39" s="1"/>
  <c r="I288" i="25" s="1"/>
  <c r="E27" i="39"/>
  <c r="G27" i="39" s="1"/>
  <c r="H27" i="39" s="1"/>
  <c r="I27" i="39" s="1"/>
  <c r="J27" i="39" s="1"/>
  <c r="I27" i="25" s="1"/>
  <c r="E27" i="12"/>
  <c r="G27" i="12" s="1"/>
  <c r="H27" i="12" s="1"/>
  <c r="E16" i="12"/>
  <c r="G16" i="12" s="1"/>
  <c r="H16" i="12" s="1"/>
  <c r="E16" i="39"/>
  <c r="G16" i="39" s="1"/>
  <c r="H16" i="39" s="1"/>
  <c r="I16" i="39" s="1"/>
  <c r="J16" i="39" s="1"/>
  <c r="I16" i="25" s="1"/>
  <c r="E80" i="12"/>
  <c r="G80" i="12" s="1"/>
  <c r="H80" i="12" s="1"/>
  <c r="E80" i="39"/>
  <c r="G80" i="39" s="1"/>
  <c r="H80" i="39" s="1"/>
  <c r="I80" i="39" s="1"/>
  <c r="J80" i="39" s="1"/>
  <c r="I80" i="25" s="1"/>
  <c r="E55" i="39"/>
  <c r="G55" i="39" s="1"/>
  <c r="H55" i="39" s="1"/>
  <c r="I55" i="39" s="1"/>
  <c r="J55" i="39" s="1"/>
  <c r="I55" i="25" s="1"/>
  <c r="E55" i="12"/>
  <c r="G55" i="12" s="1"/>
  <c r="H55" i="12" s="1"/>
  <c r="E122" i="39"/>
  <c r="G122" i="39" s="1"/>
  <c r="H122" i="39" s="1"/>
  <c r="I122" i="39" s="1"/>
  <c r="J122" i="39" s="1"/>
  <c r="I122" i="25" s="1"/>
  <c r="E122" i="12"/>
  <c r="G122" i="12" s="1"/>
  <c r="H122" i="12" s="1"/>
  <c r="E126" i="39"/>
  <c r="G126" i="39" s="1"/>
  <c r="H126" i="39" s="1"/>
  <c r="I126" i="39" s="1"/>
  <c r="J126" i="39" s="1"/>
  <c r="I126" i="25" s="1"/>
  <c r="E126" i="12"/>
  <c r="G126" i="12" s="1"/>
  <c r="H126" i="12" s="1"/>
  <c r="E199" i="39"/>
  <c r="G199" i="39" s="1"/>
  <c r="H199" i="39" s="1"/>
  <c r="I199" i="39" s="1"/>
  <c r="J199" i="39" s="1"/>
  <c r="I199" i="25" s="1"/>
  <c r="E199" i="12"/>
  <c r="G199" i="12" s="1"/>
  <c r="H199" i="12" s="1"/>
  <c r="E170" i="12"/>
  <c r="G170" i="12" s="1"/>
  <c r="H170" i="12" s="1"/>
  <c r="E170" i="39"/>
  <c r="G170" i="39" s="1"/>
  <c r="H170" i="39" s="1"/>
  <c r="I170" i="39" s="1"/>
  <c r="J170" i="39" s="1"/>
  <c r="I170" i="25" s="1"/>
  <c r="E35" i="39"/>
  <c r="G35" i="39" s="1"/>
  <c r="H35" i="39" s="1"/>
  <c r="I35" i="39" s="1"/>
  <c r="J35" i="39" s="1"/>
  <c r="I35" i="25" s="1"/>
  <c r="E35" i="12"/>
  <c r="G35" i="12" s="1"/>
  <c r="H35" i="12" s="1"/>
  <c r="E234" i="12"/>
  <c r="G234" i="12" s="1"/>
  <c r="H234" i="12" s="1"/>
  <c r="E234" i="39"/>
  <c r="G234" i="39" s="1"/>
  <c r="H234" i="39" s="1"/>
  <c r="I234" i="39" s="1"/>
  <c r="J234" i="39" s="1"/>
  <c r="I234" i="25" s="1"/>
  <c r="E273" i="39"/>
  <c r="G273" i="39" s="1"/>
  <c r="H273" i="39" s="1"/>
  <c r="I273" i="39" s="1"/>
  <c r="J273" i="39" s="1"/>
  <c r="I273" i="25" s="1"/>
  <c r="E273" i="12"/>
  <c r="G273" i="12" s="1"/>
  <c r="H273" i="12" s="1"/>
  <c r="E244" i="12"/>
  <c r="G244" i="12" s="1"/>
  <c r="H244" i="12" s="1"/>
  <c r="E244" i="39"/>
  <c r="G244" i="39" s="1"/>
  <c r="H244" i="39" s="1"/>
  <c r="I244" i="39" s="1"/>
  <c r="J244" i="39" s="1"/>
  <c r="I244" i="25" s="1"/>
  <c r="E294" i="39"/>
  <c r="G294" i="39" s="1"/>
  <c r="H294" i="39" s="1"/>
  <c r="I294" i="39" s="1"/>
  <c r="J294" i="39" s="1"/>
  <c r="I294" i="25" s="1"/>
  <c r="E294" i="12"/>
  <c r="G294" i="12" s="1"/>
  <c r="H294" i="12" s="1"/>
  <c r="E290" i="39"/>
  <c r="G290" i="39" s="1"/>
  <c r="H290" i="39" s="1"/>
  <c r="I290" i="39" s="1"/>
  <c r="J290" i="39" s="1"/>
  <c r="I290" i="25" s="1"/>
  <c r="E290" i="12"/>
  <c r="G290" i="12" s="1"/>
  <c r="H290" i="12" s="1"/>
  <c r="E274" i="39"/>
  <c r="G274" i="39" s="1"/>
  <c r="H274" i="39" s="1"/>
  <c r="I274" i="39" s="1"/>
  <c r="J274" i="39" s="1"/>
  <c r="I274" i="25" s="1"/>
  <c r="E274" i="12"/>
  <c r="G274" i="12" s="1"/>
  <c r="H274" i="12" s="1"/>
  <c r="E258" i="12"/>
  <c r="G258" i="12" s="1"/>
  <c r="H258" i="12" s="1"/>
  <c r="E258" i="39"/>
  <c r="G258" i="39" s="1"/>
  <c r="H258" i="39" s="1"/>
  <c r="I258" i="39" s="1"/>
  <c r="J258" i="39" s="1"/>
  <c r="I258" i="25" s="1"/>
  <c r="E242" i="12"/>
  <c r="G242" i="12" s="1"/>
  <c r="H242" i="12" s="1"/>
  <c r="E242" i="39"/>
  <c r="G242" i="39" s="1"/>
  <c r="H242" i="39" s="1"/>
  <c r="I242" i="39" s="1"/>
  <c r="J242" i="39" s="1"/>
  <c r="I242" i="25" s="1"/>
  <c r="E221" i="39"/>
  <c r="G221" i="39" s="1"/>
  <c r="H221" i="39" s="1"/>
  <c r="I221" i="39" s="1"/>
  <c r="J221" i="39" s="1"/>
  <c r="I221" i="25" s="1"/>
  <c r="E221" i="12"/>
  <c r="G221" i="12" s="1"/>
  <c r="H221" i="12" s="1"/>
  <c r="E253" i="39"/>
  <c r="G253" i="39" s="1"/>
  <c r="H253" i="39" s="1"/>
  <c r="I253" i="39" s="1"/>
  <c r="J253" i="39" s="1"/>
  <c r="I253" i="25" s="1"/>
  <c r="E253" i="12"/>
  <c r="G253" i="12" s="1"/>
  <c r="H253" i="12" s="1"/>
  <c r="E228" i="12"/>
  <c r="G228" i="12" s="1"/>
  <c r="H228" i="12" s="1"/>
  <c r="E228" i="39"/>
  <c r="G228" i="39" s="1"/>
  <c r="H228" i="39" s="1"/>
  <c r="I228" i="39" s="1"/>
  <c r="J228" i="39" s="1"/>
  <c r="I228" i="25" s="1"/>
  <c r="E205" i="39"/>
  <c r="G205" i="39" s="1"/>
  <c r="H205" i="39" s="1"/>
  <c r="I205" i="39" s="1"/>
  <c r="J205" i="39" s="1"/>
  <c r="I205" i="25" s="1"/>
  <c r="E205" i="12"/>
  <c r="G205" i="12" s="1"/>
  <c r="H205" i="12" s="1"/>
  <c r="E189" i="39"/>
  <c r="G189" i="39" s="1"/>
  <c r="H189" i="39" s="1"/>
  <c r="I189" i="39" s="1"/>
  <c r="J189" i="39" s="1"/>
  <c r="I189" i="25" s="1"/>
  <c r="E189" i="12"/>
  <c r="G189" i="12" s="1"/>
  <c r="H189" i="12" s="1"/>
  <c r="E173" i="39"/>
  <c r="G173" i="39" s="1"/>
  <c r="H173" i="39" s="1"/>
  <c r="I173" i="39" s="1"/>
  <c r="J173" i="39" s="1"/>
  <c r="I173" i="25" s="1"/>
  <c r="E173" i="12"/>
  <c r="G173" i="12" s="1"/>
  <c r="H173" i="12" s="1"/>
  <c r="E157" i="39"/>
  <c r="G157" i="39" s="1"/>
  <c r="H157" i="39" s="1"/>
  <c r="I157" i="39" s="1"/>
  <c r="J157" i="39" s="1"/>
  <c r="I157" i="25" s="1"/>
  <c r="E157" i="12"/>
  <c r="G157" i="12" s="1"/>
  <c r="H157" i="12" s="1"/>
  <c r="E141" i="39"/>
  <c r="G141" i="39" s="1"/>
  <c r="H141" i="39" s="1"/>
  <c r="I141" i="39" s="1"/>
  <c r="J141" i="39" s="1"/>
  <c r="I141" i="25" s="1"/>
  <c r="E141" i="12"/>
  <c r="G141" i="12" s="1"/>
  <c r="H141" i="12" s="1"/>
  <c r="E213" i="39"/>
  <c r="G213" i="39" s="1"/>
  <c r="H213" i="39" s="1"/>
  <c r="I213" i="39" s="1"/>
  <c r="J213" i="39" s="1"/>
  <c r="I213" i="25" s="1"/>
  <c r="E213" i="12"/>
  <c r="G213" i="12" s="1"/>
  <c r="H213" i="12" s="1"/>
  <c r="E299" i="39"/>
  <c r="G299" i="39" s="1"/>
  <c r="H299" i="39" s="1"/>
  <c r="I299" i="39" s="1"/>
  <c r="J299" i="39" s="1"/>
  <c r="I299" i="25" s="1"/>
  <c r="E299" i="12"/>
  <c r="G299" i="12" s="1"/>
  <c r="H299" i="12" s="1"/>
  <c r="E283" i="39"/>
  <c r="G283" i="39" s="1"/>
  <c r="H283" i="39" s="1"/>
  <c r="I283" i="39" s="1"/>
  <c r="J283" i="39" s="1"/>
  <c r="I283" i="25" s="1"/>
  <c r="E283" i="12"/>
  <c r="G283" i="12" s="1"/>
  <c r="H283" i="12" s="1"/>
  <c r="E267" i="39"/>
  <c r="G267" i="39" s="1"/>
  <c r="H267" i="39" s="1"/>
  <c r="I267" i="39" s="1"/>
  <c r="J267" i="39" s="1"/>
  <c r="I267" i="25" s="1"/>
  <c r="E267" i="12"/>
  <c r="G267" i="12" s="1"/>
  <c r="H267" i="12" s="1"/>
  <c r="E128" i="39"/>
  <c r="G128" i="39" s="1"/>
  <c r="H128" i="39" s="1"/>
  <c r="I128" i="39" s="1"/>
  <c r="J128" i="39" s="1"/>
  <c r="I128" i="25" s="1"/>
  <c r="E128" i="12"/>
  <c r="G128" i="12" s="1"/>
  <c r="H128" i="12" s="1"/>
  <c r="E212" i="12"/>
  <c r="G212" i="12" s="1"/>
  <c r="H212" i="12" s="1"/>
  <c r="E212" i="39"/>
  <c r="G212" i="39" s="1"/>
  <c r="H212" i="39" s="1"/>
  <c r="I212" i="39" s="1"/>
  <c r="J212" i="39" s="1"/>
  <c r="I212" i="25" s="1"/>
  <c r="E196" i="39"/>
  <c r="G196" i="39" s="1"/>
  <c r="H196" i="39" s="1"/>
  <c r="I196" i="39" s="1"/>
  <c r="J196" i="39" s="1"/>
  <c r="I196" i="25" s="1"/>
  <c r="E196" i="12"/>
  <c r="G196" i="12" s="1"/>
  <c r="H196" i="12" s="1"/>
  <c r="E180" i="39"/>
  <c r="G180" i="39" s="1"/>
  <c r="H180" i="39" s="1"/>
  <c r="I180" i="39" s="1"/>
  <c r="J180" i="39" s="1"/>
  <c r="I180" i="25" s="1"/>
  <c r="E180" i="12"/>
  <c r="G180" i="12" s="1"/>
  <c r="H180" i="12" s="1"/>
  <c r="E164" i="39"/>
  <c r="G164" i="39" s="1"/>
  <c r="H164" i="39" s="1"/>
  <c r="I164" i="39" s="1"/>
  <c r="J164" i="39" s="1"/>
  <c r="I164" i="25" s="1"/>
  <c r="E164" i="12"/>
  <c r="G164" i="12" s="1"/>
  <c r="H164" i="12" s="1"/>
  <c r="E148" i="39"/>
  <c r="G148" i="39" s="1"/>
  <c r="H148" i="39" s="1"/>
  <c r="I148" i="39" s="1"/>
  <c r="J148" i="39" s="1"/>
  <c r="I148" i="25" s="1"/>
  <c r="E148" i="12"/>
  <c r="G148" i="12" s="1"/>
  <c r="H148" i="12" s="1"/>
  <c r="E137" i="39"/>
  <c r="G137" i="39" s="1"/>
  <c r="H137" i="39" s="1"/>
  <c r="I137" i="39" s="1"/>
  <c r="J137" i="39" s="1"/>
  <c r="I137" i="25" s="1"/>
  <c r="E137" i="12"/>
  <c r="G137" i="12" s="1"/>
  <c r="H137" i="12" s="1"/>
  <c r="E117" i="12"/>
  <c r="G117" i="12" s="1"/>
  <c r="H117" i="12" s="1"/>
  <c r="E117" i="39"/>
  <c r="G117" i="39" s="1"/>
  <c r="H117" i="39" s="1"/>
  <c r="I117" i="39" s="1"/>
  <c r="J117" i="39" s="1"/>
  <c r="I117" i="25" s="1"/>
  <c r="E85" i="39"/>
  <c r="G85" i="39" s="1"/>
  <c r="H85" i="39" s="1"/>
  <c r="I85" i="39" s="1"/>
  <c r="J85" i="39" s="1"/>
  <c r="I85" i="25" s="1"/>
  <c r="E85" i="12"/>
  <c r="G85" i="12" s="1"/>
  <c r="H85" i="12" s="1"/>
  <c r="E53" i="12"/>
  <c r="G53" i="12" s="1"/>
  <c r="H53" i="12" s="1"/>
  <c r="E53" i="39"/>
  <c r="G53" i="39" s="1"/>
  <c r="H53" i="39" s="1"/>
  <c r="I53" i="39" s="1"/>
  <c r="J53" i="39" s="1"/>
  <c r="I53" i="25" s="1"/>
  <c r="E13" i="39"/>
  <c r="G13" i="39" s="1"/>
  <c r="H13" i="39" s="1"/>
  <c r="I13" i="39" s="1"/>
  <c r="J13" i="39" s="1"/>
  <c r="I13" i="25" s="1"/>
  <c r="E13" i="12"/>
  <c r="G13" i="12" s="1"/>
  <c r="H13" i="12" s="1"/>
  <c r="E102" i="39"/>
  <c r="G102" i="39" s="1"/>
  <c r="H102" i="39" s="1"/>
  <c r="I102" i="39" s="1"/>
  <c r="J102" i="39" s="1"/>
  <c r="I102" i="25" s="1"/>
  <c r="E102" i="12"/>
  <c r="G102" i="12" s="1"/>
  <c r="H102" i="12" s="1"/>
  <c r="E70" i="39"/>
  <c r="G70" i="39" s="1"/>
  <c r="H70" i="39" s="1"/>
  <c r="I70" i="39" s="1"/>
  <c r="J70" i="39" s="1"/>
  <c r="I70" i="25" s="1"/>
  <c r="E70" i="12"/>
  <c r="G70" i="12" s="1"/>
  <c r="H70" i="12" s="1"/>
  <c r="E38" i="39"/>
  <c r="G38" i="39" s="1"/>
  <c r="H38" i="39" s="1"/>
  <c r="I38" i="39" s="1"/>
  <c r="J38" i="39" s="1"/>
  <c r="I38" i="25" s="1"/>
  <c r="E38" i="12"/>
  <c r="G38" i="12" s="1"/>
  <c r="H38" i="12" s="1"/>
  <c r="E21" i="12"/>
  <c r="G21" i="12" s="1"/>
  <c r="H21" i="12" s="1"/>
  <c r="E21" i="39"/>
  <c r="G21" i="39" s="1"/>
  <c r="H21" i="39" s="1"/>
  <c r="I21" i="39" s="1"/>
  <c r="J21" i="39" s="1"/>
  <c r="I21" i="25" s="1"/>
  <c r="E105" i="12"/>
  <c r="G105" i="12" s="1"/>
  <c r="H105" i="12" s="1"/>
  <c r="E105" i="39"/>
  <c r="G105" i="39" s="1"/>
  <c r="H105" i="39" s="1"/>
  <c r="I105" i="39" s="1"/>
  <c r="J105" i="39" s="1"/>
  <c r="I105" i="25" s="1"/>
  <c r="E25" i="12"/>
  <c r="G25" i="12" s="1"/>
  <c r="H25" i="12" s="1"/>
  <c r="E25" i="39"/>
  <c r="G25" i="39" s="1"/>
  <c r="H25" i="39" s="1"/>
  <c r="I25" i="39" s="1"/>
  <c r="J25" i="39" s="1"/>
  <c r="I25" i="25" s="1"/>
  <c r="E9" i="39"/>
  <c r="G9" i="39" s="1"/>
  <c r="H9" i="39" s="1"/>
  <c r="I9" i="39" s="1"/>
  <c r="J9" i="39" s="1"/>
  <c r="I9" i="25" s="1"/>
  <c r="E9" i="12"/>
  <c r="G9" i="12" s="1"/>
  <c r="H9" i="12" s="1"/>
  <c r="G132" i="25"/>
  <c r="G37" i="25"/>
  <c r="G29" i="25"/>
  <c r="G296" i="25"/>
  <c r="G302" i="25"/>
  <c r="G258" i="25"/>
  <c r="G154" i="25"/>
  <c r="G70" i="25"/>
  <c r="G8" i="25"/>
  <c r="G181" i="25"/>
  <c r="I115" i="25"/>
  <c r="G115" i="25"/>
  <c r="G59" i="25"/>
  <c r="I36" i="25"/>
  <c r="G36" i="25"/>
  <c r="G300" i="25"/>
  <c r="G280" i="25"/>
  <c r="G223" i="25"/>
  <c r="G109" i="25"/>
  <c r="G49" i="25"/>
  <c r="G140" i="25"/>
  <c r="G297" i="25"/>
  <c r="G213" i="25"/>
  <c r="G32" i="25"/>
  <c r="G91" i="25"/>
  <c r="G68" i="25"/>
  <c r="G304" i="25"/>
  <c r="G299" i="25"/>
  <c r="G283" i="25"/>
  <c r="G250" i="25"/>
  <c r="I250" i="25"/>
  <c r="G146" i="25"/>
  <c r="G139" i="25"/>
  <c r="G184" i="25"/>
  <c r="G290" i="25"/>
  <c r="G185" i="25"/>
  <c r="G169" i="25"/>
  <c r="G119" i="25"/>
  <c r="G249" i="25"/>
  <c r="G60" i="25"/>
  <c r="G208" i="25"/>
  <c r="G35" i="25"/>
  <c r="G252" i="25"/>
  <c r="G55" i="25"/>
  <c r="G156" i="25"/>
  <c r="G289" i="25"/>
  <c r="I289" i="25"/>
  <c r="G216" i="25"/>
  <c r="G259" i="25"/>
  <c r="G191" i="25"/>
  <c r="G226" i="25"/>
  <c r="G209" i="25"/>
  <c r="G93" i="25"/>
  <c r="G122" i="25"/>
  <c r="G149" i="25"/>
  <c r="G14" i="25"/>
  <c r="G38" i="25"/>
  <c r="G88" i="25"/>
  <c r="G281" i="25"/>
  <c r="G292" i="25"/>
  <c r="G309" i="25"/>
  <c r="G278" i="25"/>
  <c r="F41" i="48"/>
  <c r="G11" i="25"/>
  <c r="G25" i="25"/>
  <c r="G276" i="25"/>
  <c r="G92" i="25"/>
  <c r="G257" i="25"/>
  <c r="G67" i="25"/>
  <c r="G233" i="25"/>
  <c r="G87" i="25"/>
  <c r="G180" i="25"/>
  <c r="G286" i="25"/>
  <c r="G212" i="25"/>
  <c r="G255" i="25"/>
  <c r="G187" i="25"/>
  <c r="G222" i="25"/>
  <c r="G205" i="25"/>
  <c r="G77" i="25"/>
  <c r="I114" i="25"/>
  <c r="G114" i="25"/>
  <c r="G145" i="25"/>
  <c r="G34" i="25"/>
  <c r="G256" i="25"/>
  <c r="G112" i="25"/>
  <c r="G47" i="25"/>
  <c r="G196" i="25"/>
  <c r="G262" i="25"/>
  <c r="G142" i="25"/>
  <c r="G84" i="25"/>
  <c r="G56" i="25"/>
  <c r="I203" i="25"/>
  <c r="G203" i="25"/>
  <c r="G120" i="25"/>
  <c r="G285" i="25"/>
  <c r="G103" i="25"/>
  <c r="G225" i="25"/>
  <c r="G12" i="25"/>
  <c r="G232" i="25"/>
  <c r="G313" i="25"/>
  <c r="G200" i="25"/>
  <c r="G251" i="25"/>
  <c r="G282" i="25"/>
  <c r="I282" i="25"/>
  <c r="G218" i="25"/>
  <c r="I201" i="25"/>
  <c r="G201" i="25"/>
  <c r="G61" i="25"/>
  <c r="G113" i="25"/>
  <c r="G141" i="25"/>
  <c r="G94" i="25"/>
  <c r="G31" i="25"/>
  <c r="G148" i="25"/>
  <c r="G45" i="25"/>
  <c r="G171" i="25"/>
  <c r="G295" i="25"/>
  <c r="G79" i="25"/>
  <c r="G174" i="25"/>
  <c r="G194" i="25"/>
  <c r="G65" i="25"/>
  <c r="G9" i="25"/>
  <c r="G214" i="25"/>
  <c r="I298" i="25"/>
  <c r="G298" i="25"/>
  <c r="G288" i="25"/>
  <c r="G13" i="25"/>
  <c r="G263" i="25"/>
  <c r="I263" i="25"/>
  <c r="G117" i="25"/>
  <c r="G137" i="25"/>
  <c r="G74" i="25"/>
  <c r="G108" i="25"/>
  <c r="G245" i="25"/>
  <c r="G95" i="25"/>
  <c r="I95" i="25"/>
  <c r="G261" i="25"/>
  <c r="G40" i="25"/>
  <c r="G277" i="25"/>
  <c r="G76" i="25"/>
  <c r="G240" i="25"/>
  <c r="G301" i="25"/>
  <c r="G192" i="25"/>
  <c r="G243" i="25"/>
  <c r="G274" i="25"/>
  <c r="G210" i="25"/>
  <c r="G193" i="25"/>
  <c r="G170" i="25"/>
  <c r="G105" i="25"/>
  <c r="G133" i="25"/>
  <c r="G86" i="25"/>
  <c r="G23" i="25"/>
  <c r="G268" i="25"/>
  <c r="G291" i="25"/>
  <c r="G44" i="25"/>
  <c r="I44" i="25"/>
  <c r="G220" i="25"/>
  <c r="G246" i="25"/>
  <c r="G158" i="25"/>
  <c r="G96" i="25"/>
  <c r="G135" i="25"/>
  <c r="G308" i="25"/>
  <c r="G144" i="25"/>
  <c r="G253" i="25"/>
  <c r="G72" i="25"/>
  <c r="G236" i="25"/>
  <c r="I111" i="25"/>
  <c r="G111" i="25"/>
  <c r="G241" i="25"/>
  <c r="G293" i="25"/>
  <c r="G188" i="25"/>
  <c r="G239" i="25"/>
  <c r="G270" i="25"/>
  <c r="G206" i="25"/>
  <c r="G189" i="25"/>
  <c r="G166" i="25"/>
  <c r="I98" i="25"/>
  <c r="G98" i="25"/>
  <c r="G129" i="25"/>
  <c r="G19" i="25"/>
  <c r="G28" i="25"/>
  <c r="I28" i="25"/>
  <c r="G116" i="25"/>
  <c r="G265" i="25"/>
  <c r="G279" i="25"/>
  <c r="G198" i="25"/>
  <c r="G81" i="25"/>
  <c r="G20" i="25"/>
  <c r="G167" i="25"/>
  <c r="G312" i="25"/>
  <c r="G179" i="25"/>
  <c r="G287" i="25"/>
  <c r="G100" i="25"/>
  <c r="G273" i="25"/>
  <c r="G16" i="25"/>
  <c r="G269" i="25"/>
  <c r="G310" i="25"/>
  <c r="G182" i="25"/>
  <c r="G235" i="25"/>
  <c r="G266" i="25"/>
  <c r="G202" i="25"/>
  <c r="G118" i="25"/>
  <c r="G162" i="25"/>
  <c r="G97" i="25"/>
  <c r="G125" i="25"/>
  <c r="G78" i="25"/>
  <c r="G15" i="25"/>
  <c r="G53" i="25"/>
  <c r="G62" i="25"/>
  <c r="I16" i="34"/>
  <c r="G215" i="25"/>
  <c r="I215" i="25"/>
  <c r="G176" i="25"/>
  <c r="I176" i="25"/>
  <c r="G151" i="25"/>
  <c r="G248" i="25"/>
  <c r="G227" i="25"/>
  <c r="G110" i="25"/>
  <c r="G85" i="25"/>
  <c r="G7" i="25"/>
  <c r="I7" i="25"/>
  <c r="G124" i="25"/>
  <c r="G106" i="25"/>
  <c r="G136" i="25"/>
  <c r="G143" i="25"/>
  <c r="G123" i="25"/>
  <c r="G128" i="25"/>
  <c r="G173" i="25"/>
  <c r="G254" i="25"/>
  <c r="G190" i="25"/>
  <c r="G150" i="25"/>
  <c r="G69" i="25"/>
  <c r="G83" i="25"/>
  <c r="G264" i="25"/>
  <c r="G247" i="25"/>
  <c r="G121" i="25"/>
  <c r="G168" i="25"/>
  <c r="G175" i="25"/>
  <c r="G155" i="25"/>
  <c r="G160" i="25"/>
  <c r="G294" i="25"/>
  <c r="G219" i="25"/>
  <c r="G186" i="25"/>
  <c r="G102" i="25"/>
  <c r="G64" i="25"/>
  <c r="G99" i="25"/>
  <c r="G303" i="25"/>
  <c r="G230" i="25"/>
  <c r="G126" i="25"/>
  <c r="G18" i="25"/>
  <c r="G42" i="25"/>
  <c r="G163" i="25"/>
  <c r="G39" i="25"/>
  <c r="I39" i="25"/>
  <c r="G172" i="25"/>
  <c r="G152" i="25"/>
  <c r="G43" i="25"/>
  <c r="G164" i="25"/>
  <c r="G307" i="25"/>
  <c r="G260" i="25"/>
  <c r="G275" i="25"/>
  <c r="G211" i="25"/>
  <c r="I211" i="25"/>
  <c r="G242" i="25"/>
  <c r="G178" i="25"/>
  <c r="G138" i="25"/>
  <c r="G165" i="25"/>
  <c r="G30" i="25"/>
  <c r="G54" i="25"/>
  <c r="G52" i="25"/>
  <c r="G63" i="25"/>
  <c r="G221" i="25"/>
  <c r="G284" i="25"/>
  <c r="G231" i="25"/>
  <c r="G197" i="25"/>
  <c r="I197" i="25"/>
  <c r="G153" i="25"/>
  <c r="G21" i="25"/>
  <c r="G237" i="25"/>
  <c r="G71" i="25"/>
  <c r="G204" i="25"/>
  <c r="G48" i="25"/>
  <c r="G183" i="25"/>
  <c r="G75" i="25"/>
  <c r="G127" i="25"/>
  <c r="I127" i="25"/>
  <c r="G311" i="25"/>
  <c r="G228" i="25"/>
  <c r="G271" i="25"/>
  <c r="G207" i="25"/>
  <c r="G238" i="25"/>
  <c r="G177" i="25"/>
  <c r="G134" i="25"/>
  <c r="G161" i="25"/>
  <c r="G26" i="25"/>
  <c r="G131" i="25"/>
  <c r="G229" i="25"/>
  <c r="I24" i="25"/>
  <c r="G24" i="25"/>
  <c r="G306" i="25"/>
  <c r="G195" i="25"/>
  <c r="G41" i="25"/>
  <c r="G27" i="25"/>
  <c r="G51" i="25"/>
  <c r="G272" i="25"/>
  <c r="G104" i="25"/>
  <c r="G244" i="25"/>
  <c r="G80" i="25"/>
  <c r="G147" i="25"/>
  <c r="G107" i="25"/>
  <c r="G159" i="25"/>
  <c r="G305" i="25"/>
  <c r="G224" i="25"/>
  <c r="G267" i="25"/>
  <c r="G199" i="25"/>
  <c r="G234" i="25"/>
  <c r="G217" i="25"/>
  <c r="G130" i="25"/>
  <c r="G157" i="25"/>
  <c r="G22" i="25"/>
  <c r="G46" i="25"/>
  <c r="E89" i="12" l="1"/>
  <c r="G89" i="12" s="1"/>
  <c r="H89" i="12" s="1"/>
  <c r="E89" i="39"/>
  <c r="G89" i="39" s="1"/>
  <c r="H89" i="39" s="1"/>
  <c r="I89" i="39" s="1"/>
  <c r="J89" i="39" s="1"/>
  <c r="I89" i="25" s="1"/>
  <c r="G33" i="25"/>
  <c r="E33" i="39"/>
  <c r="G33" i="39" s="1"/>
  <c r="H33" i="39" s="1"/>
  <c r="I33" i="39" s="1"/>
  <c r="J33" i="39" s="1"/>
  <c r="I33" i="25" s="1"/>
  <c r="G17" i="25"/>
  <c r="G82" i="25"/>
  <c r="E82" i="39"/>
  <c r="G82" i="39" s="1"/>
  <c r="H82" i="39" s="1"/>
  <c r="I82" i="39" s="1"/>
  <c r="J82" i="39" s="1"/>
  <c r="I82" i="25" s="1"/>
  <c r="E58" i="12"/>
  <c r="G58" i="12" s="1"/>
  <c r="H58" i="12" s="1"/>
  <c r="I58" i="12" s="1"/>
  <c r="J58" i="12" s="1"/>
  <c r="J58" i="25" s="1"/>
  <c r="E57" i="39"/>
  <c r="G57" i="39" s="1"/>
  <c r="H57" i="39" s="1"/>
  <c r="I57" i="39" s="1"/>
  <c r="J57" i="39" s="1"/>
  <c r="I57" i="25" s="1"/>
  <c r="G10" i="25"/>
  <c r="G66" i="25"/>
  <c r="E58" i="39"/>
  <c r="G58" i="39" s="1"/>
  <c r="H58" i="39" s="1"/>
  <c r="I58" i="39" s="1"/>
  <c r="J58" i="39" s="1"/>
  <c r="I58" i="25" s="1"/>
  <c r="G73" i="25"/>
  <c r="E73" i="12"/>
  <c r="G73" i="12" s="1"/>
  <c r="H73" i="12" s="1"/>
  <c r="I73" i="12" s="1"/>
  <c r="J73" i="12" s="1"/>
  <c r="J73" i="25" s="1"/>
  <c r="E10" i="12"/>
  <c r="G10" i="12" s="1"/>
  <c r="H10" i="12" s="1"/>
  <c r="E17" i="12"/>
  <c r="G17" i="12" s="1"/>
  <c r="H17" i="12" s="1"/>
  <c r="I17" i="12" s="1"/>
  <c r="J17" i="12" s="1"/>
  <c r="G90" i="25"/>
  <c r="E90" i="12"/>
  <c r="G90" i="12" s="1"/>
  <c r="H90" i="12" s="1"/>
  <c r="G57" i="25"/>
  <c r="G50" i="25"/>
  <c r="E324" i="34"/>
  <c r="C5" i="34" s="1"/>
  <c r="C11" i="34" s="1"/>
  <c r="E41" i="39"/>
  <c r="G41" i="39" s="1"/>
  <c r="H41" i="39" s="1"/>
  <c r="I41" i="39" s="1"/>
  <c r="J41" i="39" s="1"/>
  <c r="I41" i="25" s="1"/>
  <c r="E34" i="12"/>
  <c r="G34" i="12" s="1"/>
  <c r="H34" i="12" s="1"/>
  <c r="I34" i="12" s="1"/>
  <c r="J34" i="12" s="1"/>
  <c r="J34" i="25" s="1"/>
  <c r="E66" i="12"/>
  <c r="G66" i="12" s="1"/>
  <c r="H66" i="12" s="1"/>
  <c r="I234" i="12"/>
  <c r="J234" i="12" s="1"/>
  <c r="I288" i="12"/>
  <c r="J288" i="12" s="1"/>
  <c r="I84" i="12"/>
  <c r="J84" i="12" s="1"/>
  <c r="J84" i="25" s="1"/>
  <c r="I29" i="12"/>
  <c r="J29" i="12" s="1"/>
  <c r="J29" i="25" s="1"/>
  <c r="I139" i="12"/>
  <c r="J139" i="12" s="1"/>
  <c r="I41" i="12"/>
  <c r="J41" i="12" s="1"/>
  <c r="I105" i="12"/>
  <c r="J105" i="12" s="1"/>
  <c r="I117" i="12"/>
  <c r="J117" i="12" s="1"/>
  <c r="J117" i="25" s="1"/>
  <c r="I212" i="12"/>
  <c r="J212" i="12" s="1"/>
  <c r="I242" i="12"/>
  <c r="J242" i="12" s="1"/>
  <c r="I80" i="12"/>
  <c r="J80" i="12" s="1"/>
  <c r="J80" i="25" s="1"/>
  <c r="I308" i="12"/>
  <c r="J308" i="12" s="1"/>
  <c r="I89" i="12"/>
  <c r="J89" i="12" s="1"/>
  <c r="J89" i="25" s="1"/>
  <c r="I70" i="12"/>
  <c r="J70" i="12" s="1"/>
  <c r="I13" i="12"/>
  <c r="J13" i="12" s="1"/>
  <c r="J13" i="25" s="1"/>
  <c r="I85" i="12"/>
  <c r="J85" i="12" s="1"/>
  <c r="J85" i="25" s="1"/>
  <c r="I137" i="12"/>
  <c r="J137" i="12" s="1"/>
  <c r="I164" i="12"/>
  <c r="J164" i="12" s="1"/>
  <c r="I196" i="12"/>
  <c r="J196" i="12" s="1"/>
  <c r="I128" i="12"/>
  <c r="J128" i="12" s="1"/>
  <c r="J128" i="25" s="1"/>
  <c r="I283" i="12"/>
  <c r="J283" i="12" s="1"/>
  <c r="I213" i="12"/>
  <c r="J213" i="12" s="1"/>
  <c r="I157" i="12"/>
  <c r="J157" i="12" s="1"/>
  <c r="I189" i="12"/>
  <c r="J189" i="12" s="1"/>
  <c r="I221" i="12"/>
  <c r="J221" i="12" s="1"/>
  <c r="I290" i="12"/>
  <c r="J290" i="12" s="1"/>
  <c r="I126" i="12"/>
  <c r="J126" i="12" s="1"/>
  <c r="J126" i="25" s="1"/>
  <c r="I55" i="12"/>
  <c r="J55" i="12" s="1"/>
  <c r="J55" i="25" s="1"/>
  <c r="I226" i="12"/>
  <c r="J226" i="12" s="1"/>
  <c r="I255" i="12"/>
  <c r="J255" i="12" s="1"/>
  <c r="I293" i="12"/>
  <c r="J293" i="12" s="1"/>
  <c r="I285" i="12"/>
  <c r="J285" i="12" s="1"/>
  <c r="I223" i="12"/>
  <c r="J223" i="12" s="1"/>
  <c r="I26" i="12"/>
  <c r="J26" i="12" s="1"/>
  <c r="I90" i="12"/>
  <c r="J90" i="12" s="1"/>
  <c r="J90" i="25" s="1"/>
  <c r="I132" i="12"/>
  <c r="J132" i="12" s="1"/>
  <c r="J132" i="25" s="1"/>
  <c r="I78" i="12"/>
  <c r="J78" i="12" s="1"/>
  <c r="J78" i="25" s="1"/>
  <c r="I93" i="12"/>
  <c r="J93" i="12" s="1"/>
  <c r="J93" i="25" s="1"/>
  <c r="I168" i="12"/>
  <c r="J168" i="12" s="1"/>
  <c r="I200" i="12"/>
  <c r="J200" i="12" s="1"/>
  <c r="I217" i="12"/>
  <c r="J217" i="12" s="1"/>
  <c r="I287" i="12"/>
  <c r="J287" i="12" s="1"/>
  <c r="I161" i="12"/>
  <c r="J161" i="12" s="1"/>
  <c r="I193" i="12"/>
  <c r="J193" i="12" s="1"/>
  <c r="I241" i="12"/>
  <c r="J241" i="12" s="1"/>
  <c r="I229" i="12"/>
  <c r="J229" i="12" s="1"/>
  <c r="J229" i="25" s="1"/>
  <c r="I262" i="12"/>
  <c r="J262" i="12" s="1"/>
  <c r="I306" i="12"/>
  <c r="J306" i="12" s="1"/>
  <c r="I297" i="12"/>
  <c r="J297" i="12" s="1"/>
  <c r="I133" i="12"/>
  <c r="J133" i="12" s="1"/>
  <c r="I23" i="12"/>
  <c r="J23" i="12" s="1"/>
  <c r="J23" i="25" s="1"/>
  <c r="I19" i="12"/>
  <c r="J19" i="12" s="1"/>
  <c r="I91" i="12"/>
  <c r="J91" i="12" s="1"/>
  <c r="I52" i="12"/>
  <c r="J52" i="12" s="1"/>
  <c r="J52" i="25" s="1"/>
  <c r="I247" i="12"/>
  <c r="J247" i="12" s="1"/>
  <c r="I108" i="12"/>
  <c r="J108" i="12" s="1"/>
  <c r="I65" i="12"/>
  <c r="J65" i="12" s="1"/>
  <c r="I97" i="12"/>
  <c r="J97" i="12" s="1"/>
  <c r="J97" i="25" s="1"/>
  <c r="I14" i="12"/>
  <c r="J14" i="12" s="1"/>
  <c r="J14" i="25" s="1"/>
  <c r="I86" i="12"/>
  <c r="J86" i="12" s="1"/>
  <c r="J86" i="25" s="1"/>
  <c r="I101" i="12"/>
  <c r="J101" i="12" s="1"/>
  <c r="I140" i="12"/>
  <c r="J140" i="12" s="1"/>
  <c r="I172" i="12"/>
  <c r="J172" i="12" s="1"/>
  <c r="I291" i="12"/>
  <c r="J291" i="12" s="1"/>
  <c r="I165" i="12"/>
  <c r="J165" i="12" s="1"/>
  <c r="I197" i="12"/>
  <c r="J197" i="12" s="1"/>
  <c r="I245" i="12"/>
  <c r="J245" i="12" s="1"/>
  <c r="I231" i="12"/>
  <c r="J231" i="12" s="1"/>
  <c r="I282" i="12"/>
  <c r="J282" i="12" s="1"/>
  <c r="I265" i="12"/>
  <c r="J265" i="12" s="1"/>
  <c r="I99" i="12"/>
  <c r="J99" i="12" s="1"/>
  <c r="J99" i="25" s="1"/>
  <c r="I60" i="12"/>
  <c r="J60" i="12" s="1"/>
  <c r="J60" i="25" s="1"/>
  <c r="I112" i="12"/>
  <c r="J112" i="12" s="1"/>
  <c r="I219" i="12"/>
  <c r="J219" i="12" s="1"/>
  <c r="I313" i="12"/>
  <c r="J313" i="12" s="1"/>
  <c r="I211" i="12"/>
  <c r="J211" i="12" s="1"/>
  <c r="I146" i="12"/>
  <c r="J146" i="12" s="1"/>
  <c r="I104" i="12"/>
  <c r="J104" i="12" s="1"/>
  <c r="J104" i="25" s="1"/>
  <c r="I187" i="12"/>
  <c r="J187" i="12" s="1"/>
  <c r="I7" i="12"/>
  <c r="J7" i="12" s="1"/>
  <c r="I18" i="12"/>
  <c r="J18" i="12" s="1"/>
  <c r="I50" i="12"/>
  <c r="J50" i="12" s="1"/>
  <c r="J50" i="25" s="1"/>
  <c r="I82" i="12"/>
  <c r="J82" i="12" s="1"/>
  <c r="J82" i="25" s="1"/>
  <c r="I114" i="12"/>
  <c r="J114" i="12" s="1"/>
  <c r="J114" i="25" s="1"/>
  <c r="I62" i="12"/>
  <c r="J62" i="12" s="1"/>
  <c r="J62" i="25" s="1"/>
  <c r="I136" i="12"/>
  <c r="J136" i="12" s="1"/>
  <c r="I77" i="12"/>
  <c r="J77" i="12" s="1"/>
  <c r="J77" i="25" s="1"/>
  <c r="I124" i="12"/>
  <c r="J124" i="12" s="1"/>
  <c r="I160" i="12"/>
  <c r="J160" i="12" s="1"/>
  <c r="I192" i="12"/>
  <c r="J192" i="12" s="1"/>
  <c r="I279" i="12"/>
  <c r="J279" i="12" s="1"/>
  <c r="I311" i="12"/>
  <c r="J311" i="12" s="1"/>
  <c r="I153" i="12"/>
  <c r="J153" i="12" s="1"/>
  <c r="I185" i="12"/>
  <c r="J185" i="12" s="1"/>
  <c r="I227" i="12"/>
  <c r="J227" i="12" s="1"/>
  <c r="I22" i="12"/>
  <c r="J22" i="12" s="1"/>
  <c r="I254" i="12"/>
  <c r="J254" i="12" s="1"/>
  <c r="I302" i="12"/>
  <c r="J302" i="12" s="1"/>
  <c r="I87" i="12"/>
  <c r="J87" i="12" s="1"/>
  <c r="I32" i="12"/>
  <c r="J32" i="12" s="1"/>
  <c r="J32" i="25" s="1"/>
  <c r="I235" i="12"/>
  <c r="J235" i="12" s="1"/>
  <c r="I116" i="12"/>
  <c r="J116" i="12" s="1"/>
  <c r="I11" i="12"/>
  <c r="J11" i="12" s="1"/>
  <c r="J11" i="25" s="1"/>
  <c r="I130" i="12"/>
  <c r="J130" i="12" s="1"/>
  <c r="J130" i="25" s="1"/>
  <c r="I31" i="12"/>
  <c r="J31" i="12" s="1"/>
  <c r="I237" i="12"/>
  <c r="J237" i="12" s="1"/>
  <c r="I159" i="12"/>
  <c r="J159" i="12" s="1"/>
  <c r="I71" i="12"/>
  <c r="J71" i="12" s="1"/>
  <c r="J71" i="25" s="1"/>
  <c r="I24" i="12"/>
  <c r="J24" i="12" s="1"/>
  <c r="J24" i="25" s="1"/>
  <c r="I207" i="12"/>
  <c r="J207" i="12" s="1"/>
  <c r="I56" i="12"/>
  <c r="J56" i="12" s="1"/>
  <c r="J56" i="25" s="1"/>
  <c r="I224" i="12"/>
  <c r="J224" i="12" s="1"/>
  <c r="I276" i="12"/>
  <c r="J276" i="12" s="1"/>
  <c r="I268" i="12"/>
  <c r="J268" i="12" s="1"/>
  <c r="I186" i="12"/>
  <c r="J186" i="12" s="1"/>
  <c r="I151" i="12"/>
  <c r="J151" i="12" s="1"/>
  <c r="I214" i="12"/>
  <c r="J214" i="12" s="1"/>
  <c r="I150" i="12"/>
  <c r="J150" i="12" s="1"/>
  <c r="I194" i="12"/>
  <c r="J194" i="12" s="1"/>
  <c r="I174" i="12"/>
  <c r="J174" i="12" s="1"/>
  <c r="I8" i="12"/>
  <c r="J8" i="12" s="1"/>
  <c r="J8" i="25" s="1"/>
  <c r="I25" i="12"/>
  <c r="J25" i="12" s="1"/>
  <c r="J25" i="25" s="1"/>
  <c r="I57" i="12"/>
  <c r="J57" i="12" s="1"/>
  <c r="J57" i="25" s="1"/>
  <c r="I21" i="12"/>
  <c r="J21" i="12" s="1"/>
  <c r="J21" i="25" s="1"/>
  <c r="I244" i="12"/>
  <c r="J244" i="12" s="1"/>
  <c r="I16" i="12"/>
  <c r="J16" i="12" s="1"/>
  <c r="J16" i="25" s="1"/>
  <c r="I129" i="12"/>
  <c r="J129" i="12" s="1"/>
  <c r="J129" i="25" s="1"/>
  <c r="I154" i="12"/>
  <c r="J154" i="12" s="1"/>
  <c r="I92" i="12"/>
  <c r="J92" i="12" s="1"/>
  <c r="I256" i="12"/>
  <c r="J256" i="12" s="1"/>
  <c r="I238" i="12"/>
  <c r="J238" i="12" s="1"/>
  <c r="I312" i="12"/>
  <c r="J312" i="12" s="1"/>
  <c r="I158" i="12"/>
  <c r="J158" i="12" s="1"/>
  <c r="I260" i="12"/>
  <c r="J260" i="12" s="1"/>
  <c r="I162" i="12"/>
  <c r="J162" i="12" s="1"/>
  <c r="I284" i="12"/>
  <c r="J284" i="12" s="1"/>
  <c r="I33" i="12"/>
  <c r="J33" i="12" s="1"/>
  <c r="J33" i="25" s="1"/>
  <c r="I37" i="12"/>
  <c r="J37" i="12" s="1"/>
  <c r="J37" i="25" s="1"/>
  <c r="I204" i="12"/>
  <c r="J204" i="12" s="1"/>
  <c r="I236" i="12"/>
  <c r="J236" i="12" s="1"/>
  <c r="I125" i="12"/>
  <c r="J125" i="12" s="1"/>
  <c r="I266" i="12"/>
  <c r="J266" i="12" s="1"/>
  <c r="I131" i="12"/>
  <c r="J131" i="12" s="1"/>
  <c r="J131" i="25" s="1"/>
  <c r="I304" i="12"/>
  <c r="J304" i="12" s="1"/>
  <c r="I296" i="12"/>
  <c r="J296" i="12" s="1"/>
  <c r="I59" i="12"/>
  <c r="J59" i="12" s="1"/>
  <c r="I210" i="12"/>
  <c r="J210" i="12" s="1"/>
  <c r="I12" i="12"/>
  <c r="J12" i="12" s="1"/>
  <c r="I248" i="12"/>
  <c r="J248" i="12" s="1"/>
  <c r="I76" i="12"/>
  <c r="J76" i="12" s="1"/>
  <c r="I272" i="12"/>
  <c r="J272" i="12" s="1"/>
  <c r="I178" i="12"/>
  <c r="J178" i="12" s="1"/>
  <c r="I72" i="12"/>
  <c r="J72" i="12" s="1"/>
  <c r="J72" i="25" s="1"/>
  <c r="I9" i="12"/>
  <c r="J9" i="12" s="1"/>
  <c r="J9" i="25" s="1"/>
  <c r="I38" i="12"/>
  <c r="J38" i="12" s="1"/>
  <c r="J38" i="25" s="1"/>
  <c r="I102" i="12"/>
  <c r="J102" i="12" s="1"/>
  <c r="J102" i="25" s="1"/>
  <c r="I148" i="12"/>
  <c r="J148" i="12" s="1"/>
  <c r="I180" i="12"/>
  <c r="J180" i="12" s="1"/>
  <c r="I267" i="12"/>
  <c r="J267" i="12" s="1"/>
  <c r="I299" i="12"/>
  <c r="J299" i="12" s="1"/>
  <c r="I141" i="12"/>
  <c r="J141" i="12" s="1"/>
  <c r="I173" i="12"/>
  <c r="J173" i="12" s="1"/>
  <c r="I205" i="12"/>
  <c r="J205" i="12" s="1"/>
  <c r="I253" i="12"/>
  <c r="J253" i="12" s="1"/>
  <c r="I274" i="12"/>
  <c r="J274" i="12" s="1"/>
  <c r="I294" i="12"/>
  <c r="J294" i="12" s="1"/>
  <c r="I273" i="12"/>
  <c r="J273" i="12" s="1"/>
  <c r="I35" i="12"/>
  <c r="J35" i="12" s="1"/>
  <c r="J35" i="25" s="1"/>
  <c r="I199" i="12"/>
  <c r="J199" i="12" s="1"/>
  <c r="I122" i="12"/>
  <c r="J122" i="12" s="1"/>
  <c r="I27" i="12"/>
  <c r="J27" i="12" s="1"/>
  <c r="J27" i="25" s="1"/>
  <c r="I239" i="12"/>
  <c r="J239" i="12" s="1"/>
  <c r="I179" i="12"/>
  <c r="J179" i="12" s="1"/>
  <c r="I79" i="12"/>
  <c r="J79" i="12" s="1"/>
  <c r="J79" i="25" s="1"/>
  <c r="I233" i="12"/>
  <c r="J233" i="12" s="1"/>
  <c r="I171" i="12"/>
  <c r="J171" i="12" s="1"/>
  <c r="I251" i="12"/>
  <c r="J251" i="12" s="1"/>
  <c r="I83" i="12"/>
  <c r="J83" i="12" s="1"/>
  <c r="J83" i="25" s="1"/>
  <c r="I10" i="12"/>
  <c r="J10" i="12" s="1"/>
  <c r="J10" i="25" s="1"/>
  <c r="I42" i="12"/>
  <c r="J42" i="12" s="1"/>
  <c r="J42" i="25" s="1"/>
  <c r="I74" i="12"/>
  <c r="J74" i="12" s="1"/>
  <c r="J74" i="25" s="1"/>
  <c r="I106" i="12"/>
  <c r="J106" i="12" s="1"/>
  <c r="J106" i="25" s="1"/>
  <c r="I46" i="12"/>
  <c r="J46" i="12" s="1"/>
  <c r="J46" i="25" s="1"/>
  <c r="I110" i="12"/>
  <c r="J110" i="12" s="1"/>
  <c r="J110" i="25" s="1"/>
  <c r="I61" i="12"/>
  <c r="J61" i="12" s="1"/>
  <c r="J61" i="25" s="1"/>
  <c r="I152" i="12"/>
  <c r="J152" i="12" s="1"/>
  <c r="I184" i="12"/>
  <c r="J184" i="12" s="1"/>
  <c r="I271" i="12"/>
  <c r="J271" i="12" s="1"/>
  <c r="I303" i="12"/>
  <c r="J303" i="12" s="1"/>
  <c r="I145" i="12"/>
  <c r="J145" i="12" s="1"/>
  <c r="I177" i="12"/>
  <c r="J177" i="12" s="1"/>
  <c r="I209" i="12"/>
  <c r="J209" i="12" s="1"/>
  <c r="I257" i="12"/>
  <c r="J257" i="12" s="1"/>
  <c r="I278" i="12"/>
  <c r="J278" i="12" s="1"/>
  <c r="I310" i="12"/>
  <c r="J310" i="12" s="1"/>
  <c r="I243" i="12"/>
  <c r="J243" i="12" s="1"/>
  <c r="I218" i="12"/>
  <c r="J218" i="12" s="1"/>
  <c r="I183" i="12"/>
  <c r="J183" i="12" s="1"/>
  <c r="I134" i="12"/>
  <c r="J134" i="12" s="1"/>
  <c r="J134" i="25" s="1"/>
  <c r="I64" i="12"/>
  <c r="J64" i="12" s="1"/>
  <c r="I163" i="12"/>
  <c r="J163" i="12" s="1"/>
  <c r="I47" i="12"/>
  <c r="J47" i="12" s="1"/>
  <c r="J47" i="25" s="1"/>
  <c r="I107" i="12"/>
  <c r="J107" i="12" s="1"/>
  <c r="J107" i="25" s="1"/>
  <c r="I289" i="12"/>
  <c r="J289" i="12" s="1"/>
  <c r="I51" i="12"/>
  <c r="J51" i="12" s="1"/>
  <c r="J51" i="25" s="1"/>
  <c r="I191" i="12"/>
  <c r="J191" i="12" s="1"/>
  <c r="I120" i="12"/>
  <c r="J120" i="12" s="1"/>
  <c r="I81" i="12"/>
  <c r="J81" i="12" s="1"/>
  <c r="I54" i="12"/>
  <c r="J54" i="12" s="1"/>
  <c r="J54" i="25" s="1"/>
  <c r="I118" i="12"/>
  <c r="J118" i="12" s="1"/>
  <c r="J118" i="25" s="1"/>
  <c r="I69" i="12"/>
  <c r="J69" i="12" s="1"/>
  <c r="J69" i="25" s="1"/>
  <c r="I123" i="12"/>
  <c r="J123" i="12" s="1"/>
  <c r="I156" i="12"/>
  <c r="J156" i="12" s="1"/>
  <c r="I188" i="12"/>
  <c r="J188" i="12" s="1"/>
  <c r="I275" i="12"/>
  <c r="J275" i="12" s="1"/>
  <c r="I307" i="12"/>
  <c r="J307" i="12" s="1"/>
  <c r="I149" i="12"/>
  <c r="J149" i="12" s="1"/>
  <c r="I181" i="12"/>
  <c r="J181" i="12" s="1"/>
  <c r="I225" i="12"/>
  <c r="J225" i="12" s="1"/>
  <c r="I261" i="12"/>
  <c r="J261" i="12" s="1"/>
  <c r="I286" i="12"/>
  <c r="J286" i="12" s="1"/>
  <c r="I309" i="12"/>
  <c r="J309" i="12" s="1"/>
  <c r="I301" i="12"/>
  <c r="J301" i="12" s="1"/>
  <c r="I167" i="12"/>
  <c r="J167" i="12" s="1"/>
  <c r="I119" i="12"/>
  <c r="J119" i="12" s="1"/>
  <c r="J119" i="25" s="1"/>
  <c r="I48" i="12"/>
  <c r="J48" i="12" s="1"/>
  <c r="J48" i="25" s="1"/>
  <c r="I269" i="12"/>
  <c r="J269" i="12" s="1"/>
  <c r="I15" i="12"/>
  <c r="J15" i="12" s="1"/>
  <c r="J15" i="25" s="1"/>
  <c r="I43" i="12"/>
  <c r="J43" i="12" s="1"/>
  <c r="J43" i="25" s="1"/>
  <c r="I20" i="12"/>
  <c r="J20" i="12" s="1"/>
  <c r="J20" i="25" s="1"/>
  <c r="I259" i="12"/>
  <c r="J259" i="12" s="1"/>
  <c r="I175" i="12"/>
  <c r="J175" i="12" s="1"/>
  <c r="I103" i="12"/>
  <c r="J103" i="12" s="1"/>
  <c r="J103" i="25" s="1"/>
  <c r="I40" i="12"/>
  <c r="J40" i="12" s="1"/>
  <c r="J40" i="25" s="1"/>
  <c r="I75" i="12"/>
  <c r="J75" i="12" s="1"/>
  <c r="J75" i="25" s="1"/>
  <c r="I138" i="12"/>
  <c r="J138" i="12" s="1"/>
  <c r="I142" i="12"/>
  <c r="J142" i="12" s="1"/>
  <c r="I66" i="12"/>
  <c r="J66" i="12" s="1"/>
  <c r="J66" i="25" s="1"/>
  <c r="I98" i="12"/>
  <c r="J98" i="12" s="1"/>
  <c r="J98" i="25" s="1"/>
  <c r="I30" i="12"/>
  <c r="J30" i="12" s="1"/>
  <c r="I144" i="12"/>
  <c r="J144" i="12" s="1"/>
  <c r="I176" i="12"/>
  <c r="J176" i="12" s="1"/>
  <c r="I208" i="12"/>
  <c r="J208" i="12" s="1"/>
  <c r="I263" i="12"/>
  <c r="J263" i="12" s="1"/>
  <c r="I295" i="12"/>
  <c r="J295" i="12" s="1"/>
  <c r="I127" i="12"/>
  <c r="J127" i="12" s="1"/>
  <c r="J127" i="25" s="1"/>
  <c r="I169" i="12"/>
  <c r="J169" i="12" s="1"/>
  <c r="I201" i="12"/>
  <c r="J201" i="12" s="1"/>
  <c r="I249" i="12"/>
  <c r="J249" i="12" s="1"/>
  <c r="I270" i="12"/>
  <c r="J270" i="12" s="1"/>
  <c r="I298" i="12"/>
  <c r="J298" i="12" s="1"/>
  <c r="I305" i="12"/>
  <c r="J305" i="12" s="1"/>
  <c r="I28" i="12"/>
  <c r="J28" i="12" s="1"/>
  <c r="J28" i="25" s="1"/>
  <c r="I95" i="12"/>
  <c r="J95" i="12" s="1"/>
  <c r="J95" i="25" s="1"/>
  <c r="I215" i="12"/>
  <c r="J215" i="12" s="1"/>
  <c r="I195" i="12"/>
  <c r="J195" i="12" s="1"/>
  <c r="I111" i="12"/>
  <c r="J111" i="12" s="1"/>
  <c r="J111" i="25" s="1"/>
  <c r="I277" i="12"/>
  <c r="J277" i="12" s="1"/>
  <c r="I203" i="12"/>
  <c r="J203" i="12" s="1"/>
  <c r="I281" i="12"/>
  <c r="J281" i="12" s="1"/>
  <c r="I115" i="12"/>
  <c r="J115" i="12" s="1"/>
  <c r="J115" i="25" s="1"/>
  <c r="I44" i="12"/>
  <c r="J44" i="12" s="1"/>
  <c r="J44" i="25" s="1"/>
  <c r="I155" i="12"/>
  <c r="J155" i="12" s="1"/>
  <c r="I39" i="12"/>
  <c r="J39" i="12" s="1"/>
  <c r="J39" i="25" s="1"/>
  <c r="I36" i="12"/>
  <c r="J36" i="12" s="1"/>
  <c r="J36" i="25" s="1"/>
  <c r="I228" i="12"/>
  <c r="J228" i="12" s="1"/>
  <c r="I258" i="12"/>
  <c r="J258" i="12" s="1"/>
  <c r="I170" i="12"/>
  <c r="J170" i="12" s="1"/>
  <c r="I190" i="12"/>
  <c r="J190" i="12" s="1"/>
  <c r="I143" i="12"/>
  <c r="J143" i="12" s="1"/>
  <c r="I240" i="12"/>
  <c r="J240" i="12" s="1"/>
  <c r="I53" i="12"/>
  <c r="J53" i="12" s="1"/>
  <c r="J53" i="25" s="1"/>
  <c r="I198" i="12"/>
  <c r="J198" i="12" s="1"/>
  <c r="I121" i="12"/>
  <c r="J121" i="12" s="1"/>
  <c r="I216" i="12"/>
  <c r="J216" i="12" s="1"/>
  <c r="I246" i="12"/>
  <c r="J246" i="12" s="1"/>
  <c r="I300" i="12"/>
  <c r="J300" i="12" s="1"/>
  <c r="I292" i="12"/>
  <c r="J292" i="12" s="1"/>
  <c r="I182" i="12"/>
  <c r="J182" i="12" s="1"/>
  <c r="I68" i="12"/>
  <c r="J68" i="12" s="1"/>
  <c r="J68" i="25" s="1"/>
  <c r="I49" i="12"/>
  <c r="J49" i="12" s="1"/>
  <c r="J49" i="25" s="1"/>
  <c r="I113" i="12"/>
  <c r="J113" i="12" s="1"/>
  <c r="J113" i="25" s="1"/>
  <c r="I220" i="12"/>
  <c r="J220" i="12" s="1"/>
  <c r="I250" i="12"/>
  <c r="J250" i="12" s="1"/>
  <c r="I202" i="12"/>
  <c r="J202" i="12" s="1"/>
  <c r="I252" i="12"/>
  <c r="J252" i="12" s="1"/>
  <c r="I166" i="12"/>
  <c r="J166" i="12" s="1"/>
  <c r="I147" i="12"/>
  <c r="J147" i="12" s="1"/>
  <c r="I230" i="12"/>
  <c r="J230" i="12" s="1"/>
  <c r="I63" i="12"/>
  <c r="J63" i="12" s="1"/>
  <c r="I135" i="12"/>
  <c r="J135" i="12" s="1"/>
  <c r="I94" i="12"/>
  <c r="J94" i="12" s="1"/>
  <c r="J94" i="25" s="1"/>
  <c r="I45" i="12"/>
  <c r="J45" i="12" s="1"/>
  <c r="J45" i="25" s="1"/>
  <c r="I109" i="12"/>
  <c r="J109" i="12" s="1"/>
  <c r="J109" i="25" s="1"/>
  <c r="I232" i="12"/>
  <c r="J232" i="12" s="1"/>
  <c r="I67" i="12"/>
  <c r="J67" i="12" s="1"/>
  <c r="I206" i="12"/>
  <c r="J206" i="12" s="1"/>
  <c r="I96" i="12"/>
  <c r="J96" i="12" s="1"/>
  <c r="J96" i="25" s="1"/>
  <c r="I264" i="12"/>
  <c r="J264" i="12" s="1"/>
  <c r="I222" i="12"/>
  <c r="J222" i="12" s="1"/>
  <c r="I88" i="12"/>
  <c r="J88" i="12" s="1"/>
  <c r="J88" i="25" s="1"/>
  <c r="I280" i="12"/>
  <c r="J280" i="12" s="1"/>
  <c r="I100" i="12"/>
  <c r="J100" i="12" s="1"/>
  <c r="J22" i="25"/>
  <c r="G6" i="25"/>
  <c r="E6" i="39"/>
  <c r="G6" i="39" s="1"/>
  <c r="H6" i="39" s="1"/>
  <c r="I6" i="39" s="1"/>
  <c r="J6" i="39" s="1"/>
  <c r="E6" i="12"/>
  <c r="G6" i="12" s="1"/>
  <c r="H6" i="12" s="1"/>
  <c r="I324" i="34"/>
  <c r="J125" i="25"/>
  <c r="G101" i="25"/>
  <c r="N242" i="13" l="1"/>
  <c r="O242" i="13" s="1"/>
  <c r="N206" i="13"/>
  <c r="O206" i="13" s="1"/>
  <c r="K296" i="12"/>
  <c r="N217" i="13"/>
  <c r="O217" i="13" s="1"/>
  <c r="K83" i="12"/>
  <c r="K282" i="12"/>
  <c r="K128" i="12"/>
  <c r="K139" i="12"/>
  <c r="N145" i="13"/>
  <c r="O145" i="13" s="1"/>
  <c r="P145" i="13" s="1"/>
  <c r="Q145" i="13" s="1"/>
  <c r="K56" i="12"/>
  <c r="K297" i="12"/>
  <c r="K70" i="12"/>
  <c r="K96" i="12"/>
  <c r="K288" i="12"/>
  <c r="N252" i="13"/>
  <c r="O252" i="13" s="1"/>
  <c r="K95" i="12"/>
  <c r="K87" i="12"/>
  <c r="K89" i="12"/>
  <c r="K242" i="12"/>
  <c r="K29" i="12"/>
  <c r="K68" i="12"/>
  <c r="K243" i="12"/>
  <c r="K272" i="12"/>
  <c r="K44" i="12"/>
  <c r="K119" i="12"/>
  <c r="K290" i="12"/>
  <c r="K238" i="12"/>
  <c r="N267" i="13"/>
  <c r="O267" i="13" s="1"/>
  <c r="P267" i="13" s="1"/>
  <c r="Q267" i="13" s="1"/>
  <c r="N113" i="13"/>
  <c r="O113" i="13" s="1"/>
  <c r="P113" i="13" s="1"/>
  <c r="Q113" i="13" s="1"/>
  <c r="K66" i="12"/>
  <c r="K122" i="12"/>
  <c r="K102" i="12"/>
  <c r="N117" i="13"/>
  <c r="O117" i="13" s="1"/>
  <c r="P117" i="13" s="1"/>
  <c r="Q117" i="13" s="1"/>
  <c r="K121" i="12"/>
  <c r="K259" i="12"/>
  <c r="K183" i="12"/>
  <c r="K173" i="12"/>
  <c r="K204" i="12"/>
  <c r="K8" i="12"/>
  <c r="K11" i="12"/>
  <c r="K254" i="12"/>
  <c r="K246" i="12"/>
  <c r="K195" i="12"/>
  <c r="K103" i="12"/>
  <c r="K269" i="12"/>
  <c r="K31" i="12"/>
  <c r="K245" i="12"/>
  <c r="N186" i="13"/>
  <c r="O186" i="13" s="1"/>
  <c r="P186" i="13" s="1"/>
  <c r="Q186" i="13" s="1"/>
  <c r="K274" i="12"/>
  <c r="K280" i="12"/>
  <c r="K67" i="12"/>
  <c r="K170" i="12"/>
  <c r="K201" i="12"/>
  <c r="K145" i="12"/>
  <c r="K239" i="12"/>
  <c r="K294" i="12"/>
  <c r="K253" i="12"/>
  <c r="K180" i="12"/>
  <c r="K72" i="12"/>
  <c r="K158" i="12"/>
  <c r="K129" i="12"/>
  <c r="K214" i="12"/>
  <c r="K279" i="12"/>
  <c r="K161" i="12"/>
  <c r="N8" i="13"/>
  <c r="O8" i="13" s="1"/>
  <c r="P8" i="13" s="1"/>
  <c r="Q8" i="13" s="1"/>
  <c r="K94" i="12"/>
  <c r="K143" i="12"/>
  <c r="K39" i="12"/>
  <c r="K277" i="12"/>
  <c r="K263" i="12"/>
  <c r="K75" i="12"/>
  <c r="K286" i="12"/>
  <c r="K275" i="12"/>
  <c r="K54" i="12"/>
  <c r="K64" i="12"/>
  <c r="K152" i="12"/>
  <c r="K42" i="12"/>
  <c r="K79" i="12"/>
  <c r="K162" i="12"/>
  <c r="K276" i="12"/>
  <c r="K159" i="12"/>
  <c r="K77" i="12"/>
  <c r="K18" i="12"/>
  <c r="K313" i="12"/>
  <c r="K23" i="12"/>
  <c r="K241" i="12"/>
  <c r="K90" i="12"/>
  <c r="K109" i="12"/>
  <c r="K147" i="12"/>
  <c r="K53" i="12"/>
  <c r="K305" i="12"/>
  <c r="K127" i="12"/>
  <c r="K301" i="12"/>
  <c r="K149" i="12"/>
  <c r="K69" i="12"/>
  <c r="K191" i="12"/>
  <c r="K278" i="12"/>
  <c r="K271" i="12"/>
  <c r="K106" i="12"/>
  <c r="K248" i="12"/>
  <c r="K131" i="12"/>
  <c r="K33" i="12"/>
  <c r="K227" i="12"/>
  <c r="K160" i="12"/>
  <c r="K82" i="12"/>
  <c r="K146" i="12"/>
  <c r="K91" i="12"/>
  <c r="K55" i="12"/>
  <c r="K206" i="12"/>
  <c r="K232" i="12"/>
  <c r="K220" i="12"/>
  <c r="K216" i="12"/>
  <c r="K198" i="12"/>
  <c r="K48" i="12"/>
  <c r="K134" i="12"/>
  <c r="K226" i="12"/>
  <c r="K93" i="12"/>
  <c r="K255" i="12"/>
  <c r="K222" i="12"/>
  <c r="K292" i="12"/>
  <c r="K281" i="12"/>
  <c r="K28" i="12"/>
  <c r="K270" i="12"/>
  <c r="K176" i="12"/>
  <c r="K142" i="12"/>
  <c r="K43" i="12"/>
  <c r="K225" i="12"/>
  <c r="K47" i="12"/>
  <c r="K209" i="12"/>
  <c r="K110" i="12"/>
  <c r="K171" i="12"/>
  <c r="K73" i="12"/>
  <c r="K210" i="12"/>
  <c r="K260" i="12"/>
  <c r="K312" i="12"/>
  <c r="K256" i="12"/>
  <c r="K57" i="12"/>
  <c r="K150" i="12"/>
  <c r="K186" i="12"/>
  <c r="K235" i="12"/>
  <c r="K153" i="12"/>
  <c r="K62" i="12"/>
  <c r="K60" i="12"/>
  <c r="K172" i="12"/>
  <c r="K97" i="12"/>
  <c r="K247" i="12"/>
  <c r="K262" i="12"/>
  <c r="K168" i="12"/>
  <c r="K78" i="12"/>
  <c r="K285" i="12"/>
  <c r="K85" i="12"/>
  <c r="K80" i="12"/>
  <c r="K234" i="12"/>
  <c r="K112" i="12"/>
  <c r="K165" i="12"/>
  <c r="K14" i="12"/>
  <c r="K65" i="12"/>
  <c r="K217" i="12"/>
  <c r="K189" i="12"/>
  <c r="K164" i="12"/>
  <c r="K117" i="12"/>
  <c r="K63" i="12"/>
  <c r="K250" i="12"/>
  <c r="K228" i="12"/>
  <c r="K289" i="12"/>
  <c r="K35" i="12"/>
  <c r="K299" i="12"/>
  <c r="K125" i="12"/>
  <c r="K92" i="12"/>
  <c r="K244" i="12"/>
  <c r="K194" i="12"/>
  <c r="K24" i="12"/>
  <c r="K187" i="12"/>
  <c r="K99" i="12"/>
  <c r="K101" i="12"/>
  <c r="K26" i="12"/>
  <c r="K213" i="12"/>
  <c r="K308" i="12"/>
  <c r="K41" i="12"/>
  <c r="K252" i="12"/>
  <c r="K113" i="12"/>
  <c r="K30" i="12"/>
  <c r="K156" i="12"/>
  <c r="K17" i="12"/>
  <c r="K100" i="12"/>
  <c r="K88" i="12"/>
  <c r="K264" i="12"/>
  <c r="K45" i="12"/>
  <c r="K135" i="12"/>
  <c r="K230" i="12"/>
  <c r="K166" i="12"/>
  <c r="K202" i="12"/>
  <c r="K49" i="12"/>
  <c r="K182" i="12"/>
  <c r="K300" i="12"/>
  <c r="K240" i="12"/>
  <c r="K190" i="12"/>
  <c r="K258" i="12"/>
  <c r="K36" i="12"/>
  <c r="K155" i="12"/>
  <c r="K115" i="12"/>
  <c r="K203" i="12"/>
  <c r="K111" i="12"/>
  <c r="K215" i="12"/>
  <c r="K298" i="12"/>
  <c r="K249" i="12"/>
  <c r="K169" i="12"/>
  <c r="K295" i="12"/>
  <c r="K208" i="12"/>
  <c r="K144" i="12"/>
  <c r="K98" i="12"/>
  <c r="K34" i="12"/>
  <c r="K138" i="12"/>
  <c r="K40" i="12"/>
  <c r="K175" i="12"/>
  <c r="K20" i="12"/>
  <c r="K15" i="12"/>
  <c r="K167" i="12"/>
  <c r="K309" i="12"/>
  <c r="K261" i="12"/>
  <c r="K181" i="12"/>
  <c r="K307" i="12"/>
  <c r="K188" i="12"/>
  <c r="K123" i="12"/>
  <c r="K118" i="12"/>
  <c r="K81" i="12"/>
  <c r="K120" i="12"/>
  <c r="K51" i="12"/>
  <c r="K107" i="12"/>
  <c r="K163" i="12"/>
  <c r="K218" i="12"/>
  <c r="K310" i="12"/>
  <c r="K257" i="12"/>
  <c r="K177" i="12"/>
  <c r="K303" i="12"/>
  <c r="K184" i="12"/>
  <c r="K61" i="12"/>
  <c r="K46" i="12"/>
  <c r="K74" i="12"/>
  <c r="K10" i="12"/>
  <c r="K251" i="12"/>
  <c r="K233" i="12"/>
  <c r="K179" i="12"/>
  <c r="K27" i="12"/>
  <c r="K199" i="12"/>
  <c r="K273" i="12"/>
  <c r="K205" i="12"/>
  <c r="K141" i="12"/>
  <c r="K267" i="12"/>
  <c r="K148" i="12"/>
  <c r="K38" i="12"/>
  <c r="K9" i="12"/>
  <c r="K178" i="12"/>
  <c r="K76" i="12"/>
  <c r="K12" i="12"/>
  <c r="K59" i="12"/>
  <c r="K304" i="12"/>
  <c r="K266" i="12"/>
  <c r="K236" i="12"/>
  <c r="K37" i="12"/>
  <c r="K284" i="12"/>
  <c r="K154" i="12"/>
  <c r="K16" i="12"/>
  <c r="K21" i="12"/>
  <c r="K25" i="12"/>
  <c r="K174" i="12"/>
  <c r="K151" i="12"/>
  <c r="K268" i="12"/>
  <c r="K224" i="12"/>
  <c r="K207" i="12"/>
  <c r="K71" i="12"/>
  <c r="K237" i="12"/>
  <c r="K130" i="12"/>
  <c r="K116" i="12"/>
  <c r="K32" i="12"/>
  <c r="K302" i="12"/>
  <c r="K22" i="12"/>
  <c r="K185" i="12"/>
  <c r="K311" i="12"/>
  <c r="K192" i="12"/>
  <c r="K124" i="12"/>
  <c r="K136" i="12"/>
  <c r="K114" i="12"/>
  <c r="K50" i="12"/>
  <c r="K7" i="12"/>
  <c r="K104" i="12"/>
  <c r="K211" i="12"/>
  <c r="K219" i="12"/>
  <c r="K265" i="12"/>
  <c r="K231" i="12"/>
  <c r="K197" i="12"/>
  <c r="K291" i="12"/>
  <c r="K140" i="12"/>
  <c r="K86" i="12"/>
  <c r="K108" i="12"/>
  <c r="K52" i="12"/>
  <c r="K19" i="12"/>
  <c r="K133" i="12"/>
  <c r="K306" i="12"/>
  <c r="K229" i="12"/>
  <c r="K193" i="12"/>
  <c r="K287" i="12"/>
  <c r="K200" i="12"/>
  <c r="K132" i="12"/>
  <c r="K58" i="12"/>
  <c r="K223" i="12"/>
  <c r="K293" i="12"/>
  <c r="K126" i="12"/>
  <c r="K221" i="12"/>
  <c r="K157" i="12"/>
  <c r="K283" i="12"/>
  <c r="K196" i="12"/>
  <c r="K137" i="12"/>
  <c r="K13" i="12"/>
  <c r="K212" i="12"/>
  <c r="K105" i="12"/>
  <c r="K84" i="12"/>
  <c r="J261" i="25"/>
  <c r="J253" i="25"/>
  <c r="J152" i="25"/>
  <c r="J214" i="25"/>
  <c r="J166" i="25"/>
  <c r="J311" i="25"/>
  <c r="J171" i="25"/>
  <c r="J192" i="25"/>
  <c r="J236" i="25"/>
  <c r="J175" i="25"/>
  <c r="J231" i="25"/>
  <c r="J291" i="25"/>
  <c r="J247" i="25"/>
  <c r="J309" i="25"/>
  <c r="J256" i="25"/>
  <c r="J232" i="25"/>
  <c r="J273" i="25"/>
  <c r="J159" i="25"/>
  <c r="J223" i="25"/>
  <c r="J288" i="25"/>
  <c r="J243" i="25"/>
  <c r="J135" i="25"/>
  <c r="J215" i="25"/>
  <c r="J150" i="25"/>
  <c r="J280" i="25"/>
  <c r="J139" i="25"/>
  <c r="J200" i="25"/>
  <c r="J193" i="25"/>
  <c r="J293" i="25"/>
  <c r="J287" i="25"/>
  <c r="J136" i="25"/>
  <c r="J219" i="25"/>
  <c r="J211" i="25"/>
  <c r="J237" i="25"/>
  <c r="J224" i="25"/>
  <c r="J213" i="25"/>
  <c r="J249" i="25"/>
  <c r="J301" i="25"/>
  <c r="J158" i="25"/>
  <c r="J143" i="25"/>
  <c r="J168" i="25"/>
  <c r="J271" i="25"/>
  <c r="J267" i="25"/>
  <c r="J297" i="25"/>
  <c r="J281" i="25"/>
  <c r="J148" i="25"/>
  <c r="J221" i="25"/>
  <c r="J225" i="25"/>
  <c r="J164" i="25"/>
  <c r="J147" i="25"/>
  <c r="J141" i="25"/>
  <c r="J157" i="25"/>
  <c r="J259" i="25"/>
  <c r="J233" i="25"/>
  <c r="J240" i="25"/>
  <c r="J250" i="25"/>
  <c r="J226" i="25"/>
  <c r="J282" i="25"/>
  <c r="J274" i="25"/>
  <c r="J182" i="25"/>
  <c r="J227" i="25"/>
  <c r="J264" i="25"/>
  <c r="J178" i="25"/>
  <c r="J183" i="25"/>
  <c r="J199" i="25"/>
  <c r="J306" i="25"/>
  <c r="J145" i="25"/>
  <c r="J170" i="25"/>
  <c r="J248" i="25"/>
  <c r="J163" i="25"/>
  <c r="J302" i="25"/>
  <c r="J184" i="25"/>
  <c r="J156" i="25"/>
  <c r="J257" i="25"/>
  <c r="J262" i="25"/>
  <c r="J201" i="25"/>
  <c r="J194" i="25"/>
  <c r="J188" i="25"/>
  <c r="J265" i="25"/>
  <c r="J151" i="25"/>
  <c r="J272" i="25"/>
  <c r="J234" i="25"/>
  <c r="J154" i="25"/>
  <c r="J300" i="25"/>
  <c r="J304" i="25"/>
  <c r="J208" i="25"/>
  <c r="J278" i="25"/>
  <c r="J313" i="25"/>
  <c r="J263" i="25"/>
  <c r="J210" i="25"/>
  <c r="J294" i="25"/>
  <c r="J284" i="25"/>
  <c r="J177" i="25"/>
  <c r="J285" i="25"/>
  <c r="J312" i="25"/>
  <c r="J173" i="25"/>
  <c r="J160" i="25"/>
  <c r="J244" i="25"/>
  <c r="J207" i="25"/>
  <c r="J149" i="25"/>
  <c r="J299" i="25"/>
  <c r="J191" i="25"/>
  <c r="J298" i="25"/>
  <c r="J179" i="25"/>
  <c r="J255" i="25"/>
  <c r="J308" i="25"/>
  <c r="J270" i="25"/>
  <c r="J228" i="25"/>
  <c r="J239" i="25"/>
  <c r="J290" i="25"/>
  <c r="J289" i="25"/>
  <c r="J180" i="25"/>
  <c r="J203" i="25"/>
  <c r="J277" i="25"/>
  <c r="J198" i="25"/>
  <c r="J269" i="25"/>
  <c r="J190" i="25"/>
  <c r="J172" i="25"/>
  <c r="J217" i="25"/>
  <c r="J181" i="25"/>
  <c r="J146" i="25"/>
  <c r="J218" i="25"/>
  <c r="J206" i="25"/>
  <c r="J162" i="25"/>
  <c r="J176" i="25"/>
  <c r="J303" i="25"/>
  <c r="J305" i="25"/>
  <c r="J238" i="25"/>
  <c r="N149" i="13"/>
  <c r="O149" i="13" s="1"/>
  <c r="P149" i="13" s="1"/>
  <c r="Q149" i="13" s="1"/>
  <c r="N47" i="13"/>
  <c r="O47" i="13" s="1"/>
  <c r="P47" i="13" s="1"/>
  <c r="Q47" i="13" s="1"/>
  <c r="N17" i="13"/>
  <c r="O17" i="13" s="1"/>
  <c r="P17" i="13" s="1"/>
  <c r="Q17" i="13" s="1"/>
  <c r="N244" i="13"/>
  <c r="O244" i="13" s="1"/>
  <c r="P244" i="13" s="1"/>
  <c r="Q244" i="13" s="1"/>
  <c r="G243" i="54" s="1"/>
  <c r="N167" i="13"/>
  <c r="O167" i="13" s="1"/>
  <c r="P167" i="13" s="1"/>
  <c r="Q167" i="13" s="1"/>
  <c r="N159" i="13"/>
  <c r="O159" i="13" s="1"/>
  <c r="P159" i="13" s="1"/>
  <c r="Q159" i="13" s="1"/>
  <c r="N72" i="13"/>
  <c r="O72" i="13" s="1"/>
  <c r="P72" i="13" s="1"/>
  <c r="Q72" i="13" s="1"/>
  <c r="N74" i="13"/>
  <c r="O74" i="13" s="1"/>
  <c r="P74" i="13" s="1"/>
  <c r="Q74" i="13" s="1"/>
  <c r="N142" i="13"/>
  <c r="O142" i="13" s="1"/>
  <c r="P142" i="13" s="1"/>
  <c r="Q142" i="13" s="1"/>
  <c r="N274" i="13"/>
  <c r="O274" i="13" s="1"/>
  <c r="N153" i="13"/>
  <c r="O153" i="13" s="1"/>
  <c r="P153" i="13" s="1"/>
  <c r="Q153" i="13" s="1"/>
  <c r="N67" i="13"/>
  <c r="O67" i="13" s="1"/>
  <c r="P67" i="13" s="1"/>
  <c r="Q67" i="13" s="1"/>
  <c r="N140" i="13"/>
  <c r="O140" i="13" s="1"/>
  <c r="P140" i="13" s="1"/>
  <c r="Q140" i="13" s="1"/>
  <c r="N189" i="13"/>
  <c r="O189" i="13" s="1"/>
  <c r="P189" i="13" s="1"/>
  <c r="Q189" i="13" s="1"/>
  <c r="G188" i="54" s="1"/>
  <c r="N270" i="13"/>
  <c r="O270" i="13" s="1"/>
  <c r="P270" i="13" s="1"/>
  <c r="Q270" i="13" s="1"/>
  <c r="G269" i="54" s="1"/>
  <c r="N215" i="13"/>
  <c r="O215" i="13" s="1"/>
  <c r="P215" i="13" s="1"/>
  <c r="Q215" i="13" s="1"/>
  <c r="G214" i="54" s="1"/>
  <c r="N34" i="13"/>
  <c r="O34" i="13" s="1"/>
  <c r="P34" i="13" s="1"/>
  <c r="Q34" i="13" s="1"/>
  <c r="N174" i="13"/>
  <c r="O174" i="13" s="1"/>
  <c r="P174" i="13" s="1"/>
  <c r="Q174" i="13" s="1"/>
  <c r="N100" i="13"/>
  <c r="O100" i="13" s="1"/>
  <c r="P100" i="13" s="1"/>
  <c r="Q100" i="13" s="1"/>
  <c r="N89" i="13"/>
  <c r="O89" i="13" s="1"/>
  <c r="P89" i="13" s="1"/>
  <c r="Q89" i="13" s="1"/>
  <c r="N232" i="13"/>
  <c r="O232" i="13" s="1"/>
  <c r="P232" i="13" s="1"/>
  <c r="Q232" i="13" s="1"/>
  <c r="G231" i="54" s="1"/>
  <c r="N182" i="13"/>
  <c r="O182" i="13" s="1"/>
  <c r="P182" i="13" s="1"/>
  <c r="Q182" i="13" s="1"/>
  <c r="N271" i="13"/>
  <c r="O271" i="13" s="1"/>
  <c r="P271" i="13" s="1"/>
  <c r="Q271" i="13" s="1"/>
  <c r="G270" i="54" s="1"/>
  <c r="N302" i="13"/>
  <c r="O302" i="13" s="1"/>
  <c r="P302" i="13" s="1"/>
  <c r="Q302" i="13" s="1"/>
  <c r="G301" i="54" s="1"/>
  <c r="N130" i="13"/>
  <c r="O130" i="13" s="1"/>
  <c r="P130" i="13" s="1"/>
  <c r="Q130" i="13" s="1"/>
  <c r="N234" i="13"/>
  <c r="O234" i="13" s="1"/>
  <c r="P234" i="13" s="1"/>
  <c r="Q234" i="13" s="1"/>
  <c r="G233" i="54" s="1"/>
  <c r="N275" i="13"/>
  <c r="O275" i="13" s="1"/>
  <c r="P275" i="13" s="1"/>
  <c r="Q275" i="13" s="1"/>
  <c r="G274" i="54" s="1"/>
  <c r="N228" i="13"/>
  <c r="O228" i="13" s="1"/>
  <c r="P228" i="13" s="1"/>
  <c r="Q228" i="13" s="1"/>
  <c r="G227" i="54" s="1"/>
  <c r="N230" i="13"/>
  <c r="O230" i="13" s="1"/>
  <c r="P230" i="13" s="1"/>
  <c r="Q230" i="13" s="1"/>
  <c r="G229" i="54" s="1"/>
  <c r="N86" i="13"/>
  <c r="O86" i="13" s="1"/>
  <c r="P86" i="13" s="1"/>
  <c r="Q86" i="13" s="1"/>
  <c r="N157" i="13"/>
  <c r="O157" i="13" s="1"/>
  <c r="P157" i="13" s="1"/>
  <c r="Q157" i="13" s="1"/>
  <c r="N94" i="13"/>
  <c r="O94" i="13" s="1"/>
  <c r="P94" i="13" s="1"/>
  <c r="Q94" i="13" s="1"/>
  <c r="N95" i="13"/>
  <c r="O95" i="13" s="1"/>
  <c r="P95" i="13" s="1"/>
  <c r="Q95" i="13" s="1"/>
  <c r="N248" i="13"/>
  <c r="O248" i="13" s="1"/>
  <c r="P248" i="13" s="1"/>
  <c r="Q248" i="13" s="1"/>
  <c r="G247" i="54" s="1"/>
  <c r="N158" i="13"/>
  <c r="O158" i="13" s="1"/>
  <c r="P158" i="13" s="1"/>
  <c r="Q158" i="13" s="1"/>
  <c r="N15" i="13"/>
  <c r="O15" i="13" s="1"/>
  <c r="P15" i="13" s="1"/>
  <c r="Q15" i="13" s="1"/>
  <c r="N36" i="13"/>
  <c r="O36" i="13" s="1"/>
  <c r="P36" i="13" s="1"/>
  <c r="Q36" i="13" s="1"/>
  <c r="N43" i="13"/>
  <c r="O43" i="13" s="1"/>
  <c r="P43" i="13" s="1"/>
  <c r="Q43" i="13" s="1"/>
  <c r="N40" i="13"/>
  <c r="O40" i="13" s="1"/>
  <c r="P40" i="13" s="1"/>
  <c r="Q40" i="13" s="1"/>
  <c r="N181" i="13"/>
  <c r="O181" i="13" s="1"/>
  <c r="P181" i="13" s="1"/>
  <c r="Q181" i="13" s="1"/>
  <c r="N204" i="13"/>
  <c r="O204" i="13" s="1"/>
  <c r="P204" i="13" s="1"/>
  <c r="Q204" i="13" s="1"/>
  <c r="G203" i="54" s="1"/>
  <c r="N299" i="13"/>
  <c r="O299" i="13" s="1"/>
  <c r="P299" i="13" s="1"/>
  <c r="Q299" i="13" s="1"/>
  <c r="G298" i="54" s="1"/>
  <c r="N81" i="13"/>
  <c r="O81" i="13" s="1"/>
  <c r="P81" i="13" s="1"/>
  <c r="Q81" i="13" s="1"/>
  <c r="N147" i="13"/>
  <c r="O147" i="13" s="1"/>
  <c r="P147" i="13" s="1"/>
  <c r="Q147" i="13" s="1"/>
  <c r="N39" i="13"/>
  <c r="O39" i="13" s="1"/>
  <c r="P39" i="13" s="1"/>
  <c r="Q39" i="13" s="1"/>
  <c r="N11" i="13"/>
  <c r="O11" i="13" s="1"/>
  <c r="P11" i="13" s="1"/>
  <c r="Q11" i="13" s="1"/>
  <c r="N45" i="13"/>
  <c r="O45" i="13" s="1"/>
  <c r="P45" i="13" s="1"/>
  <c r="Q45" i="13" s="1"/>
  <c r="N309" i="13"/>
  <c r="O309" i="13" s="1"/>
  <c r="P309" i="13" s="1"/>
  <c r="Q309" i="13" s="1"/>
  <c r="G308" i="54" s="1"/>
  <c r="N307" i="13"/>
  <c r="O307" i="13" s="1"/>
  <c r="P307" i="13" s="1"/>
  <c r="Q307" i="13" s="1"/>
  <c r="G306" i="54" s="1"/>
  <c r="N224" i="13"/>
  <c r="O224" i="13" s="1"/>
  <c r="P224" i="13" s="1"/>
  <c r="Q224" i="13" s="1"/>
  <c r="G223" i="54" s="1"/>
  <c r="N146" i="13"/>
  <c r="O146" i="13" s="1"/>
  <c r="P146" i="13" s="1"/>
  <c r="Q146" i="13" s="1"/>
  <c r="N289" i="13"/>
  <c r="O289" i="13" s="1"/>
  <c r="P289" i="13" s="1"/>
  <c r="Q289" i="13" s="1"/>
  <c r="G288" i="54" s="1"/>
  <c r="N249" i="13"/>
  <c r="O249" i="13" s="1"/>
  <c r="P249" i="13" s="1"/>
  <c r="Q249" i="13" s="1"/>
  <c r="G248" i="54" s="1"/>
  <c r="N129" i="13"/>
  <c r="O129" i="13" s="1"/>
  <c r="P129" i="13" s="1"/>
  <c r="Q129" i="13" s="1"/>
  <c r="N132" i="13"/>
  <c r="O132" i="13" s="1"/>
  <c r="P132" i="13" s="1"/>
  <c r="Q132" i="13" s="1"/>
  <c r="N303" i="13"/>
  <c r="O303" i="13" s="1"/>
  <c r="P303" i="13" s="1"/>
  <c r="Q303" i="13" s="1"/>
  <c r="G302" i="54" s="1"/>
  <c r="N281" i="13"/>
  <c r="O281" i="13" s="1"/>
  <c r="P281" i="13" s="1"/>
  <c r="Q281" i="13" s="1"/>
  <c r="G280" i="54" s="1"/>
  <c r="N258" i="13"/>
  <c r="O258" i="13" s="1"/>
  <c r="P258" i="13" s="1"/>
  <c r="Q258" i="13" s="1"/>
  <c r="G257" i="54" s="1"/>
  <c r="N10" i="13"/>
  <c r="O10" i="13" s="1"/>
  <c r="P10" i="13" s="1"/>
  <c r="Q10" i="13" s="1"/>
  <c r="N111" i="13"/>
  <c r="O111" i="13" s="1"/>
  <c r="P111" i="13" s="1"/>
  <c r="Q111" i="13" s="1"/>
  <c r="N238" i="13"/>
  <c r="O238" i="13" s="1"/>
  <c r="P238" i="13" s="1"/>
  <c r="Q238" i="13" s="1"/>
  <c r="G237" i="54" s="1"/>
  <c r="N305" i="13"/>
  <c r="O305" i="13" s="1"/>
  <c r="P305" i="13" s="1"/>
  <c r="Q305" i="13" s="1"/>
  <c r="G304" i="54" s="1"/>
  <c r="N209" i="13"/>
  <c r="O209" i="13" s="1"/>
  <c r="P209" i="13" s="1"/>
  <c r="Q209" i="13" s="1"/>
  <c r="G208" i="54" s="1"/>
  <c r="N219" i="13"/>
  <c r="O219" i="13" s="1"/>
  <c r="P219" i="13" s="1"/>
  <c r="Q219" i="13" s="1"/>
  <c r="G218" i="54" s="1"/>
  <c r="N211" i="13"/>
  <c r="O211" i="13" s="1"/>
  <c r="P211" i="13" s="1"/>
  <c r="Q211" i="13" s="1"/>
  <c r="G210" i="54" s="1"/>
  <c r="N44" i="13"/>
  <c r="O44" i="13" s="1"/>
  <c r="P44" i="13" s="1"/>
  <c r="Q44" i="13" s="1"/>
  <c r="N52" i="13"/>
  <c r="O52" i="13" s="1"/>
  <c r="P52" i="13" s="1"/>
  <c r="Q52" i="13" s="1"/>
  <c r="N49" i="13"/>
  <c r="O49" i="13" s="1"/>
  <c r="P49" i="13" s="1"/>
  <c r="Q49" i="13" s="1"/>
  <c r="N313" i="13"/>
  <c r="O313" i="13" s="1"/>
  <c r="P313" i="13" s="1"/>
  <c r="Q313" i="13" s="1"/>
  <c r="G312" i="54" s="1"/>
  <c r="N208" i="13"/>
  <c r="O208" i="13" s="1"/>
  <c r="P208" i="13" s="1"/>
  <c r="Q208" i="13" s="1"/>
  <c r="G207" i="54" s="1"/>
  <c r="N136" i="13"/>
  <c r="O136" i="13" s="1"/>
  <c r="P136" i="13" s="1"/>
  <c r="Q136" i="13" s="1"/>
  <c r="N30" i="13"/>
  <c r="O30" i="13" s="1"/>
  <c r="P30" i="13" s="1"/>
  <c r="Q30" i="13" s="1"/>
  <c r="N12" i="13"/>
  <c r="O12" i="13" s="1"/>
  <c r="P12" i="13" s="1"/>
  <c r="Q12" i="13" s="1"/>
  <c r="N263" i="13"/>
  <c r="O263" i="13" s="1"/>
  <c r="P263" i="13" s="1"/>
  <c r="Q263" i="13" s="1"/>
  <c r="G262" i="54" s="1"/>
  <c r="N193" i="13"/>
  <c r="O193" i="13" s="1"/>
  <c r="P193" i="13" s="1"/>
  <c r="Q193" i="13" s="1"/>
  <c r="G192" i="54" s="1"/>
  <c r="N87" i="13"/>
  <c r="O87" i="13" s="1"/>
  <c r="P87" i="13" s="1"/>
  <c r="Q87" i="13" s="1"/>
  <c r="N212" i="13"/>
  <c r="O212" i="13" s="1"/>
  <c r="P212" i="13" s="1"/>
  <c r="Q212" i="13" s="1"/>
  <c r="G211" i="54" s="1"/>
  <c r="N128" i="13"/>
  <c r="O128" i="13" s="1"/>
  <c r="P128" i="13" s="1"/>
  <c r="Q128" i="13" s="1"/>
  <c r="N273" i="13"/>
  <c r="O273" i="13" s="1"/>
  <c r="P273" i="13" s="1"/>
  <c r="Q273" i="13" s="1"/>
  <c r="G272" i="54" s="1"/>
  <c r="N73" i="13"/>
  <c r="O73" i="13" s="1"/>
  <c r="P73" i="13" s="1"/>
  <c r="Q73" i="13" s="1"/>
  <c r="N127" i="13"/>
  <c r="O127" i="13" s="1"/>
  <c r="P127" i="13" s="1"/>
  <c r="Q127" i="13" s="1"/>
  <c r="N55" i="13"/>
  <c r="O55" i="13" s="1"/>
  <c r="P55" i="13" s="1"/>
  <c r="Q55" i="13" s="1"/>
  <c r="N51" i="13"/>
  <c r="O51" i="13" s="1"/>
  <c r="P51" i="13" s="1"/>
  <c r="Q51" i="13" s="1"/>
  <c r="J105" i="25"/>
  <c r="J121" i="25"/>
  <c r="N122" i="13"/>
  <c r="O122" i="13" s="1"/>
  <c r="P122" i="13" s="1"/>
  <c r="Q122" i="13" s="1"/>
  <c r="J81" i="25"/>
  <c r="N82" i="13"/>
  <c r="O82" i="13" s="1"/>
  <c r="P82" i="13" s="1"/>
  <c r="Q82" i="13" s="1"/>
  <c r="J70" i="25"/>
  <c r="N188" i="13"/>
  <c r="O188" i="13" s="1"/>
  <c r="P188" i="13" s="1"/>
  <c r="Q188" i="13" s="1"/>
  <c r="N110" i="13"/>
  <c r="O110" i="13" s="1"/>
  <c r="P110" i="13" s="1"/>
  <c r="Q110" i="13" s="1"/>
  <c r="N69" i="13"/>
  <c r="O69" i="13" s="1"/>
  <c r="P69" i="13" s="1"/>
  <c r="Q69" i="13" s="1"/>
  <c r="N227" i="13"/>
  <c r="O227" i="13" s="1"/>
  <c r="P227" i="13" s="1"/>
  <c r="Q227" i="13" s="1"/>
  <c r="G226" i="54" s="1"/>
  <c r="N310" i="13"/>
  <c r="O310" i="13" s="1"/>
  <c r="P310" i="13" s="1"/>
  <c r="Q310" i="13" s="1"/>
  <c r="G309" i="54" s="1"/>
  <c r="N85" i="13"/>
  <c r="O85" i="13" s="1"/>
  <c r="P85" i="13" s="1"/>
  <c r="Q85" i="13" s="1"/>
  <c r="N233" i="13"/>
  <c r="O233" i="13" s="1"/>
  <c r="P233" i="13" s="1"/>
  <c r="Q233" i="13" s="1"/>
  <c r="G232" i="54" s="1"/>
  <c r="J7" i="25"/>
  <c r="N261" i="13"/>
  <c r="O261" i="13" s="1"/>
  <c r="P261" i="13" s="1"/>
  <c r="Q261" i="13" s="1"/>
  <c r="N196" i="13"/>
  <c r="O196" i="13" s="1"/>
  <c r="P196" i="13" s="1"/>
  <c r="Q196" i="13" s="1"/>
  <c r="N223" i="13"/>
  <c r="O223" i="13" s="1"/>
  <c r="P223" i="13" s="1"/>
  <c r="Q223" i="13" s="1"/>
  <c r="N297" i="13"/>
  <c r="O297" i="13" s="1"/>
  <c r="P297" i="13" s="1"/>
  <c r="Q297" i="13" s="1"/>
  <c r="N247" i="13"/>
  <c r="O247" i="13" s="1"/>
  <c r="P247" i="13" s="1"/>
  <c r="Q247" i="13" s="1"/>
  <c r="N139" i="13"/>
  <c r="O139" i="13" s="1"/>
  <c r="P139" i="13" s="1"/>
  <c r="Q139" i="13" s="1"/>
  <c r="N205" i="13"/>
  <c r="O205" i="13" s="1"/>
  <c r="P205" i="13" s="1"/>
  <c r="Q205" i="13" s="1"/>
  <c r="J87" i="25"/>
  <c r="N88" i="13"/>
  <c r="O88" i="13" s="1"/>
  <c r="P88" i="13" s="1"/>
  <c r="Q88" i="13" s="1"/>
  <c r="N143" i="13"/>
  <c r="O143" i="13" s="1"/>
  <c r="P143" i="13" s="1"/>
  <c r="Q143" i="13" s="1"/>
  <c r="N138" i="13"/>
  <c r="O138" i="13" s="1"/>
  <c r="P138" i="13" s="1"/>
  <c r="Q138" i="13" s="1"/>
  <c r="J133" i="25"/>
  <c r="N134" i="13"/>
  <c r="O134" i="13" s="1"/>
  <c r="P134" i="13" s="1"/>
  <c r="Q134" i="13" s="1"/>
  <c r="J63" i="25"/>
  <c r="J41" i="25"/>
  <c r="N42" i="13"/>
  <c r="O42" i="13" s="1"/>
  <c r="P42" i="13" s="1"/>
  <c r="J30" i="25"/>
  <c r="N162" i="13"/>
  <c r="O162" i="13" s="1"/>
  <c r="P162" i="13" s="1"/>
  <c r="Q162" i="13" s="1"/>
  <c r="N277" i="13"/>
  <c r="O277" i="13" s="1"/>
  <c r="P277" i="13" s="1"/>
  <c r="Q277" i="13" s="1"/>
  <c r="J19" i="25"/>
  <c r="J124" i="25"/>
  <c r="N125" i="13"/>
  <c r="O125" i="13" s="1"/>
  <c r="P125" i="13" s="1"/>
  <c r="Q125" i="13" s="1"/>
  <c r="N276" i="13"/>
  <c r="O276" i="13" s="1"/>
  <c r="P276" i="13" s="1"/>
  <c r="Q276" i="13" s="1"/>
  <c r="N75" i="13"/>
  <c r="O75" i="13" s="1"/>
  <c r="P75" i="13" s="1"/>
  <c r="Q75" i="13" s="1"/>
  <c r="N269" i="13"/>
  <c r="O269" i="13" s="1"/>
  <c r="P269" i="13" s="1"/>
  <c r="Q269" i="13" s="1"/>
  <c r="N231" i="13"/>
  <c r="O231" i="13" s="1"/>
  <c r="P231" i="13" s="1"/>
  <c r="Q231" i="13" s="1"/>
  <c r="J26" i="25"/>
  <c r="N27" i="13"/>
  <c r="O27" i="13" s="1"/>
  <c r="P27" i="13" s="1"/>
  <c r="Q27" i="13" s="1"/>
  <c r="J76" i="25"/>
  <c r="N77" i="13"/>
  <c r="O77" i="13" s="1"/>
  <c r="P77" i="13" s="1"/>
  <c r="Q77" i="13" s="1"/>
  <c r="N168" i="13"/>
  <c r="O168" i="13" s="1"/>
  <c r="P168" i="13" s="1"/>
  <c r="Q168" i="13" s="1"/>
  <c r="N166" i="13"/>
  <c r="O166" i="13" s="1"/>
  <c r="P166" i="13" s="1"/>
  <c r="Q166" i="13" s="1"/>
  <c r="J123" i="25"/>
  <c r="N124" i="13"/>
  <c r="O124" i="13" s="1"/>
  <c r="P124" i="13" s="1"/>
  <c r="Q124" i="13" s="1"/>
  <c r="N259" i="13"/>
  <c r="O259" i="13" s="1"/>
  <c r="P259" i="13" s="1"/>
  <c r="Q259" i="13" s="1"/>
  <c r="N236" i="13"/>
  <c r="O236" i="13" s="1"/>
  <c r="P236" i="13" s="1"/>
  <c r="Q236" i="13" s="1"/>
  <c r="G235" i="54" s="1"/>
  <c r="N255" i="13"/>
  <c r="O255" i="13" s="1"/>
  <c r="P255" i="13" s="1"/>
  <c r="Q255" i="13" s="1"/>
  <c r="N37" i="13"/>
  <c r="O37" i="13" s="1"/>
  <c r="P37" i="13" s="1"/>
  <c r="Q37" i="13" s="1"/>
  <c r="N298" i="13"/>
  <c r="O298" i="13" s="1"/>
  <c r="P298" i="13" s="1"/>
  <c r="Q298" i="13" s="1"/>
  <c r="G297" i="54" s="1"/>
  <c r="N251" i="13"/>
  <c r="O251" i="13" s="1"/>
  <c r="P251" i="13" s="1"/>
  <c r="Q251" i="13" s="1"/>
  <c r="G250" i="54" s="1"/>
  <c r="N282" i="13"/>
  <c r="O282" i="13" s="1"/>
  <c r="P282" i="13" s="1"/>
  <c r="Q282" i="13" s="1"/>
  <c r="G281" i="54" s="1"/>
  <c r="N213" i="13"/>
  <c r="O213" i="13" s="1"/>
  <c r="P213" i="13" s="1"/>
  <c r="Q213" i="13" s="1"/>
  <c r="N106" i="13"/>
  <c r="O106" i="13" s="1"/>
  <c r="P106" i="13" s="1"/>
  <c r="Q106" i="13" s="1"/>
  <c r="N154" i="13"/>
  <c r="O154" i="13" s="1"/>
  <c r="P154" i="13" s="1"/>
  <c r="Q154" i="13" s="1"/>
  <c r="J108" i="25"/>
  <c r="N109" i="13"/>
  <c r="O109" i="13" s="1"/>
  <c r="P109" i="13" s="1"/>
  <c r="Q109" i="13" s="1"/>
  <c r="J64" i="25"/>
  <c r="N65" i="13"/>
  <c r="O65" i="13" s="1"/>
  <c r="P65" i="13" s="1"/>
  <c r="N164" i="13"/>
  <c r="O164" i="13" s="1"/>
  <c r="P164" i="13" s="1"/>
  <c r="J122" i="25"/>
  <c r="N123" i="13"/>
  <c r="O123" i="13" s="1"/>
  <c r="P123" i="13" s="1"/>
  <c r="Q123" i="13" s="1"/>
  <c r="N190" i="13"/>
  <c r="O190" i="13" s="1"/>
  <c r="P190" i="13" s="1"/>
  <c r="Q190" i="13" s="1"/>
  <c r="G189" i="54" s="1"/>
  <c r="J18" i="25"/>
  <c r="N19" i="13"/>
  <c r="O19" i="13" s="1"/>
  <c r="P19" i="13" s="1"/>
  <c r="Q19" i="13" s="1"/>
  <c r="J59" i="25"/>
  <c r="N60" i="13"/>
  <c r="O60" i="13" s="1"/>
  <c r="P60" i="13" s="1"/>
  <c r="Q60" i="13" s="1"/>
  <c r="N141" i="13"/>
  <c r="O141" i="13" s="1"/>
  <c r="P141" i="13" s="1"/>
  <c r="Q141" i="13" s="1"/>
  <c r="N170" i="13"/>
  <c r="O170" i="13" s="1"/>
  <c r="P170" i="13" s="1"/>
  <c r="Q170" i="13" s="1"/>
  <c r="N296" i="13"/>
  <c r="O296" i="13" s="1"/>
  <c r="P296" i="13" s="1"/>
  <c r="Q296" i="13" s="1"/>
  <c r="G295" i="54" s="1"/>
  <c r="N198" i="13"/>
  <c r="O198" i="13" s="1"/>
  <c r="P198" i="13" s="1"/>
  <c r="Q198" i="13" s="1"/>
  <c r="N202" i="13"/>
  <c r="O202" i="13" s="1"/>
  <c r="P202" i="13" s="1"/>
  <c r="Q202" i="13" s="1"/>
  <c r="G201" i="54" s="1"/>
  <c r="N278" i="13"/>
  <c r="O278" i="13" s="1"/>
  <c r="P278" i="13" s="1"/>
  <c r="N53" i="13"/>
  <c r="O53" i="13" s="1"/>
  <c r="P53" i="13" s="1"/>
  <c r="Q53" i="13" s="1"/>
  <c r="N76" i="13"/>
  <c r="O76" i="13" s="1"/>
  <c r="P76" i="13" s="1"/>
  <c r="Q76" i="13" s="1"/>
  <c r="N250" i="13"/>
  <c r="O250" i="13" s="1"/>
  <c r="P250" i="13" s="1"/>
  <c r="Q250" i="13" s="1"/>
  <c r="G249" i="54" s="1"/>
  <c r="N292" i="13"/>
  <c r="O292" i="13" s="1"/>
  <c r="P292" i="13" s="1"/>
  <c r="Q292" i="13" s="1"/>
  <c r="G291" i="54" s="1"/>
  <c r="N84" i="13"/>
  <c r="O84" i="13" s="1"/>
  <c r="P84" i="13" s="1"/>
  <c r="N185" i="13"/>
  <c r="O185" i="13" s="1"/>
  <c r="P185" i="13" s="1"/>
  <c r="Q185" i="13" s="1"/>
  <c r="N115" i="13"/>
  <c r="O115" i="13" s="1"/>
  <c r="P115" i="13" s="1"/>
  <c r="Q115" i="13" s="1"/>
  <c r="N195" i="13"/>
  <c r="O195" i="13" s="1"/>
  <c r="P195" i="13" s="1"/>
  <c r="Q195" i="13" s="1"/>
  <c r="G194" i="54" s="1"/>
  <c r="N14" i="13"/>
  <c r="O14" i="13" s="1"/>
  <c r="P14" i="13" s="1"/>
  <c r="Q14" i="13" s="1"/>
  <c r="N83" i="13"/>
  <c r="O83" i="13" s="1"/>
  <c r="P83" i="13" s="1"/>
  <c r="Q83" i="13" s="1"/>
  <c r="N152" i="13"/>
  <c r="O152" i="13" s="1"/>
  <c r="P152" i="13" s="1"/>
  <c r="Q152" i="13" s="1"/>
  <c r="N165" i="13"/>
  <c r="O165" i="13" s="1"/>
  <c r="P165" i="13" s="1"/>
  <c r="Q165" i="13" s="1"/>
  <c r="N148" i="13"/>
  <c r="O148" i="13" s="1"/>
  <c r="P148" i="13" s="1"/>
  <c r="Q148" i="13" s="1"/>
  <c r="N235" i="13"/>
  <c r="O235" i="13" s="1"/>
  <c r="P235" i="13" s="1"/>
  <c r="N155" i="13"/>
  <c r="O155" i="13" s="1"/>
  <c r="P155" i="13" s="1"/>
  <c r="Q155" i="13" s="1"/>
  <c r="N301" i="13"/>
  <c r="O301" i="13" s="1"/>
  <c r="P301" i="13" s="1"/>
  <c r="Q301" i="13" s="1"/>
  <c r="G300" i="54" s="1"/>
  <c r="N214" i="13"/>
  <c r="O214" i="13" s="1"/>
  <c r="P214" i="13" s="1"/>
  <c r="Q214" i="13" s="1"/>
  <c r="G213" i="54" s="1"/>
  <c r="N256" i="13"/>
  <c r="O256" i="13" s="1"/>
  <c r="P256" i="13" s="1"/>
  <c r="Q256" i="13" s="1"/>
  <c r="G255" i="54" s="1"/>
  <c r="N41" i="13"/>
  <c r="O41" i="13" s="1"/>
  <c r="P41" i="13" s="1"/>
  <c r="Q41" i="13" s="1"/>
  <c r="N163" i="13"/>
  <c r="O163" i="13" s="1"/>
  <c r="P163" i="13" s="1"/>
  <c r="Q163" i="13" s="1"/>
  <c r="N304" i="13"/>
  <c r="O304" i="13" s="1"/>
  <c r="P304" i="13" s="1"/>
  <c r="Q304" i="13" s="1"/>
  <c r="G303" i="54" s="1"/>
  <c r="N90" i="13"/>
  <c r="O90" i="13" s="1"/>
  <c r="P90" i="13" s="1"/>
  <c r="Q90" i="13" s="1"/>
  <c r="N22" i="13"/>
  <c r="O22" i="13" s="1"/>
  <c r="P22" i="13" s="1"/>
  <c r="Q22" i="13" s="1"/>
  <c r="N178" i="13"/>
  <c r="O178" i="13" s="1"/>
  <c r="P178" i="13" s="1"/>
  <c r="Q178" i="13" s="1"/>
  <c r="N239" i="13"/>
  <c r="O239" i="13" s="1"/>
  <c r="P239" i="13" s="1"/>
  <c r="N268" i="13"/>
  <c r="O268" i="13" s="1"/>
  <c r="P268" i="13" s="1"/>
  <c r="Q268" i="13" s="1"/>
  <c r="P252" i="13"/>
  <c r="Q252" i="13" s="1"/>
  <c r="P274" i="13"/>
  <c r="Q274" i="13" s="1"/>
  <c r="G273" i="54" s="1"/>
  <c r="N108" i="13"/>
  <c r="O108" i="13" s="1"/>
  <c r="N38" i="13"/>
  <c r="O38" i="13" s="1"/>
  <c r="J31" i="25"/>
  <c r="N96" i="13"/>
  <c r="O96" i="13" s="1"/>
  <c r="N240" i="13"/>
  <c r="O240" i="13" s="1"/>
  <c r="N21" i="13"/>
  <c r="O21" i="13" s="1"/>
  <c r="N311" i="13"/>
  <c r="O311" i="13" s="1"/>
  <c r="E314" i="39"/>
  <c r="G314" i="39" s="1"/>
  <c r="H314" i="39" s="1"/>
  <c r="E314" i="12"/>
  <c r="G314" i="12" s="1"/>
  <c r="G314" i="25"/>
  <c r="N308" i="13"/>
  <c r="O308" i="13" s="1"/>
  <c r="P206" i="13"/>
  <c r="Q206" i="13" s="1"/>
  <c r="N257" i="13"/>
  <c r="O257" i="13" s="1"/>
  <c r="N246" i="13"/>
  <c r="O246" i="13" s="1"/>
  <c r="N97" i="13"/>
  <c r="O97" i="13" s="1"/>
  <c r="P242" i="13"/>
  <c r="Q242" i="13" s="1"/>
  <c r="N222" i="13"/>
  <c r="O222" i="13" s="1"/>
  <c r="J91" i="25"/>
  <c r="N92" i="13"/>
  <c r="O92" i="13" s="1"/>
  <c r="N253" i="13"/>
  <c r="O253" i="13" s="1"/>
  <c r="J92" i="25"/>
  <c r="N93" i="13"/>
  <c r="O93" i="13" s="1"/>
  <c r="J112" i="25"/>
  <c r="N62" i="13"/>
  <c r="O62" i="13" s="1"/>
  <c r="J65" i="25"/>
  <c r="N66" i="13"/>
  <c r="O66" i="13" s="1"/>
  <c r="N171" i="13"/>
  <c r="O171" i="13" s="1"/>
  <c r="N24" i="13"/>
  <c r="O24" i="13" s="1"/>
  <c r="N203" i="13"/>
  <c r="O203" i="13" s="1"/>
  <c r="N243" i="13"/>
  <c r="O243" i="13" s="1"/>
  <c r="N56" i="13"/>
  <c r="O56" i="13" s="1"/>
  <c r="N46" i="13"/>
  <c r="O46" i="13" s="1"/>
  <c r="N265" i="13"/>
  <c r="O265" i="13" s="1"/>
  <c r="N161" i="13"/>
  <c r="O161" i="13" s="1"/>
  <c r="N28" i="13"/>
  <c r="O28" i="13" s="1"/>
  <c r="P217" i="13"/>
  <c r="Q217" i="13" s="1"/>
  <c r="N287" i="13"/>
  <c r="O287" i="13" s="1"/>
  <c r="J12" i="25"/>
  <c r="N13" i="13"/>
  <c r="O13" i="13" s="1"/>
  <c r="J116" i="25"/>
  <c r="J100" i="25"/>
  <c r="N101" i="13"/>
  <c r="O101" i="13" s="1"/>
  <c r="N156" i="13"/>
  <c r="O156" i="13" s="1"/>
  <c r="N260" i="13"/>
  <c r="O260" i="13" s="1"/>
  <c r="I101" i="25"/>
  <c r="E38" i="48"/>
  <c r="N120" i="13"/>
  <c r="O120" i="13" s="1"/>
  <c r="N48" i="13"/>
  <c r="O48" i="13" s="1"/>
  <c r="N286" i="13"/>
  <c r="O286" i="13" s="1"/>
  <c r="N283" i="13"/>
  <c r="O283" i="13" s="1"/>
  <c r="N114" i="13"/>
  <c r="O114" i="13" s="1"/>
  <c r="N262" i="13"/>
  <c r="O262" i="13" s="1"/>
  <c r="N241" i="13"/>
  <c r="O241" i="13" s="1"/>
  <c r="N254" i="13"/>
  <c r="O254" i="13" s="1"/>
  <c r="N112" i="13"/>
  <c r="O112" i="13" s="1"/>
  <c r="N183" i="13"/>
  <c r="O183" i="13" s="1"/>
  <c r="N119" i="13"/>
  <c r="O119" i="13" s="1"/>
  <c r="N126" i="13"/>
  <c r="O126" i="13" s="1"/>
  <c r="N70" i="13"/>
  <c r="O70" i="13" s="1"/>
  <c r="N103" i="13"/>
  <c r="O103" i="13" s="1"/>
  <c r="N179" i="13"/>
  <c r="O179" i="13" s="1"/>
  <c r="N31" i="13"/>
  <c r="O31" i="13" s="1"/>
  <c r="N184" i="13"/>
  <c r="O184" i="13" s="1"/>
  <c r="N229" i="13"/>
  <c r="O229" i="13" s="1"/>
  <c r="N245" i="13"/>
  <c r="O245" i="13" s="1"/>
  <c r="N160" i="13"/>
  <c r="O160" i="13" s="1"/>
  <c r="N200" i="13"/>
  <c r="O200" i="13" s="1"/>
  <c r="N131" i="13"/>
  <c r="O131" i="13" s="1"/>
  <c r="N284" i="13"/>
  <c r="O284" i="13" s="1"/>
  <c r="N150" i="13"/>
  <c r="O150" i="13" s="1"/>
  <c r="J67" i="25"/>
  <c r="N68" i="13"/>
  <c r="O68" i="13" s="1"/>
  <c r="N197" i="13"/>
  <c r="O197" i="13" s="1"/>
  <c r="J120" i="25"/>
  <c r="N121" i="13"/>
  <c r="O121" i="13" s="1"/>
  <c r="N32" i="13"/>
  <c r="O32" i="13" s="1"/>
  <c r="N175" i="13"/>
  <c r="O175" i="13" s="1"/>
  <c r="N221" i="13"/>
  <c r="O221" i="13" s="1"/>
  <c r="N20" i="13"/>
  <c r="O20" i="13" s="1"/>
  <c r="N280" i="13"/>
  <c r="O280" i="13" s="1"/>
  <c r="N187" i="13"/>
  <c r="O187" i="13" s="1"/>
  <c r="J17" i="25"/>
  <c r="N18" i="13"/>
  <c r="O18" i="13" s="1"/>
  <c r="N216" i="13"/>
  <c r="O216" i="13" s="1"/>
  <c r="N312" i="13"/>
  <c r="O312" i="13" s="1"/>
  <c r="N135" i="13"/>
  <c r="O135" i="13" s="1"/>
  <c r="N71" i="13"/>
  <c r="O71" i="13" s="1"/>
  <c r="N9" i="13"/>
  <c r="O9" i="13" s="1"/>
  <c r="N300" i="13"/>
  <c r="O300" i="13" s="1"/>
  <c r="N291" i="13"/>
  <c r="O291" i="13" s="1"/>
  <c r="N61" i="13"/>
  <c r="O61" i="13" s="1"/>
  <c r="N226" i="13"/>
  <c r="O226" i="13" s="1"/>
  <c r="N80" i="13"/>
  <c r="O80" i="13" s="1"/>
  <c r="N194" i="13"/>
  <c r="O194" i="13" s="1"/>
  <c r="N294" i="13"/>
  <c r="O294" i="13" s="1"/>
  <c r="N29" i="13"/>
  <c r="O29" i="13" s="1"/>
  <c r="N266" i="13"/>
  <c r="O266" i="13" s="1"/>
  <c r="N199" i="13"/>
  <c r="O199" i="13" s="1"/>
  <c r="N180" i="13"/>
  <c r="O180" i="13" s="1"/>
  <c r="N98" i="13"/>
  <c r="O98" i="13" s="1"/>
  <c r="N63" i="13"/>
  <c r="O63" i="13" s="1"/>
  <c r="N176" i="13"/>
  <c r="O176" i="13" s="1"/>
  <c r="N220" i="13"/>
  <c r="O220" i="13" s="1"/>
  <c r="N25" i="13"/>
  <c r="O25" i="13" s="1"/>
  <c r="N225" i="13"/>
  <c r="O225" i="13" s="1"/>
  <c r="N218" i="13"/>
  <c r="O218" i="13" s="1"/>
  <c r="N23" i="13"/>
  <c r="O23" i="13" s="1"/>
  <c r="N210" i="13"/>
  <c r="O210" i="13" s="1"/>
  <c r="N293" i="13"/>
  <c r="O293" i="13" s="1"/>
  <c r="N279" i="13"/>
  <c r="O279" i="13" s="1"/>
  <c r="N57" i="13"/>
  <c r="O57" i="13" s="1"/>
  <c r="N104" i="13"/>
  <c r="O104" i="13" s="1"/>
  <c r="N314" i="13"/>
  <c r="O314" i="13" s="1"/>
  <c r="N59" i="13"/>
  <c r="O59" i="13" s="1"/>
  <c r="D11" i="34"/>
  <c r="D12" i="34" s="1"/>
  <c r="C12" i="34"/>
  <c r="N151" i="13"/>
  <c r="O151" i="13" s="1"/>
  <c r="N26" i="13"/>
  <c r="O26" i="13" s="1"/>
  <c r="I6" i="12"/>
  <c r="K6" i="12" s="1"/>
  <c r="N207" i="13"/>
  <c r="O207" i="13" s="1"/>
  <c r="N177" i="13"/>
  <c r="O177" i="13" s="1"/>
  <c r="N144" i="13"/>
  <c r="O144" i="13" s="1"/>
  <c r="N272" i="13"/>
  <c r="O272" i="13" s="1"/>
  <c r="N306" i="13"/>
  <c r="O306" i="13" s="1"/>
  <c r="N58" i="13"/>
  <c r="O58" i="13" s="1"/>
  <c r="N133" i="13"/>
  <c r="O133" i="13" s="1"/>
  <c r="N33" i="13"/>
  <c r="O33" i="13" s="1"/>
  <c r="N91" i="13"/>
  <c r="O91" i="13" s="1"/>
  <c r="N290" i="13"/>
  <c r="O290" i="13" s="1"/>
  <c r="N192" i="13"/>
  <c r="O192" i="13" s="1"/>
  <c r="N201" i="13"/>
  <c r="O201" i="13" s="1"/>
  <c r="N172" i="13"/>
  <c r="O172" i="13" s="1"/>
  <c r="N118" i="13"/>
  <c r="O118" i="13" s="1"/>
  <c r="N237" i="13"/>
  <c r="O237" i="13" s="1"/>
  <c r="N288" i="13"/>
  <c r="O288" i="13" s="1"/>
  <c r="N16" i="13"/>
  <c r="O16" i="13" s="1"/>
  <c r="I6" i="25"/>
  <c r="J314" i="39"/>
  <c r="N137" i="13"/>
  <c r="O137" i="13" s="1"/>
  <c r="N191" i="13"/>
  <c r="O191" i="13" s="1"/>
  <c r="N173" i="13"/>
  <c r="O173" i="13" s="1"/>
  <c r="N116" i="13"/>
  <c r="O116" i="13" s="1"/>
  <c r="N50" i="13"/>
  <c r="O50" i="13" s="1"/>
  <c r="N78" i="13"/>
  <c r="O78" i="13" s="1"/>
  <c r="N35" i="13"/>
  <c r="O35" i="13" s="1"/>
  <c r="N264" i="13"/>
  <c r="O264" i="13" s="1"/>
  <c r="N99" i="13"/>
  <c r="O99" i="13" s="1"/>
  <c r="N79" i="13"/>
  <c r="O79" i="13" s="1"/>
  <c r="N54" i="13"/>
  <c r="O54" i="13" s="1"/>
  <c r="N107" i="13"/>
  <c r="O107" i="13" s="1"/>
  <c r="N169" i="13"/>
  <c r="O169" i="13" s="1"/>
  <c r="N295" i="13"/>
  <c r="O295" i="13" s="1"/>
  <c r="N64" i="13"/>
  <c r="O64" i="13" s="1"/>
  <c r="N285" i="13"/>
  <c r="O285" i="13" s="1"/>
  <c r="N105" i="13"/>
  <c r="O105" i="13" s="1"/>
  <c r="G276" i="54" l="1"/>
  <c r="R252" i="13"/>
  <c r="S252" i="13" s="1"/>
  <c r="G204" i="54"/>
  <c r="G246" i="54"/>
  <c r="G187" i="54"/>
  <c r="G241" i="54"/>
  <c r="G275" i="54"/>
  <c r="G230" i="54"/>
  <c r="G258" i="54"/>
  <c r="G212" i="54"/>
  <c r="G195" i="54"/>
  <c r="G216" i="54"/>
  <c r="G205" i="54"/>
  <c r="G254" i="54"/>
  <c r="G268" i="54"/>
  <c r="G296" i="54"/>
  <c r="G266" i="54"/>
  <c r="G222" i="54"/>
  <c r="G197" i="54"/>
  <c r="G260" i="54"/>
  <c r="G251" i="54"/>
  <c r="K89" i="25"/>
  <c r="O89" i="25" s="1"/>
  <c r="G89" i="54"/>
  <c r="K52" i="25"/>
  <c r="L52" i="25" s="1"/>
  <c r="N52" i="25" s="1"/>
  <c r="G52" i="54"/>
  <c r="K33" i="25"/>
  <c r="L33" i="25" s="1"/>
  <c r="N33" i="25" s="1"/>
  <c r="G33" i="54"/>
  <c r="K116" i="25"/>
  <c r="L116" i="25" s="1"/>
  <c r="N116" i="25" s="1"/>
  <c r="G116" i="54"/>
  <c r="K40" i="25"/>
  <c r="L40" i="25" s="1"/>
  <c r="N40" i="25" s="1"/>
  <c r="G40" i="54"/>
  <c r="K82" i="25"/>
  <c r="O82" i="25" s="1"/>
  <c r="G82" i="54"/>
  <c r="K184" i="25"/>
  <c r="L184" i="25" s="1"/>
  <c r="N184" i="25" s="1"/>
  <c r="G184" i="54"/>
  <c r="K59" i="25"/>
  <c r="O59" i="25" s="1"/>
  <c r="G59" i="54"/>
  <c r="K122" i="25"/>
  <c r="L122" i="25" s="1"/>
  <c r="N122" i="25" s="1"/>
  <c r="G122" i="54"/>
  <c r="K105" i="25"/>
  <c r="O105" i="25" s="1"/>
  <c r="G105" i="54"/>
  <c r="K123" i="25"/>
  <c r="L123" i="25" s="1"/>
  <c r="N123" i="25" s="1"/>
  <c r="G123" i="54"/>
  <c r="K76" i="25"/>
  <c r="O76" i="25" s="1"/>
  <c r="G76" i="54"/>
  <c r="K161" i="25"/>
  <c r="G161" i="54"/>
  <c r="K137" i="25"/>
  <c r="G137" i="54"/>
  <c r="K138" i="25"/>
  <c r="G138" i="54"/>
  <c r="K121" i="25"/>
  <c r="O121" i="25" s="1"/>
  <c r="G121" i="54"/>
  <c r="K54" i="25"/>
  <c r="O54" i="25" s="1"/>
  <c r="G54" i="54"/>
  <c r="K86" i="25"/>
  <c r="L86" i="25" s="1"/>
  <c r="N86" i="25" s="1"/>
  <c r="G86" i="54"/>
  <c r="K11" i="25"/>
  <c r="L11" i="25" s="1"/>
  <c r="N11" i="25" s="1"/>
  <c r="G11" i="54"/>
  <c r="K135" i="25"/>
  <c r="L135" i="25" s="1"/>
  <c r="N135" i="25" s="1"/>
  <c r="G135" i="54"/>
  <c r="K9" i="25"/>
  <c r="O9" i="25" s="1"/>
  <c r="G9" i="54"/>
  <c r="K38" i="25"/>
  <c r="L38" i="25" s="1"/>
  <c r="N38" i="25" s="1"/>
  <c r="G38" i="54"/>
  <c r="K180" i="25"/>
  <c r="L180" i="25" s="1"/>
  <c r="N180" i="25" s="1"/>
  <c r="G180" i="54"/>
  <c r="K42" i="25"/>
  <c r="L42" i="25" s="1"/>
  <c r="N42" i="25" s="1"/>
  <c r="G42" i="54"/>
  <c r="K157" i="25"/>
  <c r="L157" i="25" s="1"/>
  <c r="N157" i="25" s="1"/>
  <c r="G157" i="54"/>
  <c r="K156" i="25"/>
  <c r="L156" i="25" s="1"/>
  <c r="N156" i="25" s="1"/>
  <c r="G156" i="54"/>
  <c r="K139" i="25"/>
  <c r="O139" i="25" s="1"/>
  <c r="G139" i="54"/>
  <c r="K73" i="25"/>
  <c r="L73" i="25" s="1"/>
  <c r="N73" i="25" s="1"/>
  <c r="G73" i="54"/>
  <c r="K166" i="25"/>
  <c r="L166" i="25" s="1"/>
  <c r="N166" i="25" s="1"/>
  <c r="G166" i="54"/>
  <c r="K51" i="25"/>
  <c r="O51" i="25" s="1"/>
  <c r="G51" i="54"/>
  <c r="K142" i="25"/>
  <c r="G142" i="54"/>
  <c r="K185" i="25"/>
  <c r="G185" i="54"/>
  <c r="K14" i="25"/>
  <c r="L14" i="25" s="1"/>
  <c r="N14" i="25" s="1"/>
  <c r="G14" i="54"/>
  <c r="K112" i="25"/>
  <c r="L112" i="25" s="1"/>
  <c r="N112" i="25" s="1"/>
  <c r="G112" i="54"/>
  <c r="K144" i="25"/>
  <c r="G144" i="54"/>
  <c r="K267" i="25"/>
  <c r="L267" i="25" s="1"/>
  <c r="N267" i="25" s="1"/>
  <c r="G267" i="54"/>
  <c r="K177" i="25"/>
  <c r="L177" i="25" s="1"/>
  <c r="N177" i="25" s="1"/>
  <c r="G177" i="54"/>
  <c r="K154" i="25"/>
  <c r="O154" i="25" s="1"/>
  <c r="G154" i="54"/>
  <c r="K151" i="25"/>
  <c r="O151" i="25" s="1"/>
  <c r="G151" i="54"/>
  <c r="K140" i="25"/>
  <c r="G140" i="54"/>
  <c r="K153" i="25"/>
  <c r="G153" i="54"/>
  <c r="K124" i="25"/>
  <c r="L124" i="25" s="1"/>
  <c r="N124" i="25" s="1"/>
  <c r="G124" i="54"/>
  <c r="K133" i="25"/>
  <c r="O133" i="25" s="1"/>
  <c r="G133" i="54"/>
  <c r="K68" i="25"/>
  <c r="O68" i="25" s="1"/>
  <c r="G68" i="54"/>
  <c r="K126" i="25"/>
  <c r="O126" i="25" s="1"/>
  <c r="G126" i="54"/>
  <c r="K127" i="25"/>
  <c r="L127" i="25" s="1"/>
  <c r="N127" i="25" s="1"/>
  <c r="G127" i="54"/>
  <c r="K29" i="25"/>
  <c r="L29" i="25" s="1"/>
  <c r="N29" i="25" s="1"/>
  <c r="G29" i="54"/>
  <c r="K110" i="25"/>
  <c r="L110" i="25" s="1"/>
  <c r="N110" i="25" s="1"/>
  <c r="G110" i="54"/>
  <c r="K131" i="25"/>
  <c r="L131" i="25" s="1"/>
  <c r="N131" i="25" s="1"/>
  <c r="G131" i="54"/>
  <c r="K10" i="25"/>
  <c r="L10" i="25" s="1"/>
  <c r="N10" i="25" s="1"/>
  <c r="G10" i="54"/>
  <c r="K181" i="25"/>
  <c r="L181" i="25" s="1"/>
  <c r="N181" i="25" s="1"/>
  <c r="G181" i="54"/>
  <c r="K99" i="25"/>
  <c r="L99" i="25" s="1"/>
  <c r="N99" i="25" s="1"/>
  <c r="G99" i="54"/>
  <c r="K66" i="25"/>
  <c r="L66" i="25" s="1"/>
  <c r="N66" i="25" s="1"/>
  <c r="G66" i="54"/>
  <c r="K46" i="25"/>
  <c r="L46" i="25" s="1"/>
  <c r="N46" i="25" s="1"/>
  <c r="G46" i="54"/>
  <c r="K18" i="25"/>
  <c r="L18" i="25" s="1"/>
  <c r="N18" i="25" s="1"/>
  <c r="G18" i="54"/>
  <c r="K169" i="25"/>
  <c r="G169" i="54"/>
  <c r="K93" i="25"/>
  <c r="O93" i="25" s="1"/>
  <c r="G93" i="54"/>
  <c r="K147" i="25"/>
  <c r="L147" i="25" s="1"/>
  <c r="N147" i="25" s="1"/>
  <c r="G147" i="54"/>
  <c r="K162" i="25"/>
  <c r="O162" i="25" s="1"/>
  <c r="G162" i="54"/>
  <c r="K13" i="25"/>
  <c r="L13" i="25" s="1"/>
  <c r="N13" i="25" s="1"/>
  <c r="G13" i="54"/>
  <c r="K114" i="25"/>
  <c r="O114" i="25" s="1"/>
  <c r="G114" i="54"/>
  <c r="K75" i="25"/>
  <c r="L75" i="25" s="1"/>
  <c r="N75" i="25" s="1"/>
  <c r="G75" i="54"/>
  <c r="K167" i="25"/>
  <c r="G167" i="54"/>
  <c r="K74" i="25"/>
  <c r="L74" i="25" s="1"/>
  <c r="N74" i="25" s="1"/>
  <c r="G74" i="54"/>
  <c r="K84" i="25"/>
  <c r="L84" i="25" s="1"/>
  <c r="N84" i="25" s="1"/>
  <c r="G84" i="54"/>
  <c r="K81" i="25"/>
  <c r="L81" i="25" s="1"/>
  <c r="N81" i="25" s="1"/>
  <c r="G81" i="54"/>
  <c r="K72" i="25"/>
  <c r="L72" i="25" s="1"/>
  <c r="N72" i="25" s="1"/>
  <c r="G72" i="54"/>
  <c r="K48" i="25"/>
  <c r="L48" i="25" s="1"/>
  <c r="N48" i="25" s="1"/>
  <c r="G48" i="54"/>
  <c r="K43" i="25"/>
  <c r="L43" i="25" s="1"/>
  <c r="N43" i="25" s="1"/>
  <c r="G43" i="54"/>
  <c r="K145" i="25"/>
  <c r="L145" i="25" s="1"/>
  <c r="N145" i="25" s="1"/>
  <c r="G145" i="54"/>
  <c r="K44" i="25"/>
  <c r="L44" i="25" s="1"/>
  <c r="N44" i="25" s="1"/>
  <c r="G44" i="54"/>
  <c r="K146" i="25"/>
  <c r="L146" i="25" s="1"/>
  <c r="N146" i="25" s="1"/>
  <c r="G146" i="54"/>
  <c r="K80" i="25"/>
  <c r="L80" i="25" s="1"/>
  <c r="N80" i="25" s="1"/>
  <c r="G80" i="54"/>
  <c r="K35" i="25"/>
  <c r="O35" i="25" s="1"/>
  <c r="G35" i="54"/>
  <c r="K94" i="25"/>
  <c r="L94" i="25" s="1"/>
  <c r="N94" i="25" s="1"/>
  <c r="G94" i="54"/>
  <c r="K85" i="25"/>
  <c r="L85" i="25" s="1"/>
  <c r="N85" i="25" s="1"/>
  <c r="G85" i="54"/>
  <c r="K129" i="25"/>
  <c r="O129" i="25" s="1"/>
  <c r="G129" i="54"/>
  <c r="K173" i="25"/>
  <c r="O173" i="25" s="1"/>
  <c r="G173" i="54"/>
  <c r="K152" i="25"/>
  <c r="L152" i="25" s="1"/>
  <c r="N152" i="25" s="1"/>
  <c r="G152" i="54"/>
  <c r="K141" i="25"/>
  <c r="L141" i="25" s="1"/>
  <c r="N141" i="25" s="1"/>
  <c r="G141" i="54"/>
  <c r="K158" i="25"/>
  <c r="O158" i="25" s="1"/>
  <c r="G158" i="54"/>
  <c r="K16" i="25"/>
  <c r="L16" i="25" s="1"/>
  <c r="N16" i="25" s="1"/>
  <c r="G16" i="54"/>
  <c r="K71" i="25"/>
  <c r="L71" i="25" s="1"/>
  <c r="N71" i="25" s="1"/>
  <c r="G71" i="54"/>
  <c r="K87" i="25"/>
  <c r="O87" i="25" s="1"/>
  <c r="G87" i="54"/>
  <c r="K164" i="25"/>
  <c r="O164" i="25" s="1"/>
  <c r="G164" i="54"/>
  <c r="K50" i="25"/>
  <c r="L50" i="25" s="1"/>
  <c r="N50" i="25" s="1"/>
  <c r="G50" i="54"/>
  <c r="K39" i="25"/>
  <c r="O39" i="25" s="1"/>
  <c r="G39" i="54"/>
  <c r="H39" i="54" s="1"/>
  <c r="K21" i="25"/>
  <c r="L21" i="25" s="1"/>
  <c r="N21" i="25" s="1"/>
  <c r="G21" i="54"/>
  <c r="K36" i="25"/>
  <c r="L36" i="25" s="1"/>
  <c r="N36" i="25" s="1"/>
  <c r="G36" i="54"/>
  <c r="K165" i="25"/>
  <c r="G165" i="54"/>
  <c r="K109" i="25"/>
  <c r="L109" i="25" s="1"/>
  <c r="N109" i="25" s="1"/>
  <c r="G109" i="54"/>
  <c r="K88" i="25"/>
  <c r="L88" i="25" s="1"/>
  <c r="N88" i="25" s="1"/>
  <c r="G88" i="54"/>
  <c r="K7" i="25"/>
  <c r="L7" i="25" s="1"/>
  <c r="N7" i="25" s="1"/>
  <c r="G7" i="54"/>
  <c r="K128" i="25"/>
  <c r="L128" i="25" s="1"/>
  <c r="N128" i="25" s="1"/>
  <c r="G128" i="54"/>
  <c r="K108" i="25"/>
  <c r="O108" i="25" s="1"/>
  <c r="G108" i="54"/>
  <c r="K148" i="25"/>
  <c r="L148" i="25" s="1"/>
  <c r="N148" i="25" s="1"/>
  <c r="G148" i="54"/>
  <c r="K26" i="25"/>
  <c r="L26" i="25" s="1"/>
  <c r="N26" i="25" s="1"/>
  <c r="G26" i="54"/>
  <c r="K213" i="25"/>
  <c r="L213" i="25" s="1"/>
  <c r="N213" i="25" s="1"/>
  <c r="K237" i="25"/>
  <c r="L237" i="25" s="1"/>
  <c r="N237" i="25" s="1"/>
  <c r="K295" i="25"/>
  <c r="J283" i="25"/>
  <c r="K243" i="25"/>
  <c r="L243" i="25" s="1"/>
  <c r="N243" i="25" s="1"/>
  <c r="J220" i="25"/>
  <c r="K207" i="25"/>
  <c r="L207" i="25" s="1"/>
  <c r="N207" i="25" s="1"/>
  <c r="J292" i="25"/>
  <c r="K212" i="25"/>
  <c r="K230" i="25"/>
  <c r="J142" i="25"/>
  <c r="O142" i="25" s="1"/>
  <c r="J138" i="25"/>
  <c r="K232" i="25"/>
  <c r="L232" i="25" s="1"/>
  <c r="N232" i="25" s="1"/>
  <c r="J205" i="25"/>
  <c r="K233" i="25"/>
  <c r="L233" i="25" s="1"/>
  <c r="N233" i="25" s="1"/>
  <c r="K188" i="25"/>
  <c r="O188" i="25" s="1"/>
  <c r="H188" i="54" s="1"/>
  <c r="K266" i="25"/>
  <c r="K223" i="25"/>
  <c r="L223" i="25" s="1"/>
  <c r="N223" i="25" s="1"/>
  <c r="K241" i="25"/>
  <c r="K226" i="25"/>
  <c r="L226" i="25" s="1"/>
  <c r="N226" i="25" s="1"/>
  <c r="J307" i="25"/>
  <c r="J279" i="25"/>
  <c r="K222" i="25"/>
  <c r="K229" i="25"/>
  <c r="L229" i="25" s="1"/>
  <c r="N229" i="25" s="1"/>
  <c r="K312" i="25"/>
  <c r="L312" i="25" s="1"/>
  <c r="N312" i="25" s="1"/>
  <c r="K249" i="25"/>
  <c r="O249" i="25" s="1"/>
  <c r="H249" i="54" s="1"/>
  <c r="K197" i="25"/>
  <c r="J153" i="25"/>
  <c r="J212" i="25"/>
  <c r="K235" i="25"/>
  <c r="J258" i="25"/>
  <c r="J230" i="25"/>
  <c r="J137" i="25"/>
  <c r="K204" i="25"/>
  <c r="K246" i="25"/>
  <c r="J195" i="25"/>
  <c r="K309" i="25"/>
  <c r="O309" i="25" s="1"/>
  <c r="K187" i="25"/>
  <c r="K262" i="25"/>
  <c r="L262" i="25" s="1"/>
  <c r="N262" i="25" s="1"/>
  <c r="K218" i="25"/>
  <c r="L218" i="25" s="1"/>
  <c r="N218" i="25" s="1"/>
  <c r="K280" i="25"/>
  <c r="L280" i="25" s="1"/>
  <c r="N280" i="25" s="1"/>
  <c r="K274" i="25"/>
  <c r="L274" i="25" s="1"/>
  <c r="N274" i="25" s="1"/>
  <c r="K270" i="25"/>
  <c r="O270" i="25" s="1"/>
  <c r="H270" i="54" s="1"/>
  <c r="K231" i="25"/>
  <c r="O231" i="25" s="1"/>
  <c r="J216" i="25"/>
  <c r="J242" i="25"/>
  <c r="K189" i="25"/>
  <c r="J254" i="25"/>
  <c r="J268" i="25"/>
  <c r="K276" i="25"/>
  <c r="J161" i="25"/>
  <c r="O161" i="25" s="1"/>
  <c r="J296" i="25"/>
  <c r="J245" i="25"/>
  <c r="K210" i="25"/>
  <c r="O210" i="25" s="1"/>
  <c r="K288" i="25"/>
  <c r="O288" i="25" s="1"/>
  <c r="K308" i="25"/>
  <c r="L308" i="25" s="1"/>
  <c r="N308" i="25" s="1"/>
  <c r="K247" i="25"/>
  <c r="L247" i="25" s="1"/>
  <c r="N247" i="25" s="1"/>
  <c r="K211" i="25"/>
  <c r="L211" i="25" s="1"/>
  <c r="N211" i="25" s="1"/>
  <c r="K291" i="25"/>
  <c r="L291" i="25" s="1"/>
  <c r="N291" i="25" s="1"/>
  <c r="K194" i="25"/>
  <c r="L194" i="25" s="1"/>
  <c r="N194" i="25" s="1"/>
  <c r="K208" i="25"/>
  <c r="L208" i="25" s="1"/>
  <c r="N208" i="25" s="1"/>
  <c r="K275" i="25"/>
  <c r="K301" i="25"/>
  <c r="O301" i="25" s="1"/>
  <c r="K302" i="25"/>
  <c r="L302" i="25" s="1"/>
  <c r="N302" i="25" s="1"/>
  <c r="J185" i="25"/>
  <c r="L185" i="25" s="1"/>
  <c r="N185" i="25" s="1"/>
  <c r="J251" i="25"/>
  <c r="J286" i="25"/>
  <c r="J310" i="25"/>
  <c r="K260" i="25"/>
  <c r="K251" i="25"/>
  <c r="J295" i="25"/>
  <c r="J140" i="25"/>
  <c r="J189" i="25"/>
  <c r="J235" i="25"/>
  <c r="J165" i="25"/>
  <c r="J167" i="25"/>
  <c r="J276" i="25"/>
  <c r="J204" i="25"/>
  <c r="J246" i="25"/>
  <c r="L246" i="25" s="1"/>
  <c r="N246" i="25" s="1"/>
  <c r="J187" i="25"/>
  <c r="K203" i="25"/>
  <c r="L203" i="25" s="1"/>
  <c r="N203" i="25" s="1"/>
  <c r="J155" i="25"/>
  <c r="J202" i="25"/>
  <c r="K273" i="25"/>
  <c r="O273" i="25" s="1"/>
  <c r="K255" i="25"/>
  <c r="L255" i="25" s="1"/>
  <c r="N255" i="25" s="1"/>
  <c r="K297" i="25"/>
  <c r="L297" i="25" s="1"/>
  <c r="N297" i="25" s="1"/>
  <c r="H297" i="54"/>
  <c r="J266" i="25"/>
  <c r="K195" i="25"/>
  <c r="K192" i="25"/>
  <c r="L192" i="25" s="1"/>
  <c r="N192" i="25" s="1"/>
  <c r="K298" i="25"/>
  <c r="O298" i="25" s="1"/>
  <c r="K269" i="25"/>
  <c r="L269" i="25" s="1"/>
  <c r="N269" i="25" s="1"/>
  <c r="J186" i="25"/>
  <c r="J174" i="25"/>
  <c r="J144" i="25"/>
  <c r="L144" i="25" s="1"/>
  <c r="N144" i="25" s="1"/>
  <c r="K216" i="25"/>
  <c r="K281" i="25"/>
  <c r="L281" i="25" s="1"/>
  <c r="N281" i="25" s="1"/>
  <c r="J252" i="25"/>
  <c r="K205" i="25"/>
  <c r="J196" i="25"/>
  <c r="K303" i="25"/>
  <c r="O303" i="25" s="1"/>
  <c r="K300" i="25"/>
  <c r="L300" i="25" s="1"/>
  <c r="N300" i="25" s="1"/>
  <c r="K201" i="25"/>
  <c r="L201" i="25" s="1"/>
  <c r="N201" i="25" s="1"/>
  <c r="J197" i="25"/>
  <c r="J169" i="25"/>
  <c r="L169" i="25" s="1"/>
  <c r="N169" i="25" s="1"/>
  <c r="K250" i="25"/>
  <c r="L250" i="25" s="1"/>
  <c r="N250" i="25" s="1"/>
  <c r="K254" i="25"/>
  <c r="K258" i="25"/>
  <c r="K268" i="25"/>
  <c r="J275" i="25"/>
  <c r="K296" i="25"/>
  <c r="J222" i="25"/>
  <c r="J260" i="25"/>
  <c r="L260" i="25" s="1"/>
  <c r="N260" i="25" s="1"/>
  <c r="J241" i="25"/>
  <c r="J209" i="25"/>
  <c r="K272" i="25"/>
  <c r="L272" i="25" s="1"/>
  <c r="N272" i="25" s="1"/>
  <c r="K304" i="25"/>
  <c r="L304" i="25" s="1"/>
  <c r="N304" i="25" s="1"/>
  <c r="K257" i="25"/>
  <c r="O257" i="25" s="1"/>
  <c r="K248" i="25"/>
  <c r="O248" i="25" s="1"/>
  <c r="H248" i="54" s="1"/>
  <c r="K306" i="25"/>
  <c r="L306" i="25" s="1"/>
  <c r="N306" i="25" s="1"/>
  <c r="K227" i="25"/>
  <c r="L227" i="25" s="1"/>
  <c r="N227" i="25" s="1"/>
  <c r="K214" i="25"/>
  <c r="L214" i="25" s="1"/>
  <c r="N214" i="25" s="1"/>
  <c r="I314" i="25"/>
  <c r="R256" i="13"/>
  <c r="S256" i="13" s="1"/>
  <c r="R140" i="13"/>
  <c r="S140" i="13" s="1"/>
  <c r="R302" i="13"/>
  <c r="S302" i="13" s="1"/>
  <c r="O33" i="25"/>
  <c r="R34" i="13"/>
  <c r="S34" i="13" s="1"/>
  <c r="Q42" i="13"/>
  <c r="R42" i="13"/>
  <c r="S42" i="13" s="1"/>
  <c r="Q84" i="13"/>
  <c r="G83" i="54" s="1"/>
  <c r="R84" i="13"/>
  <c r="S84" i="13" s="1"/>
  <c r="R30" i="13"/>
  <c r="S30" i="13" s="1"/>
  <c r="R111" i="13"/>
  <c r="S111" i="13" s="1"/>
  <c r="R276" i="13"/>
  <c r="S276" i="13" s="1"/>
  <c r="R165" i="13"/>
  <c r="S165" i="13" s="1"/>
  <c r="R69" i="13"/>
  <c r="S69" i="13" s="1"/>
  <c r="R232" i="13"/>
  <c r="S232" i="13" s="1"/>
  <c r="R298" i="13"/>
  <c r="S298" i="13" s="1"/>
  <c r="R10" i="13"/>
  <c r="S10" i="13" s="1"/>
  <c r="R258" i="13"/>
  <c r="S258" i="13" s="1"/>
  <c r="Q65" i="13"/>
  <c r="G64" i="54" s="1"/>
  <c r="R65" i="13"/>
  <c r="S65" i="13" s="1"/>
  <c r="R297" i="13"/>
  <c r="S297" i="13" s="1"/>
  <c r="R77" i="13"/>
  <c r="S77" i="13" s="1"/>
  <c r="R106" i="13"/>
  <c r="S106" i="13" s="1"/>
  <c r="R251" i="13"/>
  <c r="S251" i="13" s="1"/>
  <c r="R231" i="13"/>
  <c r="S231" i="13" s="1"/>
  <c r="R255" i="13"/>
  <c r="S255" i="13" s="1"/>
  <c r="R301" i="13"/>
  <c r="S301" i="13" s="1"/>
  <c r="R134" i="13"/>
  <c r="S134" i="13" s="1"/>
  <c r="R53" i="13"/>
  <c r="S53" i="13" s="1"/>
  <c r="R123" i="13"/>
  <c r="S123" i="13" s="1"/>
  <c r="R224" i="13"/>
  <c r="S224" i="13" s="1"/>
  <c r="R289" i="13"/>
  <c r="S289" i="13" s="1"/>
  <c r="R271" i="13"/>
  <c r="S271" i="13" s="1"/>
  <c r="R206" i="13"/>
  <c r="S206" i="13" s="1"/>
  <c r="R249" i="13"/>
  <c r="S249" i="13" s="1"/>
  <c r="R230" i="13"/>
  <c r="S230" i="13" s="1"/>
  <c r="R261" i="13"/>
  <c r="S261" i="13" s="1"/>
  <c r="R76" i="13"/>
  <c r="S76" i="13" s="1"/>
  <c r="R198" i="13"/>
  <c r="S198" i="13" s="1"/>
  <c r="R166" i="13"/>
  <c r="S166" i="13" s="1"/>
  <c r="R82" i="13"/>
  <c r="S82" i="13" s="1"/>
  <c r="R44" i="13"/>
  <c r="S44" i="13" s="1"/>
  <c r="R214" i="13"/>
  <c r="S214" i="13" s="1"/>
  <c r="R190" i="13"/>
  <c r="S190" i="13" s="1"/>
  <c r="R132" i="13"/>
  <c r="S132" i="13" s="1"/>
  <c r="R47" i="13"/>
  <c r="S47" i="13" s="1"/>
  <c r="R146" i="13"/>
  <c r="S146" i="13" s="1"/>
  <c r="R313" i="13"/>
  <c r="S313" i="13" s="1"/>
  <c r="R149" i="13"/>
  <c r="S149" i="13" s="1"/>
  <c r="Q278" i="13"/>
  <c r="G277" i="54" s="1"/>
  <c r="R278" i="13"/>
  <c r="S278" i="13" s="1"/>
  <c r="Q239" i="13"/>
  <c r="G238" i="54" s="1"/>
  <c r="R239" i="13"/>
  <c r="S239" i="13" s="1"/>
  <c r="Q235" i="13"/>
  <c r="G234" i="54" s="1"/>
  <c r="R235" i="13"/>
  <c r="S235" i="13" s="1"/>
  <c r="Q164" i="13"/>
  <c r="G163" i="54" s="1"/>
  <c r="R164" i="13"/>
  <c r="S164" i="13" s="1"/>
  <c r="R188" i="13"/>
  <c r="S188" i="13" s="1"/>
  <c r="R250" i="13"/>
  <c r="S250" i="13" s="1"/>
  <c r="R215" i="13"/>
  <c r="S215" i="13" s="1"/>
  <c r="R85" i="13"/>
  <c r="S85" i="13" s="1"/>
  <c r="R282" i="13"/>
  <c r="S282" i="13" s="1"/>
  <c r="R129" i="13"/>
  <c r="S129" i="13" s="1"/>
  <c r="R19" i="13"/>
  <c r="S19" i="13" s="1"/>
  <c r="R193" i="13"/>
  <c r="S193" i="13" s="1"/>
  <c r="R147" i="13"/>
  <c r="S147" i="13" s="1"/>
  <c r="R273" i="13"/>
  <c r="S273" i="13" s="1"/>
  <c r="R17" i="13"/>
  <c r="S17" i="13" s="1"/>
  <c r="R263" i="13"/>
  <c r="S263" i="13" s="1"/>
  <c r="R94" i="13"/>
  <c r="S94" i="13" s="1"/>
  <c r="R159" i="13"/>
  <c r="S159" i="13" s="1"/>
  <c r="R219" i="13"/>
  <c r="S219" i="13" s="1"/>
  <c r="R204" i="13"/>
  <c r="S204" i="13" s="1"/>
  <c r="R281" i="13"/>
  <c r="S281" i="13" s="1"/>
  <c r="R296" i="13"/>
  <c r="S296" i="13" s="1"/>
  <c r="R267" i="13"/>
  <c r="S267" i="13" s="1"/>
  <c r="R136" i="13"/>
  <c r="S136" i="13" s="1"/>
  <c r="R36" i="13"/>
  <c r="S36" i="13" s="1"/>
  <c r="R100" i="13"/>
  <c r="S100" i="13" s="1"/>
  <c r="R109" i="13"/>
  <c r="S109" i="13" s="1"/>
  <c r="R310" i="13"/>
  <c r="S310" i="13" s="1"/>
  <c r="R37" i="13"/>
  <c r="S37" i="13" s="1"/>
  <c r="R208" i="13"/>
  <c r="S208" i="13" s="1"/>
  <c r="R174" i="13"/>
  <c r="S174" i="13" s="1"/>
  <c r="R274" i="13"/>
  <c r="S274" i="13" s="1"/>
  <c r="R309" i="13"/>
  <c r="S309" i="13" s="1"/>
  <c r="R87" i="13"/>
  <c r="S87" i="13" s="1"/>
  <c r="R195" i="13"/>
  <c r="S195" i="13" s="1"/>
  <c r="R178" i="13"/>
  <c r="S178" i="13" s="1"/>
  <c r="R90" i="13"/>
  <c r="S90" i="13" s="1"/>
  <c r="R304" i="13"/>
  <c r="S304" i="13" s="1"/>
  <c r="R73" i="13"/>
  <c r="S73" i="13" s="1"/>
  <c r="R209" i="13"/>
  <c r="S209" i="13" s="1"/>
  <c r="R155" i="13"/>
  <c r="S155" i="13" s="1"/>
  <c r="R95" i="13"/>
  <c r="S95" i="13" s="1"/>
  <c r="R51" i="13"/>
  <c r="S51" i="13" s="1"/>
  <c r="R236" i="13"/>
  <c r="S236" i="13" s="1"/>
  <c r="R138" i="13"/>
  <c r="S138" i="13" s="1"/>
  <c r="R81" i="13"/>
  <c r="S81" i="13" s="1"/>
  <c r="R247" i="13"/>
  <c r="S247" i="13" s="1"/>
  <c r="R185" i="13"/>
  <c r="S185" i="13" s="1"/>
  <c r="R52" i="13"/>
  <c r="S52" i="13" s="1"/>
  <c r="R307" i="13"/>
  <c r="S307" i="13" s="1"/>
  <c r="R8" i="13"/>
  <c r="S8" i="13" s="1"/>
  <c r="R234" i="13"/>
  <c r="S234" i="13" s="1"/>
  <c r="R15" i="13"/>
  <c r="S15" i="13" s="1"/>
  <c r="R40" i="13"/>
  <c r="S40" i="13" s="1"/>
  <c r="R11" i="13"/>
  <c r="S11" i="13" s="1"/>
  <c r="R213" i="13"/>
  <c r="S213" i="13" s="1"/>
  <c r="L151" i="25"/>
  <c r="N151" i="25" s="1"/>
  <c r="P295" i="13"/>
  <c r="Q295" i="13" s="1"/>
  <c r="G294" i="54" s="1"/>
  <c r="P137" i="13"/>
  <c r="Q137" i="13" s="1"/>
  <c r="G136" i="54" s="1"/>
  <c r="O72" i="25"/>
  <c r="P98" i="13"/>
  <c r="Q98" i="13" s="1"/>
  <c r="G97" i="54" s="1"/>
  <c r="P175" i="13"/>
  <c r="Q175" i="13" s="1"/>
  <c r="G174" i="54" s="1"/>
  <c r="P103" i="13"/>
  <c r="Q103" i="13" s="1"/>
  <c r="P101" i="13"/>
  <c r="Q101" i="13" s="1"/>
  <c r="G100" i="54" s="1"/>
  <c r="P265" i="13"/>
  <c r="Q265" i="13" s="1"/>
  <c r="G264" i="54" s="1"/>
  <c r="O166" i="25"/>
  <c r="P62" i="13"/>
  <c r="Q62" i="13" s="1"/>
  <c r="J101" i="25"/>
  <c r="E37" i="48"/>
  <c r="O66" i="25"/>
  <c r="P96" i="13"/>
  <c r="Q96" i="13" s="1"/>
  <c r="G95" i="54" s="1"/>
  <c r="P64" i="13"/>
  <c r="Q64" i="13" s="1"/>
  <c r="G63" i="54" s="1"/>
  <c r="O123" i="25"/>
  <c r="O11" i="25"/>
  <c r="O18" i="25"/>
  <c r="P237" i="13"/>
  <c r="Q237" i="13" s="1"/>
  <c r="G236" i="54" s="1"/>
  <c r="P172" i="13"/>
  <c r="Q172" i="13" s="1"/>
  <c r="G171" i="54" s="1"/>
  <c r="O29" i="25"/>
  <c r="P306" i="13"/>
  <c r="Q306" i="13" s="1"/>
  <c r="G305" i="54" s="1"/>
  <c r="L89" i="25"/>
  <c r="N89" i="25" s="1"/>
  <c r="P151" i="13"/>
  <c r="Q151" i="13" s="1"/>
  <c r="G150" i="54" s="1"/>
  <c r="P104" i="13"/>
  <c r="Q104" i="13" s="1"/>
  <c r="G103" i="54" s="1"/>
  <c r="P220" i="13"/>
  <c r="Q220" i="13" s="1"/>
  <c r="G219" i="54" s="1"/>
  <c r="P266" i="13"/>
  <c r="Q266" i="13" s="1"/>
  <c r="P216" i="13"/>
  <c r="Q216" i="13" s="1"/>
  <c r="G215" i="54" s="1"/>
  <c r="P187" i="13"/>
  <c r="Q187" i="13" s="1"/>
  <c r="P131" i="13"/>
  <c r="Q131" i="13" s="1"/>
  <c r="P70" i="13"/>
  <c r="Q70" i="13" s="1"/>
  <c r="P169" i="13"/>
  <c r="Q169" i="13" s="1"/>
  <c r="P50" i="13"/>
  <c r="Q50" i="13" s="1"/>
  <c r="G49" i="54" s="1"/>
  <c r="P191" i="13"/>
  <c r="Q191" i="13" s="1"/>
  <c r="G190" i="54" s="1"/>
  <c r="P288" i="13"/>
  <c r="Q288" i="13" s="1"/>
  <c r="G287" i="54" s="1"/>
  <c r="P290" i="13"/>
  <c r="Q290" i="13" s="1"/>
  <c r="G289" i="54" s="1"/>
  <c r="P133" i="13"/>
  <c r="Q133" i="13" s="1"/>
  <c r="L139" i="25"/>
  <c r="N139" i="25" s="1"/>
  <c r="L158" i="25"/>
  <c r="N158" i="25" s="1"/>
  <c r="L164" i="25"/>
  <c r="N164" i="25" s="1"/>
  <c r="O122" i="25"/>
  <c r="P59" i="13"/>
  <c r="Q59" i="13" s="1"/>
  <c r="P57" i="13"/>
  <c r="Q57" i="13" s="1"/>
  <c r="G56" i="54" s="1"/>
  <c r="P293" i="13"/>
  <c r="Q293" i="13" s="1"/>
  <c r="G292" i="54" s="1"/>
  <c r="P225" i="13"/>
  <c r="Q225" i="13" s="1"/>
  <c r="G224" i="54" s="1"/>
  <c r="P176" i="13"/>
  <c r="Q176" i="13" s="1"/>
  <c r="G175" i="54" s="1"/>
  <c r="P29" i="13"/>
  <c r="Q29" i="13" s="1"/>
  <c r="G28" i="54" s="1"/>
  <c r="P194" i="13"/>
  <c r="Q194" i="13" s="1"/>
  <c r="G193" i="54" s="1"/>
  <c r="P291" i="13"/>
  <c r="Q291" i="13" s="1"/>
  <c r="G290" i="54" s="1"/>
  <c r="P280" i="13"/>
  <c r="Q280" i="13" s="1"/>
  <c r="G279" i="54" s="1"/>
  <c r="P197" i="13"/>
  <c r="Q197" i="13" s="1"/>
  <c r="G196" i="54" s="1"/>
  <c r="P150" i="13"/>
  <c r="Q150" i="13" s="1"/>
  <c r="G149" i="54" s="1"/>
  <c r="P200" i="13"/>
  <c r="Q200" i="13" s="1"/>
  <c r="G199" i="54" s="1"/>
  <c r="P31" i="13"/>
  <c r="Q31" i="13" s="1"/>
  <c r="G30" i="54" s="1"/>
  <c r="P126" i="13"/>
  <c r="Q126" i="13" s="1"/>
  <c r="G125" i="54" s="1"/>
  <c r="P241" i="13"/>
  <c r="Q241" i="13" s="1"/>
  <c r="G240" i="54" s="1"/>
  <c r="P114" i="13"/>
  <c r="Q114" i="13" s="1"/>
  <c r="P48" i="13"/>
  <c r="Q48" i="13" s="1"/>
  <c r="G47" i="54" s="1"/>
  <c r="P260" i="13"/>
  <c r="Q260" i="13" s="1"/>
  <c r="G259" i="54" s="1"/>
  <c r="P287" i="13"/>
  <c r="Q287" i="13" s="1"/>
  <c r="G286" i="54" s="1"/>
  <c r="P93" i="13"/>
  <c r="Q93" i="13" s="1"/>
  <c r="P253" i="13"/>
  <c r="Q253" i="13" s="1"/>
  <c r="G252" i="54" s="1"/>
  <c r="P222" i="13"/>
  <c r="Q222" i="13" s="1"/>
  <c r="G221" i="54" s="1"/>
  <c r="P308" i="13"/>
  <c r="Q308" i="13" s="1"/>
  <c r="G307" i="54" s="1"/>
  <c r="H314" i="12"/>
  <c r="O223" i="25"/>
  <c r="H223" i="54" s="1"/>
  <c r="O84" i="25"/>
  <c r="P79" i="13"/>
  <c r="Q79" i="13" s="1"/>
  <c r="G78" i="54" s="1"/>
  <c r="P78" i="13"/>
  <c r="Q78" i="13" s="1"/>
  <c r="P91" i="13"/>
  <c r="Q91" i="13" s="1"/>
  <c r="G90" i="54" s="1"/>
  <c r="P99" i="13"/>
  <c r="Q99" i="13" s="1"/>
  <c r="G98" i="54" s="1"/>
  <c r="P16" i="13"/>
  <c r="Q16" i="13" s="1"/>
  <c r="G15" i="54" s="1"/>
  <c r="L9" i="25"/>
  <c r="N9" i="25" s="1"/>
  <c r="P192" i="13"/>
  <c r="Q192" i="13" s="1"/>
  <c r="G191" i="54" s="1"/>
  <c r="O177" i="25"/>
  <c r="P177" i="13"/>
  <c r="Q177" i="13" s="1"/>
  <c r="G176" i="54" s="1"/>
  <c r="P279" i="13"/>
  <c r="Q279" i="13" s="1"/>
  <c r="G278" i="54" s="1"/>
  <c r="P80" i="13"/>
  <c r="Q80" i="13" s="1"/>
  <c r="G79" i="54" s="1"/>
  <c r="P184" i="13"/>
  <c r="Q184" i="13" s="1"/>
  <c r="G183" i="54" s="1"/>
  <c r="P46" i="13"/>
  <c r="Q46" i="13" s="1"/>
  <c r="G45" i="54" s="1"/>
  <c r="P201" i="13"/>
  <c r="Q201" i="13" s="1"/>
  <c r="G200" i="54" s="1"/>
  <c r="P33" i="13"/>
  <c r="Q33" i="13" s="1"/>
  <c r="G32" i="54" s="1"/>
  <c r="P58" i="13"/>
  <c r="Q58" i="13" s="1"/>
  <c r="P272" i="13"/>
  <c r="Q272" i="13" s="1"/>
  <c r="G271" i="54" s="1"/>
  <c r="N7" i="13"/>
  <c r="J6" i="12"/>
  <c r="L133" i="25"/>
  <c r="N133" i="25" s="1"/>
  <c r="L249" i="25"/>
  <c r="N249" i="25" s="1"/>
  <c r="P105" i="13"/>
  <c r="Q105" i="13" s="1"/>
  <c r="G104" i="54" s="1"/>
  <c r="P285" i="13"/>
  <c r="Q285" i="13" s="1"/>
  <c r="G284" i="54" s="1"/>
  <c r="P54" i="13"/>
  <c r="Q54" i="13" s="1"/>
  <c r="G53" i="54" s="1"/>
  <c r="P264" i="13"/>
  <c r="Q264" i="13" s="1"/>
  <c r="G263" i="54" s="1"/>
  <c r="P35" i="13"/>
  <c r="Q35" i="13" s="1"/>
  <c r="G34" i="54" s="1"/>
  <c r="P173" i="13"/>
  <c r="Q173" i="13" s="1"/>
  <c r="G172" i="54" s="1"/>
  <c r="R124" i="13"/>
  <c r="S124" i="13" s="1"/>
  <c r="P118" i="13"/>
  <c r="Q118" i="13" s="1"/>
  <c r="R12" i="13"/>
  <c r="S12" i="13" s="1"/>
  <c r="R72" i="13"/>
  <c r="S72" i="13" s="1"/>
  <c r="O43" i="25"/>
  <c r="P207" i="13"/>
  <c r="Q207" i="13" s="1"/>
  <c r="G206" i="54" s="1"/>
  <c r="R88" i="13"/>
  <c r="S88" i="13" s="1"/>
  <c r="R170" i="13"/>
  <c r="S170" i="13" s="1"/>
  <c r="R305" i="13"/>
  <c r="S305" i="13" s="1"/>
  <c r="R141" i="13"/>
  <c r="S141" i="13" s="1"/>
  <c r="R60" i="13"/>
  <c r="S60" i="13" s="1"/>
  <c r="R259" i="13"/>
  <c r="S259" i="13" s="1"/>
  <c r="R205" i="13"/>
  <c r="S205" i="13" s="1"/>
  <c r="R212" i="13"/>
  <c r="S212" i="13" s="1"/>
  <c r="R152" i="13"/>
  <c r="S152" i="13" s="1"/>
  <c r="R270" i="13"/>
  <c r="S270" i="13" s="1"/>
  <c r="R83" i="13"/>
  <c r="S83" i="13" s="1"/>
  <c r="R189" i="13"/>
  <c r="S189" i="13" s="1"/>
  <c r="R299" i="13"/>
  <c r="S299" i="13" s="1"/>
  <c r="R202" i="13"/>
  <c r="S202" i="13" s="1"/>
  <c r="R115" i="13"/>
  <c r="S115" i="13" s="1"/>
  <c r="P26" i="13"/>
  <c r="Q26" i="13" s="1"/>
  <c r="L93" i="25"/>
  <c r="N93" i="25" s="1"/>
  <c r="R43" i="13"/>
  <c r="S43" i="13" s="1"/>
  <c r="R49" i="13"/>
  <c r="S49" i="13" s="1"/>
  <c r="R22" i="13"/>
  <c r="S22" i="13" s="1"/>
  <c r="R55" i="13"/>
  <c r="S55" i="13" s="1"/>
  <c r="R127" i="13"/>
  <c r="S127" i="13" s="1"/>
  <c r="R163" i="13"/>
  <c r="S163" i="13" s="1"/>
  <c r="R130" i="13"/>
  <c r="S130" i="13" s="1"/>
  <c r="R292" i="13"/>
  <c r="S292" i="13" s="1"/>
  <c r="R211" i="13"/>
  <c r="S211" i="13" s="1"/>
  <c r="R41" i="13"/>
  <c r="S41" i="13" s="1"/>
  <c r="R142" i="13"/>
  <c r="S142" i="13" s="1"/>
  <c r="R39" i="13"/>
  <c r="S39" i="13" s="1"/>
  <c r="R182" i="13"/>
  <c r="S182" i="13" s="1"/>
  <c r="R148" i="13"/>
  <c r="S148" i="13" s="1"/>
  <c r="R128" i="13"/>
  <c r="S128" i="13" s="1"/>
  <c r="R238" i="13"/>
  <c r="S238" i="13" s="1"/>
  <c r="R139" i="13"/>
  <c r="S139" i="13" s="1"/>
  <c r="R125" i="13"/>
  <c r="S125" i="13" s="1"/>
  <c r="R14" i="13"/>
  <c r="S14" i="13" s="1"/>
  <c r="R181" i="13"/>
  <c r="S181" i="13" s="1"/>
  <c r="R89" i="13"/>
  <c r="S89" i="13" s="1"/>
  <c r="R157" i="13"/>
  <c r="S157" i="13" s="1"/>
  <c r="R67" i="13"/>
  <c r="S67" i="13" s="1"/>
  <c r="R303" i="13"/>
  <c r="S303" i="13" s="1"/>
  <c r="R268" i="13"/>
  <c r="S268" i="13" s="1"/>
  <c r="R158" i="13"/>
  <c r="S158" i="13" s="1"/>
  <c r="R74" i="13"/>
  <c r="S74" i="13" s="1"/>
  <c r="R248" i="13"/>
  <c r="S248" i="13" s="1"/>
  <c r="O295" i="25"/>
  <c r="H295" i="54" s="1"/>
  <c r="R143" i="13"/>
  <c r="S143" i="13" s="1"/>
  <c r="P23" i="13"/>
  <c r="Q23" i="13" s="1"/>
  <c r="G22" i="54" s="1"/>
  <c r="P63" i="13"/>
  <c r="Q63" i="13" s="1"/>
  <c r="G62" i="54" s="1"/>
  <c r="P180" i="13"/>
  <c r="Q180" i="13" s="1"/>
  <c r="P294" i="13"/>
  <c r="Q294" i="13" s="1"/>
  <c r="G293" i="54" s="1"/>
  <c r="P300" i="13"/>
  <c r="Q300" i="13" s="1"/>
  <c r="G299" i="54" s="1"/>
  <c r="P9" i="13"/>
  <c r="Q9" i="13" s="1"/>
  <c r="G8" i="54" s="1"/>
  <c r="P135" i="13"/>
  <c r="Q135" i="13" s="1"/>
  <c r="G134" i="54" s="1"/>
  <c r="P18" i="13"/>
  <c r="Q18" i="13" s="1"/>
  <c r="G17" i="54" s="1"/>
  <c r="R86" i="13"/>
  <c r="S86" i="13" s="1"/>
  <c r="R168" i="13"/>
  <c r="S168" i="13" s="1"/>
  <c r="P20" i="13"/>
  <c r="Q20" i="13" s="1"/>
  <c r="G19" i="54" s="1"/>
  <c r="P221" i="13"/>
  <c r="Q221" i="13" s="1"/>
  <c r="G220" i="54" s="1"/>
  <c r="P32" i="13"/>
  <c r="Q32" i="13" s="1"/>
  <c r="G31" i="54" s="1"/>
  <c r="P68" i="13"/>
  <c r="Q68" i="13" s="1"/>
  <c r="P160" i="13"/>
  <c r="Q160" i="13" s="1"/>
  <c r="G159" i="54" s="1"/>
  <c r="P179" i="13"/>
  <c r="Q179" i="13" s="1"/>
  <c r="G178" i="54" s="1"/>
  <c r="P119" i="13"/>
  <c r="Q119" i="13" s="1"/>
  <c r="P112" i="13"/>
  <c r="Q112" i="13" s="1"/>
  <c r="G111" i="54" s="1"/>
  <c r="P262" i="13"/>
  <c r="Q262" i="13" s="1"/>
  <c r="G261" i="54" s="1"/>
  <c r="P283" i="13"/>
  <c r="Q283" i="13" s="1"/>
  <c r="G282" i="54" s="1"/>
  <c r="P120" i="13"/>
  <c r="Q120" i="13" s="1"/>
  <c r="G119" i="54" s="1"/>
  <c r="P156" i="13"/>
  <c r="Q156" i="13" s="1"/>
  <c r="P56" i="13"/>
  <c r="Q56" i="13" s="1"/>
  <c r="G55" i="54" s="1"/>
  <c r="P24" i="13"/>
  <c r="Q24" i="13" s="1"/>
  <c r="G23" i="54" s="1"/>
  <c r="P66" i="13"/>
  <c r="Q66" i="13" s="1"/>
  <c r="G65" i="54" s="1"/>
  <c r="P97" i="13"/>
  <c r="Q97" i="13" s="1"/>
  <c r="G96" i="54" s="1"/>
  <c r="P246" i="13"/>
  <c r="Q246" i="13" s="1"/>
  <c r="G245" i="54" s="1"/>
  <c r="P21" i="13"/>
  <c r="Q21" i="13" s="1"/>
  <c r="G20" i="54" s="1"/>
  <c r="P240" i="13"/>
  <c r="Q240" i="13" s="1"/>
  <c r="G239" i="54" s="1"/>
  <c r="P38" i="13"/>
  <c r="Q38" i="13" s="1"/>
  <c r="P107" i="13"/>
  <c r="Q107" i="13" s="1"/>
  <c r="G106" i="54" s="1"/>
  <c r="P116" i="13"/>
  <c r="Q116" i="13" s="1"/>
  <c r="G115" i="54" s="1"/>
  <c r="P144" i="13"/>
  <c r="Q144" i="13" s="1"/>
  <c r="G143" i="54" s="1"/>
  <c r="L114" i="25"/>
  <c r="N114" i="25" s="1"/>
  <c r="L54" i="25"/>
  <c r="N54" i="25" s="1"/>
  <c r="L126" i="25"/>
  <c r="N126" i="25" s="1"/>
  <c r="L162" i="25"/>
  <c r="N162" i="25" s="1"/>
  <c r="L129" i="25"/>
  <c r="N129" i="25" s="1"/>
  <c r="O291" i="25"/>
  <c r="O40" i="25"/>
  <c r="O181" i="25"/>
  <c r="O180" i="25"/>
  <c r="O157" i="25"/>
  <c r="P314" i="13"/>
  <c r="Q314" i="13" s="1"/>
  <c r="G313" i="54" s="1"/>
  <c r="L142" i="25"/>
  <c r="N142" i="25" s="1"/>
  <c r="P210" i="13"/>
  <c r="Q210" i="13" s="1"/>
  <c r="G209" i="54" s="1"/>
  <c r="P218" i="13"/>
  <c r="Q218" i="13" s="1"/>
  <c r="G217" i="54" s="1"/>
  <c r="P25" i="13"/>
  <c r="Q25" i="13" s="1"/>
  <c r="G24" i="54" s="1"/>
  <c r="P199" i="13"/>
  <c r="Q199" i="13" s="1"/>
  <c r="G198" i="54" s="1"/>
  <c r="P226" i="13"/>
  <c r="Q226" i="13" s="1"/>
  <c r="G225" i="54" s="1"/>
  <c r="P61" i="13"/>
  <c r="Q61" i="13" s="1"/>
  <c r="G60" i="54" s="1"/>
  <c r="P71" i="13"/>
  <c r="Q71" i="13" s="1"/>
  <c r="G70" i="54" s="1"/>
  <c r="P312" i="13"/>
  <c r="Q312" i="13" s="1"/>
  <c r="G311" i="54" s="1"/>
  <c r="R167" i="13"/>
  <c r="S167" i="13" s="1"/>
  <c r="P121" i="13"/>
  <c r="Q121" i="13" s="1"/>
  <c r="G120" i="54" s="1"/>
  <c r="P284" i="13"/>
  <c r="Q284" i="13" s="1"/>
  <c r="G283" i="54" s="1"/>
  <c r="P245" i="13"/>
  <c r="Q245" i="13" s="1"/>
  <c r="G244" i="54" s="1"/>
  <c r="P229" i="13"/>
  <c r="Q229" i="13" s="1"/>
  <c r="G228" i="54" s="1"/>
  <c r="P183" i="13"/>
  <c r="Q183" i="13" s="1"/>
  <c r="P254" i="13"/>
  <c r="Q254" i="13" s="1"/>
  <c r="G253" i="54" s="1"/>
  <c r="P286" i="13"/>
  <c r="Q286" i="13" s="1"/>
  <c r="G285" i="54" s="1"/>
  <c r="O262" i="25"/>
  <c r="R244" i="13"/>
  <c r="S244" i="13" s="1"/>
  <c r="P13" i="13"/>
  <c r="Q13" i="13" s="1"/>
  <c r="R217" i="13"/>
  <c r="S217" i="13" s="1"/>
  <c r="R186" i="13"/>
  <c r="S186" i="13" s="1"/>
  <c r="R162" i="13"/>
  <c r="S162" i="13" s="1"/>
  <c r="P28" i="13"/>
  <c r="Q28" i="13" s="1"/>
  <c r="P161" i="13"/>
  <c r="Q161" i="13" s="1"/>
  <c r="G160" i="54" s="1"/>
  <c r="R228" i="13"/>
  <c r="S228" i="13" s="1"/>
  <c r="R269" i="13"/>
  <c r="S269" i="13" s="1"/>
  <c r="R275" i="13"/>
  <c r="S275" i="13" s="1"/>
  <c r="R110" i="13"/>
  <c r="S110" i="13" s="1"/>
  <c r="P243" i="13"/>
  <c r="Q243" i="13" s="1"/>
  <c r="G242" i="54" s="1"/>
  <c r="P203" i="13"/>
  <c r="Q203" i="13" s="1"/>
  <c r="G202" i="54" s="1"/>
  <c r="P171" i="13"/>
  <c r="Q171" i="13" s="1"/>
  <c r="G170" i="54" s="1"/>
  <c r="L108" i="25"/>
  <c r="N108" i="25" s="1"/>
  <c r="R277" i="13"/>
  <c r="S277" i="13" s="1"/>
  <c r="P92" i="13"/>
  <c r="Q92" i="13" s="1"/>
  <c r="G91" i="54" s="1"/>
  <c r="R122" i="13"/>
  <c r="S122" i="13" s="1"/>
  <c r="R242" i="13"/>
  <c r="S242" i="13" s="1"/>
  <c r="R45" i="13"/>
  <c r="S45" i="13" s="1"/>
  <c r="P257" i="13"/>
  <c r="Q257" i="13" s="1"/>
  <c r="G256" i="54" s="1"/>
  <c r="N102" i="13"/>
  <c r="O102" i="13" s="1"/>
  <c r="R227" i="13"/>
  <c r="S227" i="13" s="1"/>
  <c r="P311" i="13"/>
  <c r="Q311" i="13" s="1"/>
  <c r="G310" i="54" s="1"/>
  <c r="R113" i="13"/>
  <c r="S113" i="13" s="1"/>
  <c r="R223" i="13"/>
  <c r="S223" i="13" s="1"/>
  <c r="P108" i="13"/>
  <c r="Q108" i="13" s="1"/>
  <c r="R196" i="13"/>
  <c r="S196" i="13" s="1"/>
  <c r="R27" i="13"/>
  <c r="S27" i="13" s="1"/>
  <c r="R154" i="13"/>
  <c r="S154" i="13" s="1"/>
  <c r="R153" i="13"/>
  <c r="S153" i="13" s="1"/>
  <c r="R75" i="13"/>
  <c r="S75" i="13" s="1"/>
  <c r="R233" i="13"/>
  <c r="S233" i="13" s="1"/>
  <c r="O14" i="25"/>
  <c r="R117" i="13"/>
  <c r="S117" i="13" s="1"/>
  <c r="R145" i="13"/>
  <c r="S145" i="13" s="1"/>
  <c r="H162" i="54" l="1"/>
  <c r="H151" i="54"/>
  <c r="H139" i="54"/>
  <c r="H89" i="54"/>
  <c r="H180" i="54"/>
  <c r="O94" i="25"/>
  <c r="O44" i="25"/>
  <c r="H44" i="54" s="1"/>
  <c r="O138" i="25"/>
  <c r="O144" i="25"/>
  <c r="L298" i="25"/>
  <c r="N298" i="25" s="1"/>
  <c r="O152" i="25"/>
  <c r="O131" i="25"/>
  <c r="O71" i="25"/>
  <c r="O184" i="25"/>
  <c r="H72" i="54"/>
  <c r="H152" i="54"/>
  <c r="H157" i="54"/>
  <c r="H54" i="54"/>
  <c r="H14" i="54"/>
  <c r="L212" i="25"/>
  <c r="N212" i="25" s="1"/>
  <c r="H129" i="54"/>
  <c r="H84" i="54"/>
  <c r="H131" i="54"/>
  <c r="H133" i="54"/>
  <c r="H123" i="54"/>
  <c r="H184" i="54"/>
  <c r="H161" i="54"/>
  <c r="H29" i="54"/>
  <c r="H166" i="54"/>
  <c r="O112" i="25"/>
  <c r="L210" i="25"/>
  <c r="N210" i="25" s="1"/>
  <c r="L301" i="25"/>
  <c r="N301" i="25" s="1"/>
  <c r="O124" i="25"/>
  <c r="O267" i="25"/>
  <c r="O135" i="25"/>
  <c r="O85" i="25"/>
  <c r="O73" i="25"/>
  <c r="O36" i="25"/>
  <c r="O26" i="25"/>
  <c r="L105" i="25"/>
  <c r="N105" i="25" s="1"/>
  <c r="O127" i="25"/>
  <c r="O38" i="25"/>
  <c r="O10" i="25"/>
  <c r="O74" i="25"/>
  <c r="O227" i="25"/>
  <c r="H227" i="54" s="1"/>
  <c r="O13" i="25"/>
  <c r="O147" i="25"/>
  <c r="O141" i="25"/>
  <c r="L87" i="25"/>
  <c r="N87" i="25" s="1"/>
  <c r="O116" i="25"/>
  <c r="L76" i="25"/>
  <c r="N76" i="25" s="1"/>
  <c r="L35" i="25"/>
  <c r="N35" i="25" s="1"/>
  <c r="O21" i="25"/>
  <c r="O300" i="25"/>
  <c r="H300" i="54" s="1"/>
  <c r="L257" i="25"/>
  <c r="N257" i="25" s="1"/>
  <c r="O81" i="25"/>
  <c r="O48" i="25"/>
  <c r="O185" i="25"/>
  <c r="O46" i="25"/>
  <c r="L68" i="25"/>
  <c r="N68" i="25" s="1"/>
  <c r="L165" i="25"/>
  <c r="N165" i="25" s="1"/>
  <c r="O233" i="25"/>
  <c r="H233" i="54" s="1"/>
  <c r="O197" i="25"/>
  <c r="O187" i="25"/>
  <c r="L167" i="25"/>
  <c r="N167" i="25" s="1"/>
  <c r="L153" i="25"/>
  <c r="N153" i="25" s="1"/>
  <c r="L138" i="25"/>
  <c r="N138" i="25" s="1"/>
  <c r="O208" i="25"/>
  <c r="H208" i="54" s="1"/>
  <c r="O216" i="25"/>
  <c r="O266" i="25"/>
  <c r="O247" i="25"/>
  <c r="O304" i="25"/>
  <c r="H304" i="54" s="1"/>
  <c r="O189" i="25"/>
  <c r="O153" i="25"/>
  <c r="O42" i="25"/>
  <c r="O50" i="25"/>
  <c r="L188" i="25"/>
  <c r="N188" i="25" s="1"/>
  <c r="L51" i="25"/>
  <c r="N51" i="25" s="1"/>
  <c r="L154" i="25"/>
  <c r="N154" i="25" s="1"/>
  <c r="L82" i="25"/>
  <c r="N82" i="25" s="1"/>
  <c r="L59" i="25"/>
  <c r="N59" i="25" s="1"/>
  <c r="O99" i="25"/>
  <c r="O148" i="25"/>
  <c r="L121" i="25"/>
  <c r="N121" i="25" s="1"/>
  <c r="O165" i="25"/>
  <c r="H216" i="54"/>
  <c r="L140" i="25"/>
  <c r="N140" i="25" s="1"/>
  <c r="O296" i="25"/>
  <c r="H296" i="54" s="1"/>
  <c r="L254" i="25"/>
  <c r="N254" i="25" s="1"/>
  <c r="L173" i="25"/>
  <c r="N173" i="25" s="1"/>
  <c r="L137" i="25"/>
  <c r="N137" i="25" s="1"/>
  <c r="O226" i="25"/>
  <c r="O110" i="25"/>
  <c r="O146" i="25"/>
  <c r="O52" i="25"/>
  <c r="L231" i="25"/>
  <c r="N231" i="25" s="1"/>
  <c r="O156" i="25"/>
  <c r="O86" i="25"/>
  <c r="O75" i="25"/>
  <c r="O88" i="25"/>
  <c r="O16" i="25"/>
  <c r="O145" i="25"/>
  <c r="L288" i="25"/>
  <c r="N288" i="25" s="1"/>
  <c r="O128" i="25"/>
  <c r="O229" i="25"/>
  <c r="H229" i="54" s="1"/>
  <c r="O169" i="25"/>
  <c r="L303" i="25"/>
  <c r="N303" i="25" s="1"/>
  <c r="O109" i="25"/>
  <c r="H109" i="54" s="1"/>
  <c r="O80" i="25"/>
  <c r="H80" i="54" s="1"/>
  <c r="L39" i="25"/>
  <c r="N39" i="25" s="1"/>
  <c r="O274" i="25"/>
  <c r="H274" i="54" s="1"/>
  <c r="O255" i="25"/>
  <c r="O7" i="25"/>
  <c r="H7" i="54" s="1"/>
  <c r="L248" i="25"/>
  <c r="N248" i="25" s="1"/>
  <c r="O207" i="25"/>
  <c r="H207" i="54" s="1"/>
  <c r="L235" i="25"/>
  <c r="N235" i="25" s="1"/>
  <c r="H50" i="54"/>
  <c r="O280" i="25"/>
  <c r="O167" i="25"/>
  <c r="H167" i="54" s="1"/>
  <c r="H73" i="54"/>
  <c r="O243" i="25"/>
  <c r="H135" i="54"/>
  <c r="H13" i="54"/>
  <c r="H147" i="54"/>
  <c r="H38" i="54"/>
  <c r="H48" i="54"/>
  <c r="H110" i="54"/>
  <c r="O232" i="25"/>
  <c r="H232" i="54" s="1"/>
  <c r="H51" i="54"/>
  <c r="H156" i="54"/>
  <c r="H86" i="54"/>
  <c r="H42" i="54"/>
  <c r="H85" i="54"/>
  <c r="O302" i="25"/>
  <c r="H302" i="54" s="1"/>
  <c r="O254" i="25"/>
  <c r="H254" i="54" s="1"/>
  <c r="H127" i="54"/>
  <c r="H121" i="54"/>
  <c r="L296" i="25"/>
  <c r="N296" i="25" s="1"/>
  <c r="H59" i="54"/>
  <c r="H116" i="54"/>
  <c r="H76" i="54"/>
  <c r="L187" i="25"/>
  <c r="N187" i="25" s="1"/>
  <c r="L309" i="25"/>
  <c r="N309" i="25" s="1"/>
  <c r="H169" i="54"/>
  <c r="O308" i="25"/>
  <c r="H308" i="54" s="1"/>
  <c r="L270" i="25"/>
  <c r="N270" i="25" s="1"/>
  <c r="O246" i="25"/>
  <c r="O306" i="25"/>
  <c r="H99" i="54"/>
  <c r="H81" i="54"/>
  <c r="H145" i="54"/>
  <c r="H173" i="54"/>
  <c r="H128" i="54"/>
  <c r="L276" i="25"/>
  <c r="N276" i="25" s="1"/>
  <c r="K27" i="25"/>
  <c r="L27" i="25" s="1"/>
  <c r="N27" i="25" s="1"/>
  <c r="G27" i="54"/>
  <c r="K25" i="25"/>
  <c r="O25" i="25" s="1"/>
  <c r="G25" i="54"/>
  <c r="K113" i="25"/>
  <c r="L113" i="25" s="1"/>
  <c r="N113" i="25" s="1"/>
  <c r="G113" i="54"/>
  <c r="K58" i="25"/>
  <c r="L58" i="25" s="1"/>
  <c r="N58" i="25" s="1"/>
  <c r="G58" i="54"/>
  <c r="K168" i="25"/>
  <c r="O168" i="25" s="1"/>
  <c r="G168" i="54"/>
  <c r="K61" i="25"/>
  <c r="L61" i="25" s="1"/>
  <c r="N61" i="25" s="1"/>
  <c r="G61" i="54"/>
  <c r="K12" i="25"/>
  <c r="L12" i="25" s="1"/>
  <c r="N12" i="25" s="1"/>
  <c r="G12" i="54"/>
  <c r="K107" i="25"/>
  <c r="O107" i="25" s="1"/>
  <c r="G107" i="54"/>
  <c r="K182" i="25"/>
  <c r="L182" i="25" s="1"/>
  <c r="N182" i="25" s="1"/>
  <c r="G182" i="54"/>
  <c r="K118" i="25"/>
  <c r="L118" i="25" s="1"/>
  <c r="N118" i="25" s="1"/>
  <c r="G118" i="54"/>
  <c r="K179" i="25"/>
  <c r="L179" i="25" s="1"/>
  <c r="N179" i="25" s="1"/>
  <c r="G179" i="54"/>
  <c r="K69" i="25"/>
  <c r="O69" i="25" s="1"/>
  <c r="G69" i="54"/>
  <c r="K265" i="25"/>
  <c r="L265" i="25" s="1"/>
  <c r="N265" i="25" s="1"/>
  <c r="G265" i="54"/>
  <c r="K102" i="25"/>
  <c r="L102" i="25" s="1"/>
  <c r="N102" i="25" s="1"/>
  <c r="G102" i="54"/>
  <c r="O275" i="25"/>
  <c r="H275" i="54" s="1"/>
  <c r="L295" i="25"/>
  <c r="N295" i="25" s="1"/>
  <c r="K37" i="25"/>
  <c r="L37" i="25" s="1"/>
  <c r="N37" i="25" s="1"/>
  <c r="G37" i="54"/>
  <c r="K155" i="25"/>
  <c r="L155" i="25" s="1"/>
  <c r="N155" i="25" s="1"/>
  <c r="G155" i="54"/>
  <c r="K67" i="25"/>
  <c r="L67" i="25" s="1"/>
  <c r="N67" i="25" s="1"/>
  <c r="G67" i="54"/>
  <c r="K57" i="25"/>
  <c r="L57" i="25" s="1"/>
  <c r="N57" i="25" s="1"/>
  <c r="G57" i="54"/>
  <c r="K92" i="25"/>
  <c r="L92" i="25" s="1"/>
  <c r="N92" i="25" s="1"/>
  <c r="G92" i="54"/>
  <c r="K130" i="25"/>
  <c r="O130" i="25" s="1"/>
  <c r="G130" i="54"/>
  <c r="K117" i="25"/>
  <c r="L117" i="25" s="1"/>
  <c r="N117" i="25" s="1"/>
  <c r="G117" i="54"/>
  <c r="K77" i="25"/>
  <c r="L77" i="25" s="1"/>
  <c r="N77" i="25" s="1"/>
  <c r="G77" i="54"/>
  <c r="K132" i="25"/>
  <c r="L132" i="25" s="1"/>
  <c r="N132" i="25" s="1"/>
  <c r="G132" i="54"/>
  <c r="K186" i="25"/>
  <c r="L186" i="25" s="1"/>
  <c r="N186" i="25" s="1"/>
  <c r="G186" i="54"/>
  <c r="K41" i="25"/>
  <c r="L41" i="25" s="1"/>
  <c r="N41" i="25" s="1"/>
  <c r="G41" i="54"/>
  <c r="H303" i="54"/>
  <c r="H298" i="54"/>
  <c r="H273" i="54"/>
  <c r="H108" i="54"/>
  <c r="H262" i="54"/>
  <c r="H247" i="54"/>
  <c r="O137" i="25"/>
  <c r="H137" i="54" s="1"/>
  <c r="H197" i="54"/>
  <c r="H177" i="54"/>
  <c r="H66" i="54"/>
  <c r="H82" i="54"/>
  <c r="L241" i="25"/>
  <c r="N241" i="25" s="1"/>
  <c r="H288" i="54"/>
  <c r="L197" i="25"/>
  <c r="N197" i="25" s="1"/>
  <c r="L266" i="25"/>
  <c r="N266" i="25" s="1"/>
  <c r="L205" i="25"/>
  <c r="N205" i="25" s="1"/>
  <c r="H243" i="54"/>
  <c r="H280" i="54"/>
  <c r="O203" i="25"/>
  <c r="O213" i="25"/>
  <c r="H213" i="54" s="1"/>
  <c r="O201" i="25"/>
  <c r="H309" i="54"/>
  <c r="H36" i="54"/>
  <c r="O276" i="25"/>
  <c r="O281" i="25"/>
  <c r="O260" i="25"/>
  <c r="H260" i="54" s="1"/>
  <c r="O204" i="25"/>
  <c r="H204" i="54" s="1"/>
  <c r="H138" i="54"/>
  <c r="H40" i="54"/>
  <c r="H146" i="54"/>
  <c r="H122" i="54"/>
  <c r="H266" i="54"/>
  <c r="H105" i="54"/>
  <c r="L195" i="25"/>
  <c r="N195" i="25" s="1"/>
  <c r="O250" i="25"/>
  <c r="H250" i="54" s="1"/>
  <c r="H93" i="54"/>
  <c r="O237" i="25"/>
  <c r="L275" i="25"/>
  <c r="N275" i="25" s="1"/>
  <c r="H18" i="54"/>
  <c r="H257" i="54"/>
  <c r="L268" i="25"/>
  <c r="N268" i="25" s="1"/>
  <c r="L189" i="25"/>
  <c r="N189" i="25" s="1"/>
  <c r="L216" i="25"/>
  <c r="N216" i="25" s="1"/>
  <c r="H231" i="54"/>
  <c r="O258" i="25"/>
  <c r="H258" i="54" s="1"/>
  <c r="L222" i="25"/>
  <c r="N222" i="25" s="1"/>
  <c r="O297" i="25"/>
  <c r="H142" i="54"/>
  <c r="H112" i="54"/>
  <c r="H306" i="54"/>
  <c r="L273" i="25"/>
  <c r="N273" i="25" s="1"/>
  <c r="H33" i="54"/>
  <c r="H281" i="54"/>
  <c r="H35" i="54"/>
  <c r="H291" i="54"/>
  <c r="H189" i="54"/>
  <c r="H88" i="54"/>
  <c r="H16" i="54"/>
  <c r="H158" i="54"/>
  <c r="H201" i="54"/>
  <c r="H11" i="54"/>
  <c r="O205" i="25"/>
  <c r="H205" i="54" s="1"/>
  <c r="H187" i="54"/>
  <c r="L204" i="25"/>
  <c r="N204" i="25" s="1"/>
  <c r="L230" i="25"/>
  <c r="N230" i="25" s="1"/>
  <c r="K143" i="25"/>
  <c r="L143" i="25" s="1"/>
  <c r="N143" i="25" s="1"/>
  <c r="K96" i="25"/>
  <c r="O96" i="25" s="1"/>
  <c r="K8" i="25"/>
  <c r="O8" i="25" s="1"/>
  <c r="K183" i="25"/>
  <c r="L183" i="25" s="1"/>
  <c r="N183" i="25" s="1"/>
  <c r="K30" i="25"/>
  <c r="L30" i="25" s="1"/>
  <c r="N30" i="25" s="1"/>
  <c r="E60" i="48"/>
  <c r="K175" i="25"/>
  <c r="L175" i="25" s="1"/>
  <c r="N175" i="25" s="1"/>
  <c r="K136" i="25"/>
  <c r="L136" i="25" s="1"/>
  <c r="N136" i="25" s="1"/>
  <c r="K238" i="25"/>
  <c r="L238" i="25" s="1"/>
  <c r="N238" i="25" s="1"/>
  <c r="O251" i="25"/>
  <c r="H251" i="54" s="1"/>
  <c r="K228" i="25"/>
  <c r="L228" i="25" s="1"/>
  <c r="N228" i="25" s="1"/>
  <c r="K198" i="25"/>
  <c r="L198" i="25" s="1"/>
  <c r="N198" i="25" s="1"/>
  <c r="H10" i="54"/>
  <c r="K55" i="25"/>
  <c r="O55" i="25" s="1"/>
  <c r="H55" i="54" s="1"/>
  <c r="K178" i="25"/>
  <c r="L178" i="25" s="1"/>
  <c r="N178" i="25" s="1"/>
  <c r="K299" i="25"/>
  <c r="L299" i="25" s="1"/>
  <c r="N299" i="25" s="1"/>
  <c r="K200" i="25"/>
  <c r="L200" i="25" s="1"/>
  <c r="N200" i="25" s="1"/>
  <c r="K15" i="25"/>
  <c r="L15" i="25" s="1"/>
  <c r="N15" i="25" s="1"/>
  <c r="H237" i="54"/>
  <c r="K199" i="25"/>
  <c r="L199" i="25" s="1"/>
  <c r="N199" i="25" s="1"/>
  <c r="K224" i="25"/>
  <c r="L224" i="25" s="1"/>
  <c r="N224" i="25" s="1"/>
  <c r="H203" i="54"/>
  <c r="H255" i="54"/>
  <c r="K215" i="25"/>
  <c r="O215" i="25" s="1"/>
  <c r="K97" i="25"/>
  <c r="L97" i="25" s="1"/>
  <c r="N97" i="25" s="1"/>
  <c r="O230" i="25"/>
  <c r="H230" i="54" s="1"/>
  <c r="K64" i="25"/>
  <c r="O222" i="25"/>
  <c r="H222" i="54" s="1"/>
  <c r="K225" i="25"/>
  <c r="O225" i="25" s="1"/>
  <c r="H225" i="54" s="1"/>
  <c r="K279" i="25"/>
  <c r="L279" i="25" s="1"/>
  <c r="N279" i="25" s="1"/>
  <c r="K289" i="25"/>
  <c r="L289" i="25" s="1"/>
  <c r="N289" i="25" s="1"/>
  <c r="K103" i="25"/>
  <c r="O103" i="25" s="1"/>
  <c r="K174" i="25"/>
  <c r="L174" i="25" s="1"/>
  <c r="N174" i="25" s="1"/>
  <c r="K285" i="25"/>
  <c r="L285" i="25" s="1"/>
  <c r="N285" i="25" s="1"/>
  <c r="K311" i="25"/>
  <c r="L311" i="25" s="1"/>
  <c r="N311" i="25" s="1"/>
  <c r="O268" i="25"/>
  <c r="H268" i="54" s="1"/>
  <c r="K22" i="25"/>
  <c r="L22" i="25" s="1"/>
  <c r="N22" i="25" s="1"/>
  <c r="K90" i="25"/>
  <c r="O90" i="25" s="1"/>
  <c r="H90" i="54" s="1"/>
  <c r="O195" i="25"/>
  <c r="H195" i="54" s="1"/>
  <c r="K259" i="25"/>
  <c r="L259" i="25" s="1"/>
  <c r="N259" i="25" s="1"/>
  <c r="K290" i="25"/>
  <c r="L290" i="25" s="1"/>
  <c r="N290" i="25" s="1"/>
  <c r="O218" i="25"/>
  <c r="H218" i="54" s="1"/>
  <c r="H154" i="54"/>
  <c r="K63" i="25"/>
  <c r="L63" i="25" s="1"/>
  <c r="N63" i="25" s="1"/>
  <c r="K100" i="25"/>
  <c r="L100" i="25" s="1"/>
  <c r="N100" i="25" s="1"/>
  <c r="K310" i="25"/>
  <c r="L310" i="25" s="1"/>
  <c r="N310" i="25" s="1"/>
  <c r="K256" i="25"/>
  <c r="L256" i="25" s="1"/>
  <c r="N256" i="25" s="1"/>
  <c r="K91" i="25"/>
  <c r="L91" i="25" s="1"/>
  <c r="N91" i="25" s="1"/>
  <c r="K170" i="25"/>
  <c r="L170" i="25" s="1"/>
  <c r="N170" i="25" s="1"/>
  <c r="H74" i="54"/>
  <c r="K160" i="25"/>
  <c r="O160" i="25" s="1"/>
  <c r="H144" i="54"/>
  <c r="K253" i="25"/>
  <c r="L253" i="25" s="1"/>
  <c r="N253" i="25" s="1"/>
  <c r="K244" i="25"/>
  <c r="L244" i="25" s="1"/>
  <c r="N244" i="25" s="1"/>
  <c r="K70" i="25"/>
  <c r="L70" i="25" s="1"/>
  <c r="N70" i="25" s="1"/>
  <c r="K24" i="25"/>
  <c r="O24" i="25" s="1"/>
  <c r="H24" i="54" s="1"/>
  <c r="H267" i="54"/>
  <c r="H124" i="54"/>
  <c r="H181" i="54"/>
  <c r="H141" i="54"/>
  <c r="H210" i="54"/>
  <c r="H126" i="54"/>
  <c r="H21" i="54"/>
  <c r="H114" i="54"/>
  <c r="O269" i="25"/>
  <c r="H269" i="54" s="1"/>
  <c r="O140" i="25"/>
  <c r="H140" i="54" s="1"/>
  <c r="K106" i="25"/>
  <c r="L106" i="25" s="1"/>
  <c r="N106" i="25" s="1"/>
  <c r="H226" i="54"/>
  <c r="K65" i="25"/>
  <c r="L65" i="25" s="1"/>
  <c r="N65" i="25" s="1"/>
  <c r="K119" i="25"/>
  <c r="L119" i="25" s="1"/>
  <c r="N119" i="25" s="1"/>
  <c r="K111" i="25"/>
  <c r="L111" i="25" s="1"/>
  <c r="N111" i="25" s="1"/>
  <c r="K159" i="25"/>
  <c r="L159" i="25" s="1"/>
  <c r="N159" i="25" s="1"/>
  <c r="K220" i="25"/>
  <c r="L220" i="25" s="1"/>
  <c r="N220" i="25" s="1"/>
  <c r="K17" i="25"/>
  <c r="L17" i="25" s="1"/>
  <c r="N17" i="25" s="1"/>
  <c r="K293" i="25"/>
  <c r="L293" i="25" s="1"/>
  <c r="N293" i="25" s="1"/>
  <c r="H43" i="54"/>
  <c r="O194" i="25"/>
  <c r="H194" i="54" s="1"/>
  <c r="K172" i="25"/>
  <c r="L172" i="25" s="1"/>
  <c r="N172" i="25" s="1"/>
  <c r="K284" i="25"/>
  <c r="L284" i="25" s="1"/>
  <c r="N284" i="25" s="1"/>
  <c r="O235" i="25"/>
  <c r="H235" i="54" s="1"/>
  <c r="H46" i="54"/>
  <c r="O272" i="25"/>
  <c r="H272" i="54" s="1"/>
  <c r="K271" i="25"/>
  <c r="L271" i="25" s="1"/>
  <c r="N271" i="25" s="1"/>
  <c r="K45" i="25"/>
  <c r="L45" i="25" s="1"/>
  <c r="N45" i="25" s="1"/>
  <c r="K278" i="25"/>
  <c r="L278" i="25" s="1"/>
  <c r="N278" i="25" s="1"/>
  <c r="K191" i="25"/>
  <c r="L191" i="25" s="1"/>
  <c r="N191" i="25" s="1"/>
  <c r="K98" i="25"/>
  <c r="L98" i="25" s="1"/>
  <c r="N98" i="25" s="1"/>
  <c r="L258" i="25"/>
  <c r="N258" i="25" s="1"/>
  <c r="K252" i="25"/>
  <c r="L252" i="25" s="1"/>
  <c r="N252" i="25" s="1"/>
  <c r="K286" i="25"/>
  <c r="L286" i="25" s="1"/>
  <c r="N286" i="25" s="1"/>
  <c r="K47" i="25"/>
  <c r="O47" i="25" s="1"/>
  <c r="O241" i="25"/>
  <c r="H241" i="54" s="1"/>
  <c r="K149" i="25"/>
  <c r="L149" i="25" s="1"/>
  <c r="N149" i="25" s="1"/>
  <c r="K193" i="25"/>
  <c r="O193" i="25" s="1"/>
  <c r="K292" i="25"/>
  <c r="O292" i="25" s="1"/>
  <c r="H292" i="54" s="1"/>
  <c r="K190" i="25"/>
  <c r="L190" i="25" s="1"/>
  <c r="N190" i="25" s="1"/>
  <c r="K305" i="25"/>
  <c r="L305" i="25" s="1"/>
  <c r="N305" i="25" s="1"/>
  <c r="K236" i="25"/>
  <c r="O236" i="25" s="1"/>
  <c r="O211" i="25"/>
  <c r="H211" i="54" s="1"/>
  <c r="H71" i="54"/>
  <c r="H75" i="54"/>
  <c r="K234" i="25"/>
  <c r="L234" i="25" s="1"/>
  <c r="N234" i="25" s="1"/>
  <c r="O312" i="25"/>
  <c r="H312" i="54" s="1"/>
  <c r="L161" i="25"/>
  <c r="N161" i="25" s="1"/>
  <c r="K83" i="25"/>
  <c r="L83" i="25" s="1"/>
  <c r="N83" i="25" s="1"/>
  <c r="K242" i="25"/>
  <c r="L242" i="25" s="1"/>
  <c r="N242" i="25" s="1"/>
  <c r="K209" i="25"/>
  <c r="O209" i="25" s="1"/>
  <c r="H209" i="54" s="1"/>
  <c r="K239" i="25"/>
  <c r="O239" i="25" s="1"/>
  <c r="K261" i="25"/>
  <c r="L261" i="25" s="1"/>
  <c r="N261" i="25" s="1"/>
  <c r="K62" i="25"/>
  <c r="L62" i="25" s="1"/>
  <c r="N62" i="25" s="1"/>
  <c r="K263" i="25"/>
  <c r="L263" i="25" s="1"/>
  <c r="N263" i="25" s="1"/>
  <c r="K32" i="25"/>
  <c r="L32" i="25" s="1"/>
  <c r="N32" i="25" s="1"/>
  <c r="K221" i="25"/>
  <c r="L221" i="25" s="1"/>
  <c r="N221" i="25" s="1"/>
  <c r="K240" i="25"/>
  <c r="L240" i="25" s="1"/>
  <c r="N240" i="25" s="1"/>
  <c r="K95" i="25"/>
  <c r="L95" i="25" s="1"/>
  <c r="N95" i="25" s="1"/>
  <c r="K264" i="25"/>
  <c r="L264" i="25" s="1"/>
  <c r="N264" i="25" s="1"/>
  <c r="K163" i="25"/>
  <c r="L163" i="25" s="1"/>
  <c r="N163" i="25" s="1"/>
  <c r="K277" i="25"/>
  <c r="L277" i="25" s="1"/>
  <c r="N277" i="25" s="1"/>
  <c r="K120" i="25"/>
  <c r="L120" i="25" s="1"/>
  <c r="N120" i="25" s="1"/>
  <c r="K115" i="25"/>
  <c r="O115" i="25" s="1"/>
  <c r="K20" i="25"/>
  <c r="L20" i="25" s="1"/>
  <c r="N20" i="25" s="1"/>
  <c r="H94" i="54"/>
  <c r="K31" i="25"/>
  <c r="L31" i="25" s="1"/>
  <c r="N31" i="25" s="1"/>
  <c r="K53" i="25"/>
  <c r="L53" i="25" s="1"/>
  <c r="N53" i="25" s="1"/>
  <c r="K79" i="25"/>
  <c r="L79" i="25" s="1"/>
  <c r="N79" i="25" s="1"/>
  <c r="H164" i="54"/>
  <c r="K287" i="25"/>
  <c r="O287" i="25" s="1"/>
  <c r="K150" i="25"/>
  <c r="L150" i="25" s="1"/>
  <c r="N150" i="25" s="1"/>
  <c r="K171" i="25"/>
  <c r="O171" i="25" s="1"/>
  <c r="K294" i="25"/>
  <c r="L294" i="25" s="1"/>
  <c r="N294" i="25" s="1"/>
  <c r="H68" i="54"/>
  <c r="K202" i="25"/>
  <c r="L202" i="25" s="1"/>
  <c r="N202" i="25" s="1"/>
  <c r="H153" i="54"/>
  <c r="K283" i="25"/>
  <c r="L283" i="25" s="1"/>
  <c r="N283" i="25" s="1"/>
  <c r="K60" i="25"/>
  <c r="O60" i="25" s="1"/>
  <c r="H60" i="54" s="1"/>
  <c r="K217" i="25"/>
  <c r="L217" i="25" s="1"/>
  <c r="N217" i="25" s="1"/>
  <c r="K313" i="25"/>
  <c r="L313" i="25" s="1"/>
  <c r="N313" i="25" s="1"/>
  <c r="L251" i="25"/>
  <c r="N251" i="25" s="1"/>
  <c r="K245" i="25"/>
  <c r="L245" i="25" s="1"/>
  <c r="N245" i="25" s="1"/>
  <c r="K23" i="25"/>
  <c r="L23" i="25" s="1"/>
  <c r="N23" i="25" s="1"/>
  <c r="K282" i="25"/>
  <c r="L282" i="25" s="1"/>
  <c r="N282" i="25" s="1"/>
  <c r="H185" i="54"/>
  <c r="K19" i="25"/>
  <c r="O19" i="25" s="1"/>
  <c r="K134" i="25"/>
  <c r="L134" i="25" s="1"/>
  <c r="N134" i="25" s="1"/>
  <c r="K206" i="25"/>
  <c r="L206" i="25" s="1"/>
  <c r="N206" i="25" s="1"/>
  <c r="K34" i="25"/>
  <c r="O34" i="25" s="1"/>
  <c r="H34" i="54" s="1"/>
  <c r="K104" i="25"/>
  <c r="L104" i="25" s="1"/>
  <c r="N104" i="25" s="1"/>
  <c r="K176" i="25"/>
  <c r="L176" i="25" s="1"/>
  <c r="N176" i="25" s="1"/>
  <c r="H9" i="54"/>
  <c r="K78" i="25"/>
  <c r="L78" i="25" s="1"/>
  <c r="N78" i="25" s="1"/>
  <c r="O214" i="25"/>
  <c r="H214" i="54" s="1"/>
  <c r="K307" i="25"/>
  <c r="L307" i="25" s="1"/>
  <c r="N307" i="25" s="1"/>
  <c r="O192" i="25"/>
  <c r="H192" i="54" s="1"/>
  <c r="K125" i="25"/>
  <c r="O125" i="25" s="1"/>
  <c r="K196" i="25"/>
  <c r="L196" i="25" s="1"/>
  <c r="N196" i="25" s="1"/>
  <c r="K28" i="25"/>
  <c r="L28" i="25" s="1"/>
  <c r="N28" i="25" s="1"/>
  <c r="K56" i="25"/>
  <c r="L56" i="25" s="1"/>
  <c r="N56" i="25" s="1"/>
  <c r="H246" i="54"/>
  <c r="H52" i="54"/>
  <c r="H301" i="54"/>
  <c r="K49" i="25"/>
  <c r="L49" i="25" s="1"/>
  <c r="N49" i="25" s="1"/>
  <c r="K219" i="25"/>
  <c r="O219" i="25" s="1"/>
  <c r="H87" i="54"/>
  <c r="O212" i="25"/>
  <c r="H212" i="54" s="1"/>
  <c r="H148" i="54"/>
  <c r="H26" i="54"/>
  <c r="H165" i="54"/>
  <c r="H276" i="54"/>
  <c r="O100" i="25"/>
  <c r="H100" i="54" s="1"/>
  <c r="R290" i="13"/>
  <c r="S290" i="13" s="1"/>
  <c r="R312" i="13"/>
  <c r="S312" i="13" s="1"/>
  <c r="R68" i="13"/>
  <c r="S68" i="13" s="1"/>
  <c r="R26" i="13"/>
  <c r="S26" i="13" s="1"/>
  <c r="R21" i="13"/>
  <c r="S21" i="13" s="1"/>
  <c r="R97" i="13"/>
  <c r="S97" i="13" s="1"/>
  <c r="R218" i="13"/>
  <c r="S218" i="13" s="1"/>
  <c r="R24" i="13"/>
  <c r="S24" i="13" s="1"/>
  <c r="R284" i="13"/>
  <c r="S284" i="13" s="1"/>
  <c r="R144" i="13"/>
  <c r="S144" i="13" s="1"/>
  <c r="R283" i="13"/>
  <c r="S283" i="13" s="1"/>
  <c r="R300" i="13"/>
  <c r="S300" i="13" s="1"/>
  <c r="R33" i="13"/>
  <c r="S33" i="13" s="1"/>
  <c r="R264" i="13"/>
  <c r="S264" i="13" s="1"/>
  <c r="R229" i="13"/>
  <c r="S229" i="13" s="1"/>
  <c r="R311" i="13"/>
  <c r="S311" i="13" s="1"/>
  <c r="R28" i="13"/>
  <c r="S28" i="13" s="1"/>
  <c r="R183" i="13"/>
  <c r="S183" i="13" s="1"/>
  <c r="R78" i="13"/>
  <c r="S78" i="13" s="1"/>
  <c r="R176" i="13"/>
  <c r="S176" i="13" s="1"/>
  <c r="R266" i="13"/>
  <c r="S266" i="13" s="1"/>
  <c r="R101" i="13"/>
  <c r="S101" i="13" s="1"/>
  <c r="R175" i="13"/>
  <c r="S175" i="13" s="1"/>
  <c r="R92" i="13"/>
  <c r="S92" i="13" s="1"/>
  <c r="R121" i="13"/>
  <c r="S121" i="13" s="1"/>
  <c r="R61" i="13"/>
  <c r="S61" i="13" s="1"/>
  <c r="R119" i="13"/>
  <c r="S119" i="13" s="1"/>
  <c r="R160" i="13"/>
  <c r="S160" i="13" s="1"/>
  <c r="R135" i="13"/>
  <c r="S135" i="13" s="1"/>
  <c r="R173" i="13"/>
  <c r="S173" i="13" s="1"/>
  <c r="R200" i="13"/>
  <c r="S200" i="13" s="1"/>
  <c r="R194" i="13"/>
  <c r="S194" i="13" s="1"/>
  <c r="R187" i="13"/>
  <c r="S187" i="13" s="1"/>
  <c r="R46" i="13"/>
  <c r="S46" i="13" s="1"/>
  <c r="R80" i="13"/>
  <c r="S80" i="13" s="1"/>
  <c r="R93" i="13"/>
  <c r="S93" i="13" s="1"/>
  <c r="R287" i="13"/>
  <c r="S287" i="13" s="1"/>
  <c r="R241" i="13"/>
  <c r="S241" i="13" s="1"/>
  <c r="R126" i="13"/>
  <c r="S126" i="13" s="1"/>
  <c r="R191" i="13"/>
  <c r="S191" i="13" s="1"/>
  <c r="R257" i="13"/>
  <c r="S257" i="13" s="1"/>
  <c r="R203" i="13"/>
  <c r="S203" i="13" s="1"/>
  <c r="R286" i="13"/>
  <c r="S286" i="13" s="1"/>
  <c r="R199" i="13"/>
  <c r="S199" i="13" s="1"/>
  <c r="R107" i="13"/>
  <c r="S107" i="13" s="1"/>
  <c r="R221" i="13"/>
  <c r="S221" i="13" s="1"/>
  <c r="R23" i="13"/>
  <c r="S23" i="13" s="1"/>
  <c r="R207" i="13"/>
  <c r="S207" i="13" s="1"/>
  <c r="R118" i="13"/>
  <c r="S118" i="13" s="1"/>
  <c r="R272" i="13"/>
  <c r="S272" i="13" s="1"/>
  <c r="R48" i="13"/>
  <c r="S48" i="13" s="1"/>
  <c r="R59" i="13"/>
  <c r="S59" i="13" s="1"/>
  <c r="R306" i="13"/>
  <c r="S306" i="13" s="1"/>
  <c r="R172" i="13"/>
  <c r="S172" i="13" s="1"/>
  <c r="R265" i="13"/>
  <c r="S265" i="13" s="1"/>
  <c r="R98" i="13"/>
  <c r="S98" i="13" s="1"/>
  <c r="R137" i="13"/>
  <c r="S137" i="13" s="1"/>
  <c r="R180" i="13"/>
  <c r="S180" i="13" s="1"/>
  <c r="R285" i="13"/>
  <c r="S285" i="13" s="1"/>
  <c r="R177" i="13"/>
  <c r="S177" i="13" s="1"/>
  <c r="R192" i="13"/>
  <c r="S192" i="13" s="1"/>
  <c r="R16" i="13"/>
  <c r="S16" i="13" s="1"/>
  <c r="R308" i="13"/>
  <c r="S308" i="13" s="1"/>
  <c r="R197" i="13"/>
  <c r="S197" i="13" s="1"/>
  <c r="R293" i="13"/>
  <c r="S293" i="13" s="1"/>
  <c r="R169" i="13"/>
  <c r="S169" i="13" s="1"/>
  <c r="R131" i="13"/>
  <c r="S131" i="13" s="1"/>
  <c r="R104" i="13"/>
  <c r="S104" i="13" s="1"/>
  <c r="J6" i="25"/>
  <c r="J314" i="12"/>
  <c r="K314" i="12" s="1"/>
  <c r="O7" i="13"/>
  <c r="N315" i="13"/>
  <c r="R161" i="13"/>
  <c r="S161" i="13" s="1"/>
  <c r="R13" i="13"/>
  <c r="S13" i="13" s="1"/>
  <c r="R245" i="13"/>
  <c r="S245" i="13" s="1"/>
  <c r="R240" i="13"/>
  <c r="S240" i="13" s="1"/>
  <c r="R66" i="13"/>
  <c r="S66" i="13" s="1"/>
  <c r="R112" i="13"/>
  <c r="S112" i="13" s="1"/>
  <c r="R32" i="13"/>
  <c r="S32" i="13" s="1"/>
  <c r="R20" i="13"/>
  <c r="S20" i="13" s="1"/>
  <c r="R18" i="13"/>
  <c r="S18" i="13" s="1"/>
  <c r="R35" i="13"/>
  <c r="S35" i="13" s="1"/>
  <c r="R54" i="13"/>
  <c r="S54" i="13" s="1"/>
  <c r="R105" i="13"/>
  <c r="S105" i="13" s="1"/>
  <c r="R58" i="13"/>
  <c r="S58" i="13" s="1"/>
  <c r="R201" i="13"/>
  <c r="S201" i="13" s="1"/>
  <c r="R253" i="13"/>
  <c r="S253" i="13" s="1"/>
  <c r="R260" i="13"/>
  <c r="S260" i="13" s="1"/>
  <c r="R114" i="13"/>
  <c r="S114" i="13" s="1"/>
  <c r="R31" i="13"/>
  <c r="S31" i="13" s="1"/>
  <c r="R150" i="13"/>
  <c r="S150" i="13" s="1"/>
  <c r="R291" i="13"/>
  <c r="S291" i="13" s="1"/>
  <c r="R29" i="13"/>
  <c r="S29" i="13" s="1"/>
  <c r="R225" i="13"/>
  <c r="S225" i="13" s="1"/>
  <c r="R57" i="13"/>
  <c r="S57" i="13" s="1"/>
  <c r="R133" i="13"/>
  <c r="S133" i="13" s="1"/>
  <c r="R288" i="13"/>
  <c r="S288" i="13" s="1"/>
  <c r="R50" i="13"/>
  <c r="S50" i="13" s="1"/>
  <c r="R216" i="13"/>
  <c r="S216" i="13" s="1"/>
  <c r="R220" i="13"/>
  <c r="S220" i="13" s="1"/>
  <c r="R151" i="13"/>
  <c r="S151" i="13" s="1"/>
  <c r="R237" i="13"/>
  <c r="S237" i="13" s="1"/>
  <c r="R64" i="13"/>
  <c r="S64" i="13" s="1"/>
  <c r="R96" i="13"/>
  <c r="S96" i="13" s="1"/>
  <c r="R103" i="13"/>
  <c r="S103" i="13" s="1"/>
  <c r="R295" i="13"/>
  <c r="S295" i="13" s="1"/>
  <c r="O256" i="25"/>
  <c r="H256" i="54" s="1"/>
  <c r="R108" i="13"/>
  <c r="S108" i="13" s="1"/>
  <c r="P102" i="13"/>
  <c r="Q102" i="13" s="1"/>
  <c r="G101" i="54" s="1"/>
  <c r="R171" i="13"/>
  <c r="S171" i="13" s="1"/>
  <c r="R243" i="13"/>
  <c r="S243" i="13" s="1"/>
  <c r="R254" i="13"/>
  <c r="S254" i="13" s="1"/>
  <c r="R71" i="13"/>
  <c r="S71" i="13" s="1"/>
  <c r="R226" i="13"/>
  <c r="S226" i="13" s="1"/>
  <c r="R25" i="13"/>
  <c r="S25" i="13" s="1"/>
  <c r="R210" i="13"/>
  <c r="S210" i="13" s="1"/>
  <c r="R314" i="13"/>
  <c r="S314" i="13" s="1"/>
  <c r="R116" i="13"/>
  <c r="S116" i="13" s="1"/>
  <c r="R38" i="13"/>
  <c r="S38" i="13" s="1"/>
  <c r="R246" i="13"/>
  <c r="S246" i="13" s="1"/>
  <c r="R56" i="13"/>
  <c r="S56" i="13" s="1"/>
  <c r="R156" i="13"/>
  <c r="S156" i="13" s="1"/>
  <c r="R120" i="13"/>
  <c r="S120" i="13" s="1"/>
  <c r="R262" i="13"/>
  <c r="S262" i="13" s="1"/>
  <c r="R179" i="13"/>
  <c r="S179" i="13" s="1"/>
  <c r="R9" i="13"/>
  <c r="S9" i="13" s="1"/>
  <c r="R294" i="13"/>
  <c r="S294" i="13" s="1"/>
  <c r="R63" i="13"/>
  <c r="S63" i="13" s="1"/>
  <c r="R184" i="13"/>
  <c r="S184" i="13" s="1"/>
  <c r="R279" i="13"/>
  <c r="S279" i="13" s="1"/>
  <c r="R99" i="13"/>
  <c r="S99" i="13" s="1"/>
  <c r="R91" i="13"/>
  <c r="S91" i="13" s="1"/>
  <c r="R79" i="13"/>
  <c r="S79" i="13" s="1"/>
  <c r="R222" i="13"/>
  <c r="S222" i="13" s="1"/>
  <c r="R280" i="13"/>
  <c r="S280" i="13" s="1"/>
  <c r="R70" i="13"/>
  <c r="S70" i="13" s="1"/>
  <c r="R62" i="13"/>
  <c r="S62" i="13" s="1"/>
  <c r="O299" i="25" l="1"/>
  <c r="O57" i="25"/>
  <c r="O95" i="25"/>
  <c r="H95" i="54" s="1"/>
  <c r="L60" i="25"/>
  <c r="N60" i="25" s="1"/>
  <c r="L292" i="25"/>
  <c r="N292" i="25" s="1"/>
  <c r="O132" i="25"/>
  <c r="O12" i="25"/>
  <c r="O28" i="25"/>
  <c r="O179" i="25"/>
  <c r="O27" i="25"/>
  <c r="O113" i="25"/>
  <c r="O53" i="25"/>
  <c r="H53" i="54" s="1"/>
  <c r="L130" i="25"/>
  <c r="N130" i="25" s="1"/>
  <c r="O182" i="25"/>
  <c r="L168" i="25"/>
  <c r="N168" i="25" s="1"/>
  <c r="H113" i="54"/>
  <c r="L287" i="25"/>
  <c r="N287" i="25" s="1"/>
  <c r="L209" i="25"/>
  <c r="N209" i="25" s="1"/>
  <c r="O263" i="25"/>
  <c r="H263" i="54" s="1"/>
  <c r="L55" i="25"/>
  <c r="N55" i="25" s="1"/>
  <c r="L160" i="25"/>
  <c r="N160" i="25" s="1"/>
  <c r="O77" i="25"/>
  <c r="H77" i="54" s="1"/>
  <c r="O106" i="25"/>
  <c r="H106" i="54" s="1"/>
  <c r="O311" i="25"/>
  <c r="H311" i="54" s="1"/>
  <c r="O265" i="25"/>
  <c r="O289" i="25"/>
  <c r="H289" i="54" s="1"/>
  <c r="O175" i="25"/>
  <c r="O120" i="25"/>
  <c r="H120" i="54" s="1"/>
  <c r="L19" i="25"/>
  <c r="N19" i="25" s="1"/>
  <c r="O228" i="25"/>
  <c r="H228" i="54" s="1"/>
  <c r="O155" i="25"/>
  <c r="H155" i="54" s="1"/>
  <c r="O284" i="25"/>
  <c r="L47" i="25"/>
  <c r="N47" i="25" s="1"/>
  <c r="O186" i="25"/>
  <c r="O17" i="25"/>
  <c r="L236" i="25"/>
  <c r="N236" i="25" s="1"/>
  <c r="L96" i="25"/>
  <c r="N96" i="25" s="1"/>
  <c r="L90" i="25"/>
  <c r="N90" i="25" s="1"/>
  <c r="O191" i="25"/>
  <c r="H191" i="54" s="1"/>
  <c r="L34" i="25"/>
  <c r="N34" i="25" s="1"/>
  <c r="L24" i="25"/>
  <c r="N24" i="25" s="1"/>
  <c r="O198" i="25"/>
  <c r="H198" i="54" s="1"/>
  <c r="O119" i="25"/>
  <c r="H119" i="54" s="1"/>
  <c r="L225" i="25"/>
  <c r="N225" i="25" s="1"/>
  <c r="O149" i="25"/>
  <c r="H149" i="54" s="1"/>
  <c r="O117" i="25"/>
  <c r="H117" i="54" s="1"/>
  <c r="L107" i="25"/>
  <c r="N107" i="25" s="1"/>
  <c r="O264" i="25"/>
  <c r="O32" i="25"/>
  <c r="L69" i="25"/>
  <c r="N69" i="25" s="1"/>
  <c r="O92" i="25"/>
  <c r="L25" i="25"/>
  <c r="N25" i="25" s="1"/>
  <c r="O49" i="25"/>
  <c r="H49" i="54" s="1"/>
  <c r="L171" i="25"/>
  <c r="N171" i="25" s="1"/>
  <c r="O23" i="25"/>
  <c r="H23" i="54" s="1"/>
  <c r="O150" i="25"/>
  <c r="H150" i="54" s="1"/>
  <c r="O259" i="25"/>
  <c r="H259" i="54" s="1"/>
  <c r="H182" i="54"/>
  <c r="H27" i="54"/>
  <c r="L103" i="25"/>
  <c r="N103" i="25" s="1"/>
  <c r="L115" i="25"/>
  <c r="N115" i="25" s="1"/>
  <c r="H130" i="54"/>
  <c r="H179" i="54"/>
  <c r="H12" i="54"/>
  <c r="O176" i="25"/>
  <c r="H176" i="54" s="1"/>
  <c r="H265" i="54"/>
  <c r="O45" i="25"/>
  <c r="H45" i="54" s="1"/>
  <c r="O134" i="25"/>
  <c r="H134" i="54" s="1"/>
  <c r="O159" i="25"/>
  <c r="O199" i="25"/>
  <c r="H199" i="54" s="1"/>
  <c r="O183" i="25"/>
  <c r="L193" i="25"/>
  <c r="N193" i="25" s="1"/>
  <c r="O286" i="25"/>
  <c r="H286" i="54" s="1"/>
  <c r="O294" i="25"/>
  <c r="H294" i="54" s="1"/>
  <c r="H92" i="54"/>
  <c r="L219" i="25"/>
  <c r="N219" i="25" s="1"/>
  <c r="O244" i="25"/>
  <c r="H244" i="54" s="1"/>
  <c r="O15" i="25"/>
  <c r="H132" i="54"/>
  <c r="L125" i="25"/>
  <c r="N125" i="25" s="1"/>
  <c r="H69" i="54"/>
  <c r="O97" i="25"/>
  <c r="H97" i="54" s="1"/>
  <c r="O305" i="25"/>
  <c r="H305" i="54" s="1"/>
  <c r="O220" i="25"/>
  <c r="H220" i="54" s="1"/>
  <c r="O118" i="25"/>
  <c r="H118" i="54" s="1"/>
  <c r="O20" i="25"/>
  <c r="O313" i="25"/>
  <c r="O61" i="25"/>
  <c r="O221" i="25"/>
  <c r="H221" i="54" s="1"/>
  <c r="O278" i="25"/>
  <c r="O41" i="25"/>
  <c r="H41" i="54" s="1"/>
  <c r="O102" i="25"/>
  <c r="O170" i="25"/>
  <c r="H170" i="54" s="1"/>
  <c r="O206" i="25"/>
  <c r="O37" i="25"/>
  <c r="H37" i="54" s="1"/>
  <c r="O253" i="25"/>
  <c r="O58" i="25"/>
  <c r="O261" i="25"/>
  <c r="O163" i="25"/>
  <c r="H163" i="54" s="1"/>
  <c r="O238" i="25"/>
  <c r="O67" i="25"/>
  <c r="O83" i="25"/>
  <c r="H83" i="54" s="1"/>
  <c r="O174" i="25"/>
  <c r="H174" i="54" s="1"/>
  <c r="H160" i="54"/>
  <c r="H8" i="54"/>
  <c r="O22" i="25"/>
  <c r="H22" i="54" s="1"/>
  <c r="H278" i="54"/>
  <c r="H57" i="54"/>
  <c r="H25" i="54"/>
  <c r="O78" i="25"/>
  <c r="H78" i="54" s="1"/>
  <c r="L8" i="25"/>
  <c r="N8" i="25" s="1"/>
  <c r="O245" i="25"/>
  <c r="H245" i="54" s="1"/>
  <c r="H168" i="54"/>
  <c r="H58" i="54"/>
  <c r="O293" i="25"/>
  <c r="H293" i="54" s="1"/>
  <c r="O178" i="25"/>
  <c r="H178" i="54" s="1"/>
  <c r="O196" i="25"/>
  <c r="O234" i="25"/>
  <c r="H234" i="54" s="1"/>
  <c r="H219" i="54"/>
  <c r="H19" i="54"/>
  <c r="H171" i="54"/>
  <c r="H287" i="54"/>
  <c r="H115" i="54"/>
  <c r="H239" i="54"/>
  <c r="H236" i="54"/>
  <c r="H193" i="54"/>
  <c r="H103" i="54"/>
  <c r="H215" i="54"/>
  <c r="O30" i="25"/>
  <c r="H30" i="54" s="1"/>
  <c r="O200" i="25"/>
  <c r="H200" i="54" s="1"/>
  <c r="O202" i="25"/>
  <c r="H202" i="54" s="1"/>
  <c r="H102" i="54"/>
  <c r="O56" i="25"/>
  <c r="H56" i="54" s="1"/>
  <c r="O111" i="25"/>
  <c r="H111" i="54" s="1"/>
  <c r="O79" i="25"/>
  <c r="H79" i="54" s="1"/>
  <c r="O282" i="25"/>
  <c r="H282" i="54" s="1"/>
  <c r="O143" i="25"/>
  <c r="H143" i="54" s="1"/>
  <c r="O136" i="25"/>
  <c r="H136" i="54" s="1"/>
  <c r="H264" i="54"/>
  <c r="O172" i="25"/>
  <c r="H172" i="54" s="1"/>
  <c r="H125" i="54"/>
  <c r="H47" i="54"/>
  <c r="H206" i="54"/>
  <c r="H253" i="54"/>
  <c r="H32" i="54"/>
  <c r="O65" i="25"/>
  <c r="H65" i="54" s="1"/>
  <c r="O31" i="25"/>
  <c r="H31" i="54" s="1"/>
  <c r="O63" i="25"/>
  <c r="H63" i="54" s="1"/>
  <c r="O224" i="25"/>
  <c r="H224" i="54" s="1"/>
  <c r="O91" i="25"/>
  <c r="H91" i="54" s="1"/>
  <c r="H15" i="54"/>
  <c r="O190" i="25"/>
  <c r="H190" i="54" s="1"/>
  <c r="H175" i="54"/>
  <c r="O240" i="25"/>
  <c r="H240" i="54" s="1"/>
  <c r="O279" i="25"/>
  <c r="H279" i="54" s="1"/>
  <c r="H67" i="54"/>
  <c r="H186" i="54"/>
  <c r="H238" i="54"/>
  <c r="O290" i="25"/>
  <c r="H290" i="54" s="1"/>
  <c r="H159" i="54"/>
  <c r="O285" i="25"/>
  <c r="H285" i="54" s="1"/>
  <c r="L215" i="25"/>
  <c r="N215" i="25" s="1"/>
  <c r="O104" i="25"/>
  <c r="H104" i="54" s="1"/>
  <c r="L239" i="25"/>
  <c r="N239" i="25" s="1"/>
  <c r="H299" i="54"/>
  <c r="O217" i="25"/>
  <c r="H217" i="54" s="1"/>
  <c r="O70" i="25"/>
  <c r="H70" i="54" s="1"/>
  <c r="H107" i="54"/>
  <c r="O310" i="25"/>
  <c r="H310" i="54" s="1"/>
  <c r="O271" i="25"/>
  <c r="H271" i="54" s="1"/>
  <c r="H284" i="54"/>
  <c r="H20" i="54"/>
  <c r="H313" i="54"/>
  <c r="O283" i="25"/>
  <c r="H283" i="54" s="1"/>
  <c r="O98" i="25"/>
  <c r="H98" i="54" s="1"/>
  <c r="H183" i="54"/>
  <c r="O62" i="25"/>
  <c r="H62" i="54" s="1"/>
  <c r="H261" i="54"/>
  <c r="O277" i="25"/>
  <c r="H277" i="54" s="1"/>
  <c r="O307" i="25"/>
  <c r="H307" i="54" s="1"/>
  <c r="C60" i="48"/>
  <c r="E61" i="48"/>
  <c r="C61" i="48" s="1"/>
  <c r="O242" i="25"/>
  <c r="H242" i="54" s="1"/>
  <c r="H17" i="54"/>
  <c r="H28" i="54"/>
  <c r="H96" i="54"/>
  <c r="H61" i="54"/>
  <c r="H196" i="54"/>
  <c r="O252" i="25"/>
  <c r="H252" i="54" s="1"/>
  <c r="L64" i="25"/>
  <c r="N64" i="25" s="1"/>
  <c r="O64" i="25"/>
  <c r="H64" i="54" s="1"/>
  <c r="R102" i="13"/>
  <c r="S102" i="13" s="1"/>
  <c r="J314" i="25"/>
  <c r="K101" i="25"/>
  <c r="E39" i="48"/>
  <c r="F39" i="48" s="1"/>
  <c r="F43" i="48" s="1"/>
  <c r="P7" i="13"/>
  <c r="Q7" i="13" s="1"/>
  <c r="G6" i="54" s="1"/>
  <c r="F54" i="48" l="1"/>
  <c r="G314" i="54"/>
  <c r="H6" i="54"/>
  <c r="R7" i="13"/>
  <c r="S7" i="13" s="1"/>
  <c r="L101" i="25"/>
  <c r="N101" i="25" s="1"/>
  <c r="O101" i="25"/>
  <c r="H101" i="54" s="1"/>
  <c r="K6" i="25"/>
  <c r="Q315" i="13"/>
  <c r="H314" i="54" l="1"/>
  <c r="K314" i="25"/>
  <c r="L314" i="25" s="1"/>
  <c r="C32" i="40" s="1"/>
  <c r="D32" i="40"/>
  <c r="L6" i="25"/>
  <c r="N6" i="25" s="1"/>
  <c r="N314" i="25" s="1"/>
  <c r="O6" i="25"/>
  <c r="O314"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Brochet Antoine</author>
  </authors>
  <commentList>
    <comment ref="C3" authorId="0" shapeId="0" xr:uid="{55CDA886-B582-406A-8FE9-6E2C56110B9C}">
      <text>
        <r>
          <rPr>
            <b/>
            <sz val="9"/>
            <color indexed="81"/>
            <rFont val="Tahoma"/>
            <family val="2"/>
          </rPr>
          <t>Veuillez indiquer le nom de votre commune</t>
        </r>
      </text>
    </comment>
  </commentList>
</comments>
</file>

<file path=xl/sharedStrings.xml><?xml version="1.0" encoding="utf-8"?>
<sst xmlns="http://schemas.openxmlformats.org/spreadsheetml/2006/main" count="1044" uniqueCount="616">
  <si>
    <t>Plafonnement de l'aide</t>
  </si>
  <si>
    <t>L'Isle</t>
  </si>
  <si>
    <t>Lussery-Villars</t>
  </si>
  <si>
    <t>Mauraz</t>
  </si>
  <si>
    <t>Mex</t>
  </si>
  <si>
    <t>Moiry</t>
  </si>
  <si>
    <t>Corcelles-près-Payerne</t>
  </si>
  <si>
    <t>Grandcour</t>
  </si>
  <si>
    <t>Henniez</t>
  </si>
  <si>
    <t>Missy</t>
  </si>
  <si>
    <t>Payerne</t>
  </si>
  <si>
    <t>Trey</t>
  </si>
  <si>
    <t>Villarzel</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</si>
  <si>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</si>
  <si>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</si>
  <si>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</si>
  <si>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</si>
  <si>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</si>
  <si>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</si>
  <si>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</si>
  <si>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</si>
  <si>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</si>
  <si>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</si>
  <si>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</si>
  <si>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</si>
  <si>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</si>
  <si>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</si>
  <si>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</si>
  <si>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</si>
  <si>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</si>
  <si>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Saint-Barthélemy</t>
  </si>
  <si>
    <t>Villars-le-Terroir</t>
  </si>
  <si>
    <t>Vuarrens</t>
  </si>
  <si>
    <t>Bonvillars</t>
  </si>
  <si>
    <t>Bullet</t>
  </si>
  <si>
    <t>Champagne</t>
  </si>
  <si>
    <t>Concise</t>
  </si>
  <si>
    <t>Corcelles-près-Concise</t>
  </si>
  <si>
    <t>Fiez</t>
  </si>
  <si>
    <t>Fontaines-sur-Grandson</t>
  </si>
  <si>
    <t>Giez</t>
  </si>
  <si>
    <t>Grandevent</t>
  </si>
  <si>
    <t>Grandson</t>
  </si>
  <si>
    <t>Mauborget</t>
  </si>
  <si>
    <t>Plafond transports</t>
  </si>
  <si>
    <t>Plafond forêts</t>
  </si>
  <si>
    <t>No OFS</t>
  </si>
  <si>
    <t>Fonds de péréquation</t>
  </si>
  <si>
    <t>IFO normalisé à 100</t>
  </si>
  <si>
    <t>Corsier-sur-Vevey</t>
  </si>
  <si>
    <t>Jongny</t>
  </si>
  <si>
    <t>Montreux</t>
  </si>
  <si>
    <t>La Tour-de-Peilz</t>
  </si>
  <si>
    <t>Vevey</t>
  </si>
  <si>
    <t>Veytaux</t>
  </si>
  <si>
    <t>Belmont-sur-Yverdon</t>
  </si>
  <si>
    <t>Bioley-Magnoux</t>
  </si>
  <si>
    <t>Chamblon</t>
  </si>
  <si>
    <t>Champvent</t>
  </si>
  <si>
    <t>Chavannes-le-Chêne</t>
  </si>
  <si>
    <t>Chêne-Pâquier</t>
  </si>
  <si>
    <t>Cheseaux-Noréaz</t>
  </si>
  <si>
    <t>Cronay</t>
  </si>
  <si>
    <t>Cuarny</t>
  </si>
  <si>
    <t>Démoret</t>
  </si>
  <si>
    <t>Donneloye</t>
  </si>
  <si>
    <t>Ependes</t>
  </si>
  <si>
    <t>Valeur par habitant</t>
  </si>
  <si>
    <t>Nyon</t>
  </si>
  <si>
    <t>Prangins</t>
  </si>
  <si>
    <t>Bougy-Villars</t>
  </si>
  <si>
    <t>Yvorne</t>
  </si>
  <si>
    <t>Apples</t>
  </si>
  <si>
    <t>Aubonne</t>
  </si>
  <si>
    <t>Ballens</t>
  </si>
  <si>
    <t>Berolle</t>
  </si>
  <si>
    <t>Bière</t>
  </si>
  <si>
    <t>Taux communal</t>
  </si>
  <si>
    <t>ISP</t>
  </si>
  <si>
    <t>IPE</t>
  </si>
  <si>
    <t>IBC</t>
  </si>
  <si>
    <t>IET</t>
  </si>
  <si>
    <t>ISO</t>
  </si>
  <si>
    <t>IMM</t>
  </si>
  <si>
    <t>IFO</t>
  </si>
  <si>
    <t>STO</t>
  </si>
  <si>
    <t>IFR</t>
  </si>
  <si>
    <t>ISD</t>
  </si>
  <si>
    <t>DMU</t>
  </si>
  <si>
    <t>IGI</t>
  </si>
  <si>
    <t>TOT</t>
  </si>
  <si>
    <t>Facture sociale à charge des communes</t>
  </si>
  <si>
    <t>Alimentation</t>
  </si>
  <si>
    <t>./. Dép. thématiques</t>
  </si>
  <si>
    <t>Commune</t>
  </si>
  <si>
    <t>Chavannes-sur-Moudon</t>
  </si>
  <si>
    <t>Curtilles</t>
  </si>
  <si>
    <t>Dompierre</t>
  </si>
  <si>
    <t>Hermenches</t>
  </si>
  <si>
    <t>Lovatens</t>
  </si>
  <si>
    <t>Lucens</t>
  </si>
  <si>
    <t>Moudon</t>
  </si>
  <si>
    <t>Ogens</t>
  </si>
  <si>
    <t>Prévonloup</t>
  </si>
  <si>
    <t>Rossenges</t>
  </si>
  <si>
    <t>Syens</t>
  </si>
  <si>
    <t>Villars-le-Comte</t>
  </si>
  <si>
    <t>Vucherens</t>
  </si>
  <si>
    <t>Arnex-sur-Nyon</t>
  </si>
  <si>
    <t>Bassins</t>
  </si>
  <si>
    <t>Chessel</t>
  </si>
  <si>
    <t>Corbeyrier</t>
  </si>
  <si>
    <t>Gryon</t>
  </si>
  <si>
    <t>Lavey-Morcles</t>
  </si>
  <si>
    <t>Leysin</t>
  </si>
  <si>
    <t>Noville</t>
  </si>
  <si>
    <t>Ollon</t>
  </si>
  <si>
    <t>Sainte-Croix</t>
  </si>
  <si>
    <t>Lausanne</t>
  </si>
  <si>
    <t>Le Mont-sur-Lausanne</t>
  </si>
  <si>
    <t>Paudex</t>
  </si>
  <si>
    <t>Prilly</t>
  </si>
  <si>
    <t>Pully</t>
  </si>
  <si>
    <t>Taux projeté</t>
  </si>
  <si>
    <t>Plafonnement du taux</t>
  </si>
  <si>
    <t>Contrôle du taux projeté</t>
  </si>
  <si>
    <t>Rivaz</t>
  </si>
  <si>
    <t>St-Saphorin (Lavaux)</t>
  </si>
  <si>
    <t>Ormont-Dessous</t>
  </si>
  <si>
    <t>Ormont-Dessus</t>
  </si>
  <si>
    <t>Rennaz</t>
  </si>
  <si>
    <t>Roche</t>
  </si>
  <si>
    <t>Villeneuve</t>
  </si>
  <si>
    <t>Romainmôtier-Envy</t>
  </si>
  <si>
    <t>Sergey</t>
  </si>
  <si>
    <t>Valeyres-sous-Rances</t>
  </si>
  <si>
    <t>Total</t>
  </si>
  <si>
    <t>Dépenses thématiques</t>
  </si>
  <si>
    <t>Ferreyres</t>
  </si>
  <si>
    <t>Gollion</t>
  </si>
  <si>
    <t>Grancy</t>
  </si>
  <si>
    <t>Forel (Lavaux)</t>
  </si>
  <si>
    <t>Lutry</t>
  </si>
  <si>
    <t>Bremblens</t>
  </si>
  <si>
    <t>Buchillon</t>
  </si>
  <si>
    <t>Yvonand</t>
  </si>
  <si>
    <t>Yverdon-les-Bains</t>
  </si>
  <si>
    <t>Clarmont</t>
  </si>
  <si>
    <t>Denens</t>
  </si>
  <si>
    <t>Denges</t>
  </si>
  <si>
    <t>Echandens</t>
  </si>
  <si>
    <t>Echichens</t>
  </si>
  <si>
    <t>Ecublens</t>
  </si>
  <si>
    <t>Etoy</t>
  </si>
  <si>
    <t>Lavigny</t>
  </si>
  <si>
    <t>Lonay</t>
  </si>
  <si>
    <t>Lully</t>
  </si>
  <si>
    <t>Lussy-sur-Morges</t>
  </si>
  <si>
    <t>Morges</t>
  </si>
  <si>
    <t>Préverenges</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</si>
  <si>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</si>
  <si>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</si>
  <si>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</si>
  <si>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</si>
  <si>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</si>
  <si>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</si>
  <si>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</si>
  <si>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</si>
  <si>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</si>
  <si>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</si>
  <si>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</si>
  <si>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</si>
  <si>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</si>
  <si>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</si>
  <si>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</si>
  <si>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</si>
  <si>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</si>
  <si>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t>
  </si>
  <si>
    <t>Echallens</t>
  </si>
  <si>
    <t>Essertines-sur-Yverdon</t>
  </si>
  <si>
    <t>Etagnières</t>
  </si>
  <si>
    <t>Fey</t>
  </si>
  <si>
    <t>Froideville</t>
  </si>
  <si>
    <t>Morrens</t>
  </si>
  <si>
    <t>Oulens-sous-Echallens</t>
  </si>
  <si>
    <t>Pailly</t>
  </si>
  <si>
    <t>Penthéréaz</t>
  </si>
  <si>
    <t>Poliez-Pittet</t>
  </si>
  <si>
    <t>Rueyres</t>
  </si>
  <si>
    <t>Sous-total</t>
  </si>
  <si>
    <t>Frontaliers</t>
  </si>
  <si>
    <t>Successions et donations</t>
  </si>
  <si>
    <t>Droits de mutation</t>
  </si>
  <si>
    <t>Gains immobiliers</t>
  </si>
  <si>
    <t>Villars-sous-Yens</t>
  </si>
  <si>
    <t>Vufflens-le-Château</t>
  </si>
  <si>
    <t>Vullierens</t>
  </si>
  <si>
    <t>Yens</t>
  </si>
  <si>
    <t>Boulens</t>
  </si>
  <si>
    <t>Bussy-sur-Moudon</t>
  </si>
  <si>
    <t>Le Chenit</t>
  </si>
  <si>
    <t>Le Lieu</t>
  </si>
  <si>
    <t>Blonay</t>
  </si>
  <si>
    <t>Chardonne</t>
  </si>
  <si>
    <t>Corseaux</t>
  </si>
  <si>
    <t>Boussens</t>
  </si>
  <si>
    <t>La Chaux (Cossonay)</t>
  </si>
  <si>
    <t>Plafonnement de l'effort</t>
  </si>
  <si>
    <t>Prise en charge dépassement</t>
  </si>
  <si>
    <t>Dépassement forêts</t>
  </si>
  <si>
    <t>Romanel-sur-Lausanne</t>
  </si>
  <si>
    <t>La Praz</t>
  </si>
  <si>
    <t>Premier</t>
  </si>
  <si>
    <t>Rances</t>
  </si>
  <si>
    <t>Begnins</t>
  </si>
  <si>
    <t>Bogis-Bossey</t>
  </si>
  <si>
    <t>Borex</t>
  </si>
  <si>
    <t>Chavannes-de-Bogis</t>
  </si>
  <si>
    <t>Chavannes-des-Bois</t>
  </si>
  <si>
    <t>Chéserex</t>
  </si>
  <si>
    <t>Coinsins</t>
  </si>
  <si>
    <t>Commugny</t>
  </si>
  <si>
    <t>Coppet</t>
  </si>
  <si>
    <t>Crassier</t>
  </si>
  <si>
    <t>Duillier</t>
  </si>
  <si>
    <t>Eysins</t>
  </si>
  <si>
    <t>Founex</t>
  </si>
  <si>
    <t>Genolier</t>
  </si>
  <si>
    <t>Gingins</t>
  </si>
  <si>
    <t>Givrins</t>
  </si>
  <si>
    <t>Gland</t>
  </si>
  <si>
    <t>Grens</t>
  </si>
  <si>
    <t>Mies</t>
  </si>
  <si>
    <t>Cottens</t>
  </si>
  <si>
    <t>Cuarnens</t>
  </si>
  <si>
    <t>Daillens</t>
  </si>
  <si>
    <t>Dizy</t>
  </si>
  <si>
    <t>Eclépens</t>
  </si>
  <si>
    <t>Pertes débiteurs</t>
  </si>
  <si>
    <t>Modif. Ant.</t>
  </si>
  <si>
    <t>Imputation forfaitaire</t>
  </si>
  <si>
    <t>Pers. physiques - revenu/fortune corrigé</t>
  </si>
  <si>
    <t>IRF corrrigé</t>
  </si>
  <si>
    <t xml:space="preserve">Pers. physiques - revenu/fortune </t>
  </si>
  <si>
    <t xml:space="preserve">IRF </t>
  </si>
  <si>
    <t>Plafond effort</t>
  </si>
  <si>
    <t>Plafond taux</t>
  </si>
  <si>
    <t>Chavannes-près-Renens</t>
  </si>
  <si>
    <t>Chigny</t>
  </si>
  <si>
    <t>Diff. De taux</t>
  </si>
  <si>
    <t>Impôt spécial affecté</t>
  </si>
  <si>
    <t>Impôt personnel</t>
  </si>
  <si>
    <t>Pers. morales bénéfice / capital</t>
  </si>
  <si>
    <t>Aigle</t>
  </si>
  <si>
    <t>Bex</t>
  </si>
  <si>
    <t>Taux après déduction de l'effort péréquatif</t>
  </si>
  <si>
    <t>Somme des efforts péréquatifs prévus</t>
  </si>
  <si>
    <t>Arnex-sur-Orbe</t>
  </si>
  <si>
    <t>Ballaigues</t>
  </si>
  <si>
    <t>Baulmes</t>
  </si>
  <si>
    <t>Bavois</t>
  </si>
  <si>
    <t>Bofflens</t>
  </si>
  <si>
    <t>Bretonnières</t>
  </si>
  <si>
    <t>Chavornay</t>
  </si>
  <si>
    <t>Les Clées</t>
  </si>
  <si>
    <t>Montagny-près-Yverdon</t>
  </si>
  <si>
    <t>Oppens</t>
  </si>
  <si>
    <t>Orges</t>
  </si>
  <si>
    <t>Ursins</t>
  </si>
  <si>
    <t>Vugelles-La Mothe</t>
  </si>
  <si>
    <t>./. Gestion du fonds</t>
  </si>
  <si>
    <t>Corcelles-le-Jorat</t>
  </si>
  <si>
    <t>Essertes</t>
  </si>
  <si>
    <t>Maracon</t>
  </si>
  <si>
    <t>Montpreveyres</t>
  </si>
  <si>
    <t>Ropraz</t>
  </si>
  <si>
    <t>Servion</t>
  </si>
  <si>
    <t>Mutrux</t>
  </si>
  <si>
    <t>Novalles</t>
  </si>
  <si>
    <t>Onnens</t>
  </si>
  <si>
    <t>Provence</t>
  </si>
  <si>
    <t>Recettes conjoncturelles en pts</t>
  </si>
  <si>
    <t>A répartir selon clé</t>
  </si>
  <si>
    <t>en % de la moyenne</t>
  </si>
  <si>
    <t>Seuil 1</t>
  </si>
  <si>
    <t>Seuil 2</t>
  </si>
  <si>
    <t>Total écrêtage</t>
  </si>
  <si>
    <t>Montant à recevoir</t>
  </si>
  <si>
    <t>Total à recevoir</t>
  </si>
  <si>
    <t>Savigny</t>
  </si>
  <si>
    <t>Chexbres</t>
  </si>
  <si>
    <t>Villars-Epeney</t>
  </si>
  <si>
    <t>Puidoux</t>
  </si>
  <si>
    <t>Bussy-Chardonney</t>
  </si>
  <si>
    <t>Total transports</t>
  </si>
  <si>
    <t>Dépassement transports</t>
  </si>
  <si>
    <t>Population</t>
  </si>
  <si>
    <t>Capacité fiscale totale</t>
  </si>
  <si>
    <t>Montant perçu</t>
  </si>
  <si>
    <t>Bas</t>
  </si>
  <si>
    <t>Seuils de population</t>
  </si>
  <si>
    <t>Haut</t>
  </si>
  <si>
    <t>Montants</t>
  </si>
  <si>
    <t>Compensation brute</t>
  </si>
  <si>
    <t>Reverolle</t>
  </si>
  <si>
    <t>Romanel-sur-Morges</t>
  </si>
  <si>
    <t>Saint-Prex</t>
  </si>
  <si>
    <t>Saint-Sulpice</t>
  </si>
  <si>
    <t>Tolochenaz</t>
  </si>
  <si>
    <t>Vaux-sur-Morges</t>
  </si>
  <si>
    <t>Villars-Sainte-Croix</t>
  </si>
  <si>
    <t>La Rippe</t>
  </si>
  <si>
    <t>Saint-Cergue</t>
  </si>
  <si>
    <t>Signy-Avenex</t>
  </si>
  <si>
    <t>Tannay</t>
  </si>
  <si>
    <t>Trélex</t>
  </si>
  <si>
    <t>Le Vaud</t>
  </si>
  <si>
    <t>Vich</t>
  </si>
  <si>
    <t>L'Abergement</t>
  </si>
  <si>
    <t>Agiez</t>
  </si>
  <si>
    <t>Péréquation directe</t>
  </si>
  <si>
    <t>Transports publics</t>
  </si>
  <si>
    <t>Transports scolaires</t>
  </si>
  <si>
    <t>Croy</t>
  </si>
  <si>
    <t>Juriens</t>
  </si>
  <si>
    <t>Lignerolle</t>
  </si>
  <si>
    <t>Montcherand</t>
  </si>
  <si>
    <t>Orbe</t>
  </si>
  <si>
    <t>Vallorbe</t>
  </si>
  <si>
    <t>Vaulion</t>
  </si>
  <si>
    <t>Vuiteboeuf</t>
  </si>
  <si>
    <t>Impôts suivant le taux</t>
  </si>
  <si>
    <t>Féchy</t>
  </si>
  <si>
    <t>Gimel</t>
  </si>
  <si>
    <t>Saint-Livres</t>
  </si>
  <si>
    <t>Saint-Oyens</t>
  </si>
  <si>
    <t>Saubraz</t>
  </si>
  <si>
    <t>Avenches</t>
  </si>
  <si>
    <t>Cudrefin</t>
  </si>
  <si>
    <t>Faoug</t>
  </si>
  <si>
    <t>Bettens</t>
  </si>
  <si>
    <t>Bournens</t>
  </si>
  <si>
    <t>% taux communal moyen</t>
  </si>
  <si>
    <t>Compensation nette</t>
  </si>
  <si>
    <t>Différence à compenser</t>
  </si>
  <si>
    <t>A recevoir population</t>
  </si>
  <si>
    <t>Total péréquation directe</t>
  </si>
  <si>
    <t>Total éléments divers</t>
  </si>
  <si>
    <t>Effort total net</t>
  </si>
  <si>
    <t xml:space="preserve">Taux actuel </t>
  </si>
  <si>
    <t xml:space="preserve">Taux </t>
  </si>
  <si>
    <t>Longirod</t>
  </si>
  <si>
    <t>Marchissy</t>
  </si>
  <si>
    <t>Mollens</t>
  </si>
  <si>
    <t>Saint-George</t>
  </si>
  <si>
    <t>Total des prises en charges</t>
  </si>
  <si>
    <t>Effort total</t>
  </si>
  <si>
    <t>Valeur du point</t>
  </si>
  <si>
    <t>Plafonnement en francs</t>
  </si>
  <si>
    <t>Chavannes-le-Veyron</t>
  </si>
  <si>
    <t>Chevilly</t>
  </si>
  <si>
    <t>Cossonay</t>
  </si>
  <si>
    <t>./. Conjoncturelles</t>
  </si>
  <si>
    <t>./. Ecrêtage</t>
  </si>
  <si>
    <t>Paramétrage des critères de péréquation</t>
  </si>
  <si>
    <t>Prise en charge (%)</t>
  </si>
  <si>
    <t>Montants affectés aux plafonnements</t>
  </si>
  <si>
    <t>Seuil max (pts)</t>
  </si>
  <si>
    <t>Impôt sur les étrangers</t>
  </si>
  <si>
    <t>Impôt à la source</t>
  </si>
  <si>
    <t>Pers. morales immeubles</t>
  </si>
  <si>
    <t>Impôt foncier</t>
  </si>
  <si>
    <t>Vulliens</t>
  </si>
  <si>
    <t>Champtauroz</t>
  </si>
  <si>
    <t>Chevroux</t>
  </si>
  <si>
    <t>Belmont-sur-Lausanne</t>
  </si>
  <si>
    <t>Cheseaux-sur-Lausanne</t>
  </si>
  <si>
    <t>Crissier</t>
  </si>
  <si>
    <t>Epalinges</t>
  </si>
  <si>
    <t>Jouxtens-Mézery</t>
  </si>
  <si>
    <t>Mathod</t>
  </si>
  <si>
    <t>Molondin</t>
  </si>
  <si>
    <t>Renens</t>
  </si>
  <si>
    <t>Valeyres-sous-Montagny</t>
  </si>
  <si>
    <t>Valeyres-sous-Ursins</t>
  </si>
  <si>
    <t>Orzens</t>
  </si>
  <si>
    <t>Pomy</t>
  </si>
  <si>
    <t>Rovray</t>
  </si>
  <si>
    <t>Suchy</t>
  </si>
  <si>
    <t>Suscévaz</t>
  </si>
  <si>
    <t>Treycovagnes</t>
  </si>
  <si>
    <t>Aclens</t>
  </si>
  <si>
    <t>Répartition selon péréquation</t>
  </si>
  <si>
    <t>Solde péréquation directe</t>
  </si>
  <si>
    <t>Points</t>
  </si>
  <si>
    <t>Seuil 3</t>
  </si>
  <si>
    <t>Pers. physiques - revenu</t>
  </si>
  <si>
    <t xml:space="preserve">Pers. physiques - fortune </t>
  </si>
  <si>
    <t>Impôt sur la dépense (étrangers)</t>
  </si>
  <si>
    <t>Impôt récupéré après défalcation</t>
  </si>
  <si>
    <t>PPR</t>
  </si>
  <si>
    <t>PPF</t>
  </si>
  <si>
    <t>PMB</t>
  </si>
  <si>
    <t>PMC</t>
  </si>
  <si>
    <t>Montant plafonnement totaux</t>
  </si>
  <si>
    <t xml:space="preserve">Montant prélevé </t>
  </si>
  <si>
    <t xml:space="preserve">./. Plafonnements totaux </t>
  </si>
  <si>
    <t xml:space="preserve">./. Réserve </t>
  </si>
  <si>
    <t>Recettes conjoncturelles (mutations + gains immob + successions)</t>
  </si>
  <si>
    <t>A recevoir solidarité</t>
  </si>
  <si>
    <t>Solde solidarité et population</t>
  </si>
  <si>
    <t>Bourg-en-Lavaux</t>
  </si>
  <si>
    <t>Tévenon</t>
  </si>
  <si>
    <t>Vully-les-Lacs</t>
  </si>
  <si>
    <t>Goumoëns</t>
  </si>
  <si>
    <t>Montilliez</t>
  </si>
  <si>
    <t>Jorat-Menthue</t>
  </si>
  <si>
    <t>Valbroye</t>
  </si>
  <si>
    <t>Oron</t>
  </si>
  <si>
    <t>Prélèvements conjoncturels</t>
  </si>
  <si>
    <t>Variation point d'impôt</t>
  </si>
  <si>
    <t>Indexation</t>
  </si>
  <si>
    <t>Plafond aide</t>
  </si>
  <si>
    <t>Bussigny</t>
  </si>
  <si>
    <t>Arzier-Le Muids</t>
  </si>
  <si>
    <t>Montanaire</t>
  </si>
  <si>
    <t>Dépassement routes</t>
  </si>
  <si>
    <t>Droits mutations, GI, successions et donations</t>
  </si>
  <si>
    <t>Indice IPC au 1er janvier 2010</t>
  </si>
  <si>
    <t>Indice IPC au 30 juin de l'année du décompte</t>
  </si>
  <si>
    <t>Montant à affecter ajusté à l'IPC</t>
  </si>
  <si>
    <t>Population selon FAO</t>
  </si>
  <si>
    <t xml:space="preserve">Rendement des impôts et taxes communaux  (en CHF)   </t>
  </si>
  <si>
    <t>Année de référence</t>
  </si>
  <si>
    <t>Valeur du point communal</t>
  </si>
  <si>
    <t>Péréquation directe - Couche Population</t>
  </si>
  <si>
    <t>Péréquation directe - Couche Solidarité</t>
  </si>
  <si>
    <t>CHF</t>
  </si>
  <si>
    <t>Pts</t>
  </si>
  <si>
    <t>A rendre en CHF</t>
  </si>
  <si>
    <t>Effort péréquatif en points</t>
  </si>
  <si>
    <t>A) Période de calcul</t>
  </si>
  <si>
    <t>B) Prélèvement sur recettes conjoncturelles</t>
  </si>
  <si>
    <t>C) Ecrêtage</t>
  </si>
  <si>
    <t>pour une capacité dépassant</t>
  </si>
  <si>
    <t>D) Couche population</t>
  </si>
  <si>
    <t>Montant à affecter par habitant</t>
  </si>
  <si>
    <t>E) Couche solidarité</t>
  </si>
  <si>
    <t>F) Ecart péréquation horizontale</t>
  </si>
  <si>
    <t>G) Dépenses thématiques</t>
  </si>
  <si>
    <t>Transports, nombre de points</t>
  </si>
  <si>
    <t>Prise en charge maximale</t>
  </si>
  <si>
    <t>H) Paramètres de plafonnement en points</t>
  </si>
  <si>
    <t>Impôts théoriques</t>
  </si>
  <si>
    <t>Synthèse en CHF</t>
  </si>
  <si>
    <t>Ecrêtage</t>
  </si>
  <si>
    <t xml:space="preserve">J) Liste des communes A--&gt;Z </t>
  </si>
  <si>
    <t>Recettes conjoncturelles (DM + GI + Succ.)</t>
  </si>
  <si>
    <t>Répartition solde après prélèvements</t>
  </si>
  <si>
    <t>Solidarité</t>
  </si>
  <si>
    <t>Plafonnements</t>
  </si>
  <si>
    <t>Aide</t>
  </si>
  <si>
    <t>Taux</t>
  </si>
  <si>
    <t>Total de la péréquation directe</t>
  </si>
  <si>
    <t>Montant à charge de la commune</t>
  </si>
  <si>
    <t>Résumé par commune</t>
  </si>
  <si>
    <t>Imp théoriques</t>
  </si>
  <si>
    <t>Total à charge des communes</t>
  </si>
  <si>
    <t>Réforme policière</t>
  </si>
  <si>
    <t>Financement reçu pour les nouvelles tâches</t>
  </si>
  <si>
    <t>J) Réforme policière</t>
  </si>
  <si>
    <t>Nombre de point</t>
  </si>
  <si>
    <t>Charges pour commune sans police</t>
  </si>
  <si>
    <t>Répartition du solde</t>
  </si>
  <si>
    <t>Facture</t>
  </si>
  <si>
    <t>Date population</t>
  </si>
  <si>
    <t>Date taux d'impôt</t>
  </si>
  <si>
    <t>Taux IFO</t>
  </si>
  <si>
    <t>Total de la réforme policière</t>
  </si>
  <si>
    <t>Date plafonnement du taux (N-1)</t>
  </si>
  <si>
    <t>Seuil de population (habitants). Art. 2 DLPIC</t>
  </si>
  <si>
    <t>Selon Art. 3 DLPIC</t>
  </si>
  <si>
    <t>Gestion du fond (montant négatif). Art. 8 DLPIC</t>
  </si>
  <si>
    <t>% prélevé. Art. 4 LPIC</t>
  </si>
  <si>
    <t>Frontaliers. Art. 3 LPIC</t>
  </si>
  <si>
    <t>Forêts, nombre de points. Art. 4 DLPIC</t>
  </si>
  <si>
    <t>Effort maximum plafonné. Art. 5 DLPIC</t>
  </si>
  <si>
    <t>Aide maximale plafonnée. Art. 7 DLPIC</t>
  </si>
  <si>
    <t>P é r é q u a t i o n   d i r e c t e</t>
  </si>
  <si>
    <t>Treytorrens (Payerne)</t>
  </si>
  <si>
    <t>Saint-Légier-La Chiésaz</t>
  </si>
  <si>
    <t>Effort péréquatif. Art. 5 DLPIC</t>
  </si>
  <si>
    <t>Dépassement du taux. Art. 6 DLPIC</t>
  </si>
  <si>
    <t>Jorat-Mézières</t>
  </si>
  <si>
    <t xml:space="preserve">Année 2018 : </t>
  </si>
  <si>
    <t>Dès 2019 :</t>
  </si>
  <si>
    <t>Total des prises en charges pour plfd aide</t>
  </si>
  <si>
    <t>Année 2019</t>
  </si>
  <si>
    <t>Situation N-1 (plafond de l'effort)</t>
  </si>
  <si>
    <t>Situation N-1 (plafond du taux)</t>
  </si>
  <si>
    <t>Effort</t>
  </si>
  <si>
    <t>Total net</t>
  </si>
  <si>
    <t>S y n t h è s e   e n   C H F</t>
  </si>
  <si>
    <t>Taux maximum plafonné. Art. 6 DLPIC</t>
  </si>
  <si>
    <t>Seuil 4</t>
  </si>
  <si>
    <t>Seuil 5</t>
  </si>
  <si>
    <t>2019</t>
  </si>
  <si>
    <t>Valeur point impôt</t>
  </si>
  <si>
    <t>Nombre de points</t>
  </si>
  <si>
    <t>Valeur du point d'impôt</t>
  </si>
  <si>
    <t>Facture en points d'impôts</t>
  </si>
  <si>
    <t>Point impôt</t>
  </si>
  <si>
    <t>Année 2020</t>
  </si>
  <si>
    <t>Dès 2020 :</t>
  </si>
  <si>
    <t>Effort total sans les recettes conjoncturelles</t>
  </si>
  <si>
    <t>Montant prélevé en pts d'impôt</t>
  </si>
  <si>
    <t>2020</t>
  </si>
  <si>
    <t>Valeur du point d'impôt communal selon comptes 2020</t>
  </si>
  <si>
    <t xml:space="preserve">Répartition CHF </t>
  </si>
  <si>
    <t xml:space="preserve">Pers. morales bénéfice </t>
  </si>
  <si>
    <t>Pers. morales  capital</t>
  </si>
  <si>
    <t>Péréquation horizontal</t>
  </si>
  <si>
    <t xml:space="preserve"> </t>
  </si>
  <si>
    <t>P é r é q u a t i o n   i n d i r e c t e   (participation à la cohésion sociale)</t>
  </si>
  <si>
    <t>Total Routes et infrastructures</t>
  </si>
  <si>
    <t>Total Forêts</t>
  </si>
  <si>
    <t>Transports</t>
  </si>
  <si>
    <t>Forêts</t>
  </si>
  <si>
    <t>Totaux</t>
  </si>
  <si>
    <t>Acomptes*</t>
  </si>
  <si>
    <t>Décomptes</t>
  </si>
  <si>
    <t>Soldes</t>
  </si>
  <si>
    <t>(+ à payer / - à recevoir)</t>
  </si>
  <si>
    <t>Communes</t>
  </si>
  <si>
    <t>Péréquation horizontale</t>
  </si>
  <si>
    <t>Acomptes</t>
  </si>
  <si>
    <t>Décompte</t>
  </si>
  <si>
    <t>Différences</t>
  </si>
  <si>
    <t>Différence</t>
  </si>
  <si>
    <t>Participation à la cohésion sociale</t>
  </si>
  <si>
    <t xml:space="preserve">I) Indexation plafond du taux </t>
  </si>
  <si>
    <t>Communes 
LDecTer</t>
  </si>
  <si>
    <t>Péréquation indirecte</t>
  </si>
  <si>
    <t>*montants selon le fichier des acomptes initiaux adoptés par la COPAR. Ne tient pas compte des arrangements survenus en cours d'année. Les factures, respectivement les remboursements, seront gérés par les services directement concernés à savoir :
- pour la péréquation indirecte, par le département de la santé et de l'action sociale ;
- pour la péréquation directe, par la Direction générale des affaires institutionnelles et des communes (DGAIC);
- pour la réforme policière, par la police cantonale.</t>
  </si>
  <si>
    <t>Décompte 2020</t>
  </si>
  <si>
    <t>Valeur du point d'impôt communal selon comptes 2021</t>
  </si>
  <si>
    <t>Variation participation à la cohésion sociale</t>
  </si>
  <si>
    <t>Participation à la cohésion sociale selon les comptes 2020</t>
  </si>
  <si>
    <t>Participation à la cohésion sociale selon les comptes 2021</t>
  </si>
  <si>
    <t>Déduction complémentaire au montant de la PCS selon art. 17b al. 3 LOF</t>
  </si>
  <si>
    <t>Déduction supplémentaire (bouclement des comptes de l'Etat 2021)</t>
  </si>
  <si>
    <t>Charges d'amortissement</t>
  </si>
  <si>
    <t>Autres charges de fonctionnement</t>
  </si>
  <si>
    <t>PCS (montant 2021 avant déductions)</t>
  </si>
  <si>
    <t>Max. selon art. 4 DLPIC</t>
  </si>
  <si>
    <t>Participation totale</t>
  </si>
  <si>
    <t>Péréquation directe - Vue d'ensemble (hors dépenses thématiques)</t>
  </si>
  <si>
    <t>Décompte 2021 vs. Acomptes 2021</t>
  </si>
  <si>
    <t>Solde net actuel</t>
  </si>
  <si>
    <t>PCS</t>
  </si>
  <si>
    <t>Participation à la cohésion sociale (PCS)</t>
  </si>
  <si>
    <t>Valeur du point impôt</t>
  </si>
  <si>
    <t>Péréquation directe (hors DT)</t>
  </si>
  <si>
    <t>Plafond en points</t>
  </si>
  <si>
    <t>Effort total sans dépenses  thématiques</t>
  </si>
  <si>
    <t>Dépenses thématique</t>
  </si>
  <si>
    <t>Valeur du point d'impôt  communal</t>
  </si>
  <si>
    <t>Répartition par habitant de la facture policière</t>
  </si>
  <si>
    <t>Facture policière</t>
  </si>
  <si>
    <r>
      <t xml:space="preserve">Facturation aux communes délégatrices 
</t>
    </r>
    <r>
      <rPr>
        <i/>
        <sz val="9"/>
        <color theme="0"/>
        <rFont val="Calibri"/>
        <family val="2"/>
        <scheme val="minor"/>
      </rPr>
      <t>(au maximum l'équivalent de 2 points d'impôt communaux)</t>
    </r>
  </si>
  <si>
    <t>aide</t>
  </si>
  <si>
    <t>effort</t>
  </si>
  <si>
    <t>taux</t>
  </si>
  <si>
    <t>Plafonds</t>
  </si>
  <si>
    <t>Solde des péréquations</t>
  </si>
  <si>
    <t>Facturation du solde en points</t>
  </si>
  <si>
    <t>Communes avec police</t>
  </si>
  <si>
    <t>Total de la participation à la cohésion sociale (PCS)</t>
  </si>
  <si>
    <t>F a c t u r e   p o l i c i è r e</t>
  </si>
  <si>
    <t>T o t a l   p é r é q u a t i o n s   e t   p o l i c e</t>
  </si>
  <si>
    <t>Remarques/corrections</t>
  </si>
  <si>
    <t>Impôt sur le revenu PP</t>
  </si>
  <si>
    <t>Impôt sur la fortune PP</t>
  </si>
  <si>
    <t>Impôt personnel fixe</t>
  </si>
  <si>
    <t>Impôt sur le bénéfice PM</t>
  </si>
  <si>
    <t>Impôt sur le capital PM</t>
  </si>
  <si>
    <t>Impôt sur la dépense (anc. Spécial étranger)</t>
  </si>
  <si>
    <t>Impôt complémentaire sur immeubles PM</t>
  </si>
  <si>
    <t>Impôt foncier (non normalisé)</t>
  </si>
  <si>
    <t>Sous-total impôts</t>
  </si>
  <si>
    <r>
      <t>4411</t>
    </r>
    <r>
      <rPr>
        <sz val="10"/>
        <color indexed="9"/>
        <rFont val="Calibri"/>
        <family val="2"/>
        <scheme val="minor"/>
      </rPr>
      <t xml:space="preserve"> (a)</t>
    </r>
  </si>
  <si>
    <t>Impôt sur les frontaliers</t>
  </si>
  <si>
    <t>Impôt sur les successions et donations</t>
  </si>
  <si>
    <t>Impôt sur les gains immobiliers</t>
  </si>
  <si>
    <t>Participation et remboursement du canton</t>
  </si>
  <si>
    <t>Total des impôts</t>
  </si>
  <si>
    <t>3301/319</t>
  </si>
  <si>
    <t>Pertes sur débiteurs (défalcations/remises)</t>
  </si>
  <si>
    <t>Modifications de taxations antérieures</t>
  </si>
  <si>
    <t>La Syndique/Le Syndic</t>
  </si>
  <si>
    <t>La Secrétaire Municipale/Le Secrétaire Municipal</t>
  </si>
  <si>
    <t>Signatures</t>
  </si>
  <si>
    <t>Prénoms/noms</t>
  </si>
  <si>
    <t>Rendement impôts communaux pour le décompte péréquatif 2021</t>
  </si>
  <si>
    <t>Crans</t>
  </si>
  <si>
    <t>Taux d'imposition 2021</t>
  </si>
  <si>
    <t>Taux impôt foncier 2021 en 0/00</t>
  </si>
  <si>
    <t>Population au 31.12.2021 selon FAO</t>
  </si>
  <si>
    <t>Nous confirmons l'exactitude et la validité de ces montants. Ils correspondent aux chiffres que nous (commune) vous avons communiqué précédemment. Nous confirmons également l'exactitude des informations supplémentaires relatives aux taux d'imposition ainsi qu'à la population. Ces données seront utilisées pour le calcul du décompte final de la péréquation 2021.</t>
  </si>
  <si>
    <t xml:space="preserve">  I m p ô t s   c o m m u n a u x</t>
  </si>
  <si>
    <t xml:space="preserve">  A u t r e s   i n f o r m a t i o n s</t>
  </si>
  <si>
    <t>Investissements</t>
  </si>
  <si>
    <t>Charges de fonctionnment</t>
  </si>
  <si>
    <t>point d'impôt</t>
  </si>
  <si>
    <t>Effort plafonné
(sans RC)</t>
  </si>
  <si>
    <t xml:space="preserve">PCS (inférieur à zéro exclu)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</si>
</sst>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_-* #,##0.00\ _C_H_F_-;\-* #,##0.00\ _C_H_F_-;_-* &quot;-&quot;??\ _C_H_F_-;_-@_-"/>
    <numFmt numFmtId="165" formatCode="_ * #,##0.00_ ;_ * \-#,##0.00_ ;_ * &quot;-&quot;??_ ;_ @_ "/>
    <numFmt numFmtId="166" formatCode="#\ ###\ ###\ ##0"/>
    <numFmt numFmtId="167" formatCode="#,##0.0"/>
    <numFmt numFmtId="168" formatCode="0.0%"/>
    <numFmt numFmtId="169" formatCode="#\ ###\ ##0"/>
    <numFmt numFmtId="170" formatCode="0.000"/>
    <numFmt numFmtId="171" formatCode="#,##0.000"/>
    <numFmt numFmtId="172" formatCode="#,##0;\-#,##0;"/>
    <numFmt numFmtId="173" formatCode="#,##0.000000"/>
    <numFmt numFmtId="174" formatCode="0.0000"/>
    <numFmt numFmtId="175" formatCode="_-* #,##0_-;\-* #,##0_-;_-* &quot;-&quot;??_-;_-@_-"/>
    <numFmt numFmtId="176" formatCode="_ * #,##0_ ;_ * \-#,##0_ ;_ * &quot;-&quot;??_ ;_ @_ "/>
    <numFmt numFmtId="177" formatCode="_-* #,##0.0_-;\-* #,##0.0_-;_-* &quot;-&quot;??_-;_-@_-"/>
    <numFmt numFmtId="178" formatCode="_ * #,##0.000_ ;_ * \-#,##0.000_ ;_ * &quot;-&quot;??_ ;_ @_ "/>
    <numFmt numFmtId="179" formatCode="0_ ;\-0\ "/>
    <numFmt numFmtId="180" formatCode="#,##0.00000"/>
    <numFmt numFmtId="181" formatCode="#,##0.00000000"/>
    <numFmt numFmtId="182" formatCode="[$-F800]dddd\,\ mmmm\ dd\,\ yyyy"/>
    <numFmt numFmtId="183" formatCode="[$-100C]d\ mmm\ yy;@"/>
  </numFmts>
  <fonts count="77"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Arial Narrow"/>
      <family val="2"/>
    </font>
    <font>
      <sz val="10"/>
      <name val="Arial"/>
      <family val="2"/>
    </font>
    <font>
      <sz val="8"/>
      <name val="Verdana"/>
      <family val="2"/>
    </font>
    <font>
      <sz val="10"/>
      <color indexed="8"/>
      <name val="Arial"/>
      <family val="2"/>
    </font>
    <font>
      <sz val="10"/>
      <name val="Times New Roman"/>
      <family val="1"/>
    </font>
    <font>
      <sz val="14"/>
      <name val="Times New Roman"/>
      <family val="1"/>
    </font>
    <font>
      <sz val="10"/>
      <name val="MS Sans Serif"/>
      <family val="2"/>
    </font>
    <font>
      <sz val="11"/>
      <color theme="1"/>
      <name val="Calibri"/>
      <family val="2"/>
      <scheme val="minor"/>
    </font>
    <font>
      <sz val="11"/>
      <color theme="0"/>
      <name val="Calibri"/>
      <family val="2"/>
      <scheme val="minor"/>
    </font>
    <font>
      <sz val="11"/>
      <name val="Calibri"/>
      <family val="2"/>
      <scheme val="minor"/>
    </font>
    <font>
      <i/>
      <sz val="11"/>
      <name val="Calibri"/>
      <family val="2"/>
      <scheme val="minor"/>
    </font>
    <font>
      <sz val="16"/>
      <name val="Calibri"/>
      <family val="2"/>
      <scheme val="minor"/>
    </font>
    <font>
      <b/>
      <sz val="11"/>
      <name val="Calibri"/>
      <family val="2"/>
      <scheme val="minor"/>
    </font>
    <font>
      <sz val="11"/>
      <color indexed="10"/>
      <name val="Calibri"/>
      <family val="2"/>
      <scheme val="minor"/>
    </font>
    <font>
      <sz val="11"/>
      <color indexed="8"/>
      <name val="Calibri"/>
      <family val="2"/>
      <scheme val="minor"/>
    </font>
    <font>
      <sz val="24"/>
      <name val="Calibri"/>
      <family val="2"/>
      <scheme val="minor"/>
    </font>
    <font>
      <sz val="20"/>
      <name val="Calibri"/>
      <family val="2"/>
      <scheme val="minor"/>
    </font>
    <font>
      <sz val="20"/>
      <color theme="0"/>
      <name val="Calibri"/>
      <family val="2"/>
      <scheme val="minor"/>
    </font>
    <font>
      <sz val="10"/>
      <name val="Arial"/>
      <family val="2"/>
    </font>
    <font>
      <sz val="10"/>
      <name val="Calibri"/>
      <family val="2"/>
      <scheme val="minor"/>
    </font>
    <font>
      <sz val="12"/>
      <color theme="0"/>
      <name val="Trebuchet MS"/>
      <family val="2"/>
    </font>
    <font>
      <b/>
      <sz val="10"/>
      <name val="Calibri"/>
      <family val="2"/>
      <scheme val="minor"/>
    </font>
    <font>
      <sz val="14"/>
      <name val="Trebuchet MS"/>
      <family val="2"/>
    </font>
    <font>
      <sz val="11"/>
      <color theme="0"/>
      <name val="Calibri"/>
      <family val="2"/>
    </font>
    <font>
      <sz val="11"/>
      <name val="Calibri"/>
      <family val="2"/>
    </font>
    <font>
      <sz val="8"/>
      <name val="Helvetica"/>
    </font>
    <font>
      <sz val="10"/>
      <name val="Arial"/>
      <family val="2"/>
    </font>
    <font>
      <sz val="10"/>
      <color indexed="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9"/>
      <color indexed="81"/>
      <name val="Tahoma"/>
      <family val="2"/>
    </font>
    <font>
      <sz val="8"/>
      <name val="Calibri"/>
      <family val="2"/>
      <scheme val="minor"/>
    </font>
    <font>
      <sz val="9"/>
      <name val="Calibri"/>
      <family val="2"/>
      <scheme val="minor"/>
    </font>
    <font>
      <b/>
      <sz val="16"/>
      <name val="Calibri"/>
      <family val="2"/>
      <scheme val="minor"/>
    </font>
    <font>
      <i/>
      <sz val="9"/>
      <color theme="0"/>
      <name val="Calibri"/>
      <family val="2"/>
      <scheme val="minor"/>
    </font>
    <font>
      <b/>
      <sz val="11"/>
      <color theme="0"/>
      <name val="Calibri"/>
      <family val="2"/>
      <scheme val="minor"/>
    </font>
    <font>
      <sz val="18"/>
      <name val="Calibri"/>
      <family val="2"/>
      <scheme val="minor"/>
    </font>
    <font>
      <sz val="10"/>
      <color indexed="8"/>
      <name val="Calibri"/>
      <family val="2"/>
      <scheme val="minor"/>
    </font>
    <font>
      <b/>
      <sz val="10"/>
      <color indexed="8"/>
      <name val="Calibri"/>
      <family val="2"/>
      <scheme val="minor"/>
    </font>
    <font>
      <sz val="10"/>
      <color theme="0"/>
      <name val="Calibri"/>
      <family val="2"/>
      <scheme val="minor"/>
    </font>
    <font>
      <sz val="10"/>
      <color indexed="9"/>
      <name val="Calibri"/>
      <family val="2"/>
      <scheme val="minor"/>
    </font>
    <font>
      <i/>
      <sz val="8"/>
      <name val="Calibri"/>
      <family val="2"/>
      <scheme val="minor"/>
    </font>
    <font>
      <b/>
      <sz val="18"/>
      <name val="Calibri"/>
      <family val="2"/>
      <scheme val="minor"/>
    </font>
  </fonts>
  <fills count="3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002060"/>
        <bgColor indexed="64"/>
      </patternFill>
    </fill>
    <fill>
      <patternFill patternType="solid">
        <fgColor theme="5"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
      <patternFill patternType="solid">
        <fgColor theme="6" tint="0.59999389629810485"/>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theme="6" tint="0.39997558519241921"/>
        <bgColor indexed="64"/>
      </patternFill>
    </fill>
  </fills>
  <borders count="34">
    <border>
      <left/>
      <right/>
      <top/>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indexed="8"/>
      </top>
      <bottom/>
      <diagonal/>
    </border>
    <border>
      <left style="hair">
        <color indexed="8"/>
      </left>
      <right style="hair">
        <color indexed="8"/>
      </right>
      <top style="hair">
        <color indexed="8"/>
      </top>
      <bottom style="hair">
        <color indexed="8"/>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thin">
        <color theme="0"/>
      </left>
      <right style="thin">
        <color theme="0"/>
      </right>
      <top/>
      <bottom style="thin">
        <color indexed="64"/>
      </bottom>
      <diagonal/>
    </border>
    <border>
      <left/>
      <right style="thin">
        <color theme="0"/>
      </right>
      <top/>
      <bottom style="thin">
        <color indexed="64"/>
      </bottom>
      <diagonal/>
    </border>
    <border>
      <left/>
      <right/>
      <top/>
      <bottom style="hair">
        <color indexed="64"/>
      </bottom>
      <diagonal/>
    </border>
  </borders>
  <cellStyleXfs count="669">
    <xf numFmtId="0" fontId="0" fillId="0" borderId="0"/>
    <xf numFmtId="0" fontId="23" fillId="0" borderId="1"/>
    <xf numFmtId="0" fontId="24" fillId="0" borderId="0"/>
    <xf numFmtId="0" fontId="23" fillId="0" borderId="2">
      <alignment vertical="top"/>
    </xf>
    <xf numFmtId="43" fontId="18" fillId="0" borderId="0" applyFont="0" applyFill="0" applyBorder="0" applyAlignment="0" applyProtection="0"/>
    <xf numFmtId="165" fontId="20" fillId="0" borderId="0" applyFont="0" applyFill="0" applyBorder="0" applyAlignment="0" applyProtection="0"/>
    <xf numFmtId="165" fontId="26" fillId="0" borderId="0" applyFont="0" applyFill="0" applyBorder="0" applyAlignment="0" applyProtection="0"/>
    <xf numFmtId="0" fontId="25" fillId="0" borderId="0"/>
    <xf numFmtId="0" fontId="22" fillId="0" borderId="0"/>
    <xf numFmtId="0" fontId="20" fillId="0" borderId="0"/>
    <xf numFmtId="0" fontId="26" fillId="0" borderId="0"/>
    <xf numFmtId="0" fontId="19" fillId="0" borderId="0"/>
    <xf numFmtId="9" fontId="18" fillId="0" borderId="0" applyFont="0" applyFill="0" applyBorder="0" applyAlignment="0" applyProtection="0"/>
    <xf numFmtId="9" fontId="20" fillId="0" borderId="0" applyFont="0" applyFill="0" applyBorder="0" applyAlignment="0" applyProtection="0"/>
    <xf numFmtId="165" fontId="37" fillId="0" borderId="0" applyFont="0" applyFill="0" applyBorder="0" applyAlignment="0" applyProtection="0"/>
    <xf numFmtId="0" fontId="37" fillId="0" borderId="0"/>
    <xf numFmtId="165" fontId="15" fillId="0" borderId="0" applyFont="0" applyFill="0" applyBorder="0" applyAlignment="0" applyProtection="0"/>
    <xf numFmtId="0" fontId="15" fillId="0" borderId="0"/>
    <xf numFmtId="0" fontId="18"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0" fontId="14" fillId="0" borderId="0"/>
    <xf numFmtId="0" fontId="14" fillId="0" borderId="0"/>
    <xf numFmtId="0" fontId="20"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20" fillId="0" borderId="0"/>
    <xf numFmtId="0" fontId="20"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8" fillId="0" borderId="0"/>
    <xf numFmtId="165" fontId="8"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6" fillId="0" borderId="0"/>
    <xf numFmtId="9" fontId="6"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0"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44" fillId="0" borderId="5" applyBorder="0">
      <alignment horizontal="center" textRotation="90"/>
    </xf>
    <xf numFmtId="0" fontId="45" fillId="0" borderId="0"/>
    <xf numFmtId="0" fontId="2" fillId="0" borderId="0"/>
    <xf numFmtId="9"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165" fontId="2" fillId="0" borderId="0" applyFont="0" applyFill="0" applyBorder="0" applyAlignment="0" applyProtection="0"/>
    <xf numFmtId="0" fontId="2" fillId="0" borderId="0"/>
    <xf numFmtId="9" fontId="18"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18"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0" fillId="0" borderId="0"/>
    <xf numFmtId="0" fontId="46" fillId="0" borderId="0">
      <alignment vertical="top"/>
    </xf>
    <xf numFmtId="0" fontId="47"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14" borderId="0" applyNumberFormat="0" applyBorder="0" applyAlignment="0" applyProtection="0"/>
    <xf numFmtId="0" fontId="47" fillId="17" borderId="0" applyNumberFormat="0" applyBorder="0" applyAlignment="0" applyProtection="0"/>
    <xf numFmtId="0" fontId="47" fillId="20" borderId="0" applyNumberFormat="0" applyBorder="0" applyAlignment="0" applyProtection="0"/>
    <xf numFmtId="0" fontId="48" fillId="21"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9" fillId="0" borderId="0" applyNumberFormat="0" applyFill="0" applyBorder="0" applyAlignment="0" applyProtection="0"/>
    <xf numFmtId="0" fontId="50" fillId="29" borderId="18" applyNumberFormat="0" applyAlignment="0" applyProtection="0"/>
    <xf numFmtId="0" fontId="51" fillId="0" borderId="19" applyNumberFormat="0" applyFill="0" applyAlignment="0" applyProtection="0"/>
    <xf numFmtId="0" fontId="52" fillId="16" borderId="18" applyNumberFormat="0" applyAlignment="0" applyProtection="0"/>
    <xf numFmtId="0" fontId="53" fillId="12" borderId="0" applyNumberFormat="0" applyBorder="0" applyAlignment="0" applyProtection="0"/>
    <xf numFmtId="165" fontId="22" fillId="0" borderId="0" applyFont="0" applyFill="0" applyBorder="0" applyAlignment="0" applyProtection="0">
      <alignment vertical="top"/>
    </xf>
    <xf numFmtId="0" fontId="54" fillId="30" borderId="0" applyNumberFormat="0" applyBorder="0" applyAlignment="0" applyProtection="0"/>
    <xf numFmtId="0" fontId="25" fillId="0" borderId="0"/>
    <xf numFmtId="0" fontId="55" fillId="13" borderId="0" applyNumberFormat="0" applyBorder="0" applyAlignment="0" applyProtection="0"/>
    <xf numFmtId="0" fontId="56" fillId="29" borderId="20" applyNumberFormat="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21" applyNumberFormat="0" applyFill="0" applyAlignment="0" applyProtection="0"/>
    <xf numFmtId="0" fontId="60" fillId="0" borderId="22" applyNumberFormat="0" applyFill="0" applyAlignment="0" applyProtection="0"/>
    <xf numFmtId="0" fontId="61" fillId="0" borderId="23" applyNumberFormat="0" applyFill="0" applyAlignment="0" applyProtection="0"/>
    <xf numFmtId="0" fontId="61" fillId="0" borderId="0" applyNumberFormat="0" applyFill="0" applyBorder="0" applyAlignment="0" applyProtection="0"/>
    <xf numFmtId="0" fontId="62" fillId="0" borderId="24" applyNumberFormat="0" applyFill="0" applyAlignment="0" applyProtection="0"/>
    <xf numFmtId="0" fontId="63" fillId="31" borderId="25" applyNumberFormat="0" applyAlignment="0" applyProtection="0"/>
    <xf numFmtId="0" fontId="2" fillId="0" borderId="0"/>
    <xf numFmtId="165" fontId="2" fillId="0" borderId="0" applyFont="0" applyFill="0" applyBorder="0" applyAlignment="0" applyProtection="0"/>
    <xf numFmtId="0" fontId="23" fillId="0" borderId="26"/>
    <xf numFmtId="0" fontId="23" fillId="0" borderId="27">
      <alignment vertical="top"/>
    </xf>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22" fillId="0" borderId="0">
      <alignment vertical="top"/>
    </xf>
  </cellStyleXfs>
  <cellXfs count="644">
    <xf numFmtId="0" fontId="0" fillId="0" borderId="0" xfId="0"/>
    <xf numFmtId="175" fontId="28" fillId="0" borderId="0" xfId="4" applyNumberFormat="1" applyFont="1" applyFill="1" applyBorder="1"/>
    <xf numFmtId="175" fontId="28" fillId="3" borderId="5" xfId="4" applyNumberFormat="1" applyFont="1" applyFill="1" applyBorder="1"/>
    <xf numFmtId="0" fontId="28" fillId="4" borderId="0" xfId="0" applyNumberFormat="1" applyFont="1" applyFill="1" applyAlignment="1">
      <alignment horizontal="left"/>
    </xf>
    <xf numFmtId="0" fontId="28" fillId="4" borderId="0" xfId="0" applyNumberFormat="1" applyFont="1" applyFill="1" applyAlignment="1">
      <alignment horizontal="center"/>
    </xf>
    <xf numFmtId="175" fontId="28" fillId="4" borderId="0" xfId="4" applyNumberFormat="1" applyFont="1" applyFill="1" applyAlignment="1">
      <alignment horizontal="center"/>
    </xf>
    <xf numFmtId="175" fontId="28" fillId="4" borderId="0" xfId="4" applyNumberFormat="1" applyFont="1" applyFill="1"/>
    <xf numFmtId="0" fontId="28" fillId="4" borderId="14" xfId="0" applyNumberFormat="1" applyFont="1" applyFill="1" applyBorder="1" applyAlignment="1">
      <alignment horizontal="center"/>
    </xf>
    <xf numFmtId="0" fontId="28" fillId="4" borderId="5" xfId="0" applyNumberFormat="1" applyFont="1" applyFill="1" applyBorder="1" applyAlignment="1">
      <alignment horizontal="center"/>
    </xf>
    <xf numFmtId="3" fontId="28" fillId="4" borderId="9" xfId="0" applyNumberFormat="1" applyFont="1" applyFill="1" applyBorder="1"/>
    <xf numFmtId="175" fontId="28" fillId="4" borderId="5" xfId="4" applyNumberFormat="1" applyFont="1" applyFill="1" applyBorder="1"/>
    <xf numFmtId="175" fontId="28" fillId="4" borderId="14" xfId="4" applyNumberFormat="1" applyFont="1" applyFill="1" applyBorder="1"/>
    <xf numFmtId="3" fontId="28" fillId="4" borderId="0" xfId="0" applyNumberFormat="1" applyFont="1" applyFill="1"/>
    <xf numFmtId="0" fontId="28" fillId="4" borderId="0" xfId="0" applyFont="1" applyFill="1"/>
    <xf numFmtId="175" fontId="28" fillId="4" borderId="0" xfId="4" applyNumberFormat="1" applyFont="1" applyFill="1" applyBorder="1"/>
    <xf numFmtId="43" fontId="28" fillId="4" borderId="0" xfId="4" applyFont="1" applyFill="1"/>
    <xf numFmtId="0" fontId="28" fillId="4" borderId="0" xfId="0" applyFont="1" applyFill="1" applyAlignment="1">
      <alignment vertical="top" wrapText="1"/>
    </xf>
    <xf numFmtId="43" fontId="28" fillId="4" borderId="0" xfId="0" applyNumberFormat="1" applyFont="1" applyFill="1"/>
    <xf numFmtId="175" fontId="28" fillId="4" borderId="3" xfId="4" applyNumberFormat="1" applyFont="1" applyFill="1" applyBorder="1"/>
    <xf numFmtId="43" fontId="28" fillId="4" borderId="14" xfId="4" applyFont="1" applyFill="1" applyBorder="1"/>
    <xf numFmtId="175" fontId="27" fillId="6" borderId="14" xfId="4" applyNumberFormat="1" applyFont="1" applyFill="1" applyBorder="1" applyAlignment="1">
      <alignment horizontal="center"/>
    </xf>
    <xf numFmtId="166" fontId="27" fillId="6" borderId="14" xfId="0" applyNumberFormat="1" applyFont="1" applyFill="1" applyBorder="1" applyAlignment="1">
      <alignment horizontal="center"/>
    </xf>
    <xf numFmtId="0" fontId="28" fillId="4" borderId="0" xfId="0" applyFont="1" applyFill="1" applyAlignment="1">
      <alignment horizontal="center"/>
    </xf>
    <xf numFmtId="14" fontId="27" fillId="6" borderId="14" xfId="0" applyNumberFormat="1" applyFont="1" applyFill="1" applyBorder="1" applyAlignment="1">
      <alignment horizontal="center"/>
    </xf>
    <xf numFmtId="166" fontId="28" fillId="4" borderId="17" xfId="0" applyNumberFormat="1" applyFont="1" applyFill="1" applyBorder="1" applyAlignment="1">
      <alignment horizontal="center"/>
    </xf>
    <xf numFmtId="0" fontId="30" fillId="4" borderId="0" xfId="0" applyNumberFormat="1" applyFont="1" applyFill="1" applyAlignment="1">
      <alignment horizontal="left"/>
    </xf>
    <xf numFmtId="0" fontId="30" fillId="4" borderId="0" xfId="0" applyNumberFormat="1" applyFont="1" applyFill="1" applyAlignment="1">
      <alignment horizontal="center"/>
    </xf>
    <xf numFmtId="0" fontId="29" fillId="4" borderId="0" xfId="0" applyFont="1" applyFill="1"/>
    <xf numFmtId="4" fontId="28" fillId="4" borderId="0" xfId="0" applyNumberFormat="1" applyFont="1" applyFill="1"/>
    <xf numFmtId="166" fontId="28" fillId="4" borderId="0" xfId="0" applyNumberFormat="1" applyFont="1" applyFill="1" applyAlignment="1">
      <alignment horizontal="left"/>
    </xf>
    <xf numFmtId="0" fontId="28" fillId="4" borderId="14" xfId="0" applyFont="1" applyFill="1" applyBorder="1"/>
    <xf numFmtId="175" fontId="28" fillId="4" borderId="11" xfId="4" applyNumberFormat="1" applyFont="1" applyFill="1" applyBorder="1"/>
    <xf numFmtId="3" fontId="28" fillId="4" borderId="5" xfId="0" applyNumberFormat="1" applyFont="1" applyFill="1" applyBorder="1"/>
    <xf numFmtId="43" fontId="28" fillId="4" borderId="5" xfId="4" applyFont="1" applyFill="1" applyBorder="1"/>
    <xf numFmtId="2" fontId="28" fillId="4" borderId="5" xfId="0" applyNumberFormat="1" applyFont="1" applyFill="1" applyBorder="1"/>
    <xf numFmtId="2" fontId="28" fillId="4" borderId="14" xfId="0" applyNumberFormat="1" applyFont="1" applyFill="1" applyBorder="1"/>
    <xf numFmtId="175" fontId="28" fillId="4" borderId="0" xfId="0" applyNumberFormat="1" applyFont="1" applyFill="1"/>
    <xf numFmtId="175" fontId="28" fillId="5" borderId="14" xfId="4" applyNumberFormat="1" applyFont="1" applyFill="1" applyBorder="1"/>
    <xf numFmtId="175" fontId="28" fillId="3" borderId="14" xfId="4" applyNumberFormat="1" applyFont="1" applyFill="1" applyBorder="1"/>
    <xf numFmtId="3" fontId="27" fillId="6" borderId="14" xfId="0" applyNumberFormat="1" applyFont="1" applyFill="1" applyBorder="1" applyAlignment="1">
      <alignment horizontal="center"/>
    </xf>
    <xf numFmtId="0" fontId="27" fillId="6" borderId="14" xfId="0" applyNumberFormat="1" applyFont="1" applyFill="1" applyBorder="1" applyAlignment="1">
      <alignment horizontal="center"/>
    </xf>
    <xf numFmtId="175" fontId="28" fillId="4" borderId="9" xfId="4" applyNumberFormat="1" applyFont="1" applyFill="1" applyBorder="1"/>
    <xf numFmtId="3" fontId="28" fillId="4" borderId="0" xfId="11" applyNumberFormat="1" applyFont="1" applyFill="1" applyAlignment="1">
      <alignment vertical="center"/>
    </xf>
    <xf numFmtId="0" fontId="28" fillId="4" borderId="0" xfId="11" applyFont="1" applyFill="1" applyAlignment="1">
      <alignment vertical="center"/>
    </xf>
    <xf numFmtId="175" fontId="28" fillId="4" borderId="0" xfId="4" applyNumberFormat="1" applyFont="1" applyFill="1" applyAlignment="1">
      <alignment vertical="center"/>
    </xf>
    <xf numFmtId="0" fontId="28" fillId="4" borderId="0" xfId="0" applyFont="1" applyFill="1" applyBorder="1"/>
    <xf numFmtId="0" fontId="28" fillId="4" borderId="4" xfId="0" applyFont="1" applyFill="1" applyBorder="1" applyAlignment="1">
      <alignment horizontal="center"/>
    </xf>
    <xf numFmtId="167" fontId="28" fillId="4" borderId="0" xfId="0" applyNumberFormat="1" applyFont="1" applyFill="1"/>
    <xf numFmtId="0" fontId="28" fillId="4" borderId="0" xfId="0" quotePrefix="1" applyFont="1" applyFill="1"/>
    <xf numFmtId="0" fontId="28" fillId="4" borderId="5" xfId="0" applyFont="1" applyFill="1" applyBorder="1" applyAlignment="1">
      <alignment horizontal="center"/>
    </xf>
    <xf numFmtId="0" fontId="28" fillId="4" borderId="3" xfId="0" applyFont="1" applyFill="1" applyBorder="1" applyAlignment="1">
      <alignment horizontal="center"/>
    </xf>
    <xf numFmtId="1" fontId="30" fillId="4" borderId="0" xfId="11" applyNumberFormat="1" applyFont="1" applyFill="1" applyAlignment="1">
      <alignment horizontal="left" vertical="center"/>
    </xf>
    <xf numFmtId="4" fontId="28" fillId="4" borderId="0" xfId="11" applyNumberFormat="1" applyFont="1" applyFill="1" applyAlignment="1">
      <alignment vertical="center"/>
    </xf>
    <xf numFmtId="0" fontId="29" fillId="4" borderId="0" xfId="11" applyFont="1" applyFill="1"/>
    <xf numFmtId="175" fontId="28" fillId="4" borderId="4" xfId="4" applyNumberFormat="1" applyFont="1" applyFill="1" applyBorder="1"/>
    <xf numFmtId="175" fontId="28" fillId="5" borderId="5" xfId="4" applyNumberFormat="1" applyFont="1" applyFill="1" applyBorder="1"/>
    <xf numFmtId="0" fontId="28" fillId="4" borderId="0" xfId="11" applyFont="1" applyFill="1" applyBorder="1" applyAlignment="1">
      <alignment vertical="center"/>
    </xf>
    <xf numFmtId="10" fontId="28" fillId="4" borderId="0" xfId="12" applyNumberFormat="1" applyFont="1" applyFill="1" applyAlignment="1">
      <alignment vertical="center"/>
    </xf>
    <xf numFmtId="10" fontId="28" fillId="4" borderId="0" xfId="12" applyNumberFormat="1" applyFont="1" applyFill="1"/>
    <xf numFmtId="4" fontId="28" fillId="4" borderId="14" xfId="0" applyNumberFormat="1" applyFont="1" applyFill="1" applyBorder="1"/>
    <xf numFmtId="10" fontId="28" fillId="4" borderId="14" xfId="12" applyNumberFormat="1" applyFont="1" applyFill="1" applyBorder="1"/>
    <xf numFmtId="0" fontId="27" fillId="6" borderId="4" xfId="0" applyFont="1" applyFill="1" applyBorder="1" applyAlignment="1">
      <alignment horizontal="center" vertical="center" wrapText="1"/>
    </xf>
    <xf numFmtId="4" fontId="28" fillId="4" borderId="11" xfId="0" applyNumberFormat="1" applyFont="1" applyFill="1" applyBorder="1"/>
    <xf numFmtId="9" fontId="27" fillId="6" borderId="14" xfId="12" applyNumberFormat="1" applyFont="1" applyFill="1" applyBorder="1" applyAlignment="1">
      <alignment horizontal="center" vertical="center" wrapText="1"/>
    </xf>
    <xf numFmtId="0" fontId="27" fillId="6" borderId="14" xfId="0" applyFont="1" applyFill="1" applyBorder="1" applyAlignment="1">
      <alignment horizontal="center" vertical="center" wrapText="1"/>
    </xf>
    <xf numFmtId="9" fontId="27" fillId="6" borderId="14" xfId="12" applyNumberFormat="1" applyFont="1" applyFill="1" applyBorder="1" applyAlignment="1">
      <alignment horizontal="center" vertical="center"/>
    </xf>
    <xf numFmtId="43" fontId="27" fillId="6" borderId="14" xfId="4" applyFont="1" applyFill="1" applyBorder="1" applyAlignment="1">
      <alignment vertical="center" wrapText="1"/>
    </xf>
    <xf numFmtId="4" fontId="28" fillId="4" borderId="12" xfId="0" applyNumberFormat="1" applyFont="1" applyFill="1" applyBorder="1"/>
    <xf numFmtId="169" fontId="28" fillId="4" borderId="0" xfId="11" applyNumberFormat="1" applyFont="1" applyFill="1" applyAlignment="1">
      <alignment vertical="center"/>
    </xf>
    <xf numFmtId="175" fontId="28" fillId="4" borderId="15" xfId="4" applyNumberFormat="1" applyFont="1" applyFill="1" applyBorder="1"/>
    <xf numFmtId="175" fontId="28" fillId="4" borderId="16" xfId="4" applyNumberFormat="1" applyFont="1" applyFill="1" applyBorder="1"/>
    <xf numFmtId="170" fontId="28" fillId="4" borderId="0" xfId="0" applyNumberFormat="1" applyFont="1" applyFill="1"/>
    <xf numFmtId="0" fontId="28" fillId="4" borderId="0" xfId="0" applyFont="1" applyFill="1" applyAlignment="1">
      <alignment vertical="top"/>
    </xf>
    <xf numFmtId="3" fontId="28" fillId="4" borderId="0" xfId="0" applyNumberFormat="1" applyFont="1" applyFill="1" applyAlignment="1">
      <alignment vertical="top"/>
    </xf>
    <xf numFmtId="3" fontId="28" fillId="4" borderId="0" xfId="0" applyNumberFormat="1" applyFont="1" applyFill="1" applyBorder="1" applyAlignment="1">
      <alignment vertical="top" wrapText="1"/>
    </xf>
    <xf numFmtId="0" fontId="28" fillId="4" borderId="17" xfId="0" applyFont="1" applyFill="1" applyBorder="1"/>
    <xf numFmtId="0" fontId="28" fillId="4" borderId="6" xfId="0" applyFont="1" applyFill="1" applyBorder="1"/>
    <xf numFmtId="0" fontId="28" fillId="4" borderId="7" xfId="0" applyFont="1" applyFill="1" applyBorder="1"/>
    <xf numFmtId="0" fontId="28" fillId="4" borderId="14" xfId="0" applyFont="1" applyFill="1" applyBorder="1" applyAlignment="1">
      <alignment horizontal="center"/>
    </xf>
    <xf numFmtId="0" fontId="28" fillId="4" borderId="8" xfId="0" applyFont="1" applyFill="1" applyBorder="1"/>
    <xf numFmtId="0" fontId="28" fillId="4" borderId="12" xfId="0" applyFont="1" applyFill="1" applyBorder="1"/>
    <xf numFmtId="0" fontId="28" fillId="4" borderId="9" xfId="0" applyFont="1" applyFill="1" applyBorder="1"/>
    <xf numFmtId="0" fontId="28" fillId="4" borderId="11" xfId="0" applyFont="1" applyFill="1" applyBorder="1"/>
    <xf numFmtId="0" fontId="28" fillId="4" borderId="10" xfId="0" applyFont="1" applyFill="1" applyBorder="1"/>
    <xf numFmtId="0" fontId="28" fillId="4" borderId="13" xfId="0" applyFont="1" applyFill="1" applyBorder="1"/>
    <xf numFmtId="173" fontId="28" fillId="4" borderId="0" xfId="0" applyNumberFormat="1" applyFont="1" applyFill="1" applyAlignment="1">
      <alignment vertical="top"/>
    </xf>
    <xf numFmtId="175" fontId="28" fillId="4" borderId="12" xfId="4" applyNumberFormat="1" applyFont="1" applyFill="1" applyBorder="1"/>
    <xf numFmtId="43" fontId="28" fillId="4" borderId="4" xfId="4" applyFont="1" applyFill="1" applyBorder="1"/>
    <xf numFmtId="43" fontId="28" fillId="4" borderId="3" xfId="4" applyFont="1" applyFill="1" applyBorder="1"/>
    <xf numFmtId="3" fontId="28" fillId="4" borderId="8" xfId="0" applyNumberFormat="1" applyFont="1" applyFill="1" applyBorder="1"/>
    <xf numFmtId="3" fontId="28" fillId="4" borderId="10" xfId="0" applyNumberFormat="1" applyFont="1" applyFill="1" applyBorder="1"/>
    <xf numFmtId="3" fontId="28" fillId="4" borderId="17" xfId="0" applyNumberFormat="1" applyFont="1" applyFill="1" applyBorder="1"/>
    <xf numFmtId="3" fontId="28" fillId="4" borderId="13" xfId="0" applyNumberFormat="1" applyFont="1" applyFill="1" applyBorder="1" applyAlignment="1">
      <alignment horizontal="center" vertical="top" wrapText="1"/>
    </xf>
    <xf numFmtId="169" fontId="28" fillId="4" borderId="0" xfId="0" applyNumberFormat="1" applyFont="1" applyFill="1"/>
    <xf numFmtId="3" fontId="28" fillId="4" borderId="4" xfId="12" applyNumberFormat="1" applyFont="1" applyFill="1" applyBorder="1"/>
    <xf numFmtId="3" fontId="28" fillId="4" borderId="5" xfId="12" applyNumberFormat="1" applyFont="1" applyFill="1" applyBorder="1"/>
    <xf numFmtId="3" fontId="28" fillId="4" borderId="3" xfId="12" applyNumberFormat="1" applyFont="1" applyFill="1" applyBorder="1"/>
    <xf numFmtId="3" fontId="28" fillId="4" borderId="14" xfId="12" applyNumberFormat="1" applyFont="1" applyFill="1" applyBorder="1"/>
    <xf numFmtId="43" fontId="28" fillId="4" borderId="14" xfId="4" applyNumberFormat="1" applyFont="1" applyFill="1" applyBorder="1"/>
    <xf numFmtId="175" fontId="28" fillId="8" borderId="14" xfId="4" applyNumberFormat="1" applyFont="1" applyFill="1" applyBorder="1"/>
    <xf numFmtId="175" fontId="28" fillId="5" borderId="4" xfId="4" applyNumberFormat="1" applyFont="1" applyFill="1" applyBorder="1"/>
    <xf numFmtId="175" fontId="28" fillId="5" borderId="3" xfId="4" applyNumberFormat="1" applyFont="1" applyFill="1" applyBorder="1"/>
    <xf numFmtId="3" fontId="27" fillId="6" borderId="4" xfId="0" applyNumberFormat="1" applyFont="1" applyFill="1" applyBorder="1"/>
    <xf numFmtId="0" fontId="27" fillId="6" borderId="0" xfId="0" applyFont="1" applyFill="1"/>
    <xf numFmtId="0" fontId="28" fillId="4" borderId="8" xfId="0" applyFont="1" applyFill="1" applyBorder="1" applyAlignment="1">
      <alignment horizontal="center"/>
    </xf>
    <xf numFmtId="0" fontId="27" fillId="6" borderId="3" xfId="0" applyFont="1" applyFill="1" applyBorder="1" applyAlignment="1">
      <alignment horizontal="center"/>
    </xf>
    <xf numFmtId="175" fontId="28" fillId="4" borderId="13" xfId="4" applyNumberFormat="1" applyFont="1" applyFill="1" applyBorder="1"/>
    <xf numFmtId="2" fontId="28" fillId="4" borderId="0" xfId="0" applyNumberFormat="1" applyFont="1" applyFill="1"/>
    <xf numFmtId="4" fontId="28" fillId="4" borderId="14" xfId="12" applyNumberFormat="1" applyFont="1" applyFill="1" applyBorder="1"/>
    <xf numFmtId="4" fontId="28" fillId="4" borderId="0" xfId="12" applyNumberFormat="1" applyFont="1" applyFill="1" applyBorder="1"/>
    <xf numFmtId="0" fontId="28" fillId="4" borderId="16" xfId="0" applyFont="1" applyFill="1" applyBorder="1"/>
    <xf numFmtId="0" fontId="27" fillId="6" borderId="4" xfId="0" applyFont="1" applyFill="1" applyBorder="1" applyAlignment="1">
      <alignment horizontal="center" vertical="top" wrapText="1"/>
    </xf>
    <xf numFmtId="175" fontId="28" fillId="5" borderId="11" xfId="4" applyNumberFormat="1" applyFont="1" applyFill="1" applyBorder="1"/>
    <xf numFmtId="3" fontId="28" fillId="4" borderId="17" xfId="12" applyNumberFormat="1" applyFont="1" applyFill="1" applyBorder="1"/>
    <xf numFmtId="171" fontId="28" fillId="4" borderId="0" xfId="0" applyNumberFormat="1" applyFont="1" applyFill="1"/>
    <xf numFmtId="2" fontId="27" fillId="6" borderId="3" xfId="0" applyNumberFormat="1" applyFont="1" applyFill="1" applyBorder="1" applyAlignment="1">
      <alignment horizontal="center" vertical="top" wrapText="1"/>
    </xf>
    <xf numFmtId="3" fontId="28" fillId="4" borderId="7" xfId="12" applyNumberFormat="1" applyFont="1" applyFill="1" applyBorder="1"/>
    <xf numFmtId="166" fontId="28" fillId="4" borderId="14" xfId="0" applyNumberFormat="1" applyFont="1" applyFill="1" applyBorder="1" applyAlignment="1">
      <alignment horizontal="center"/>
    </xf>
    <xf numFmtId="175" fontId="28" fillId="4" borderId="7" xfId="4" applyNumberFormat="1" applyFont="1" applyFill="1" applyBorder="1"/>
    <xf numFmtId="0" fontId="27" fillId="6" borderId="17" xfId="0" applyFont="1" applyFill="1" applyBorder="1"/>
    <xf numFmtId="0" fontId="27" fillId="6" borderId="6" xfId="0" applyFont="1" applyFill="1" applyBorder="1"/>
    <xf numFmtId="0" fontId="27" fillId="6" borderId="14" xfId="0" applyFont="1" applyFill="1" applyBorder="1" applyAlignment="1">
      <alignment horizontal="center"/>
    </xf>
    <xf numFmtId="167" fontId="28" fillId="4" borderId="4" xfId="0" applyNumberFormat="1" applyFont="1" applyFill="1" applyBorder="1"/>
    <xf numFmtId="0" fontId="17" fillId="4" borderId="0" xfId="0" applyFont="1" applyFill="1" applyBorder="1" applyAlignment="1">
      <alignment horizontal="left"/>
    </xf>
    <xf numFmtId="167" fontId="28" fillId="4" borderId="5" xfId="0" applyNumberFormat="1" applyFont="1" applyFill="1" applyBorder="1"/>
    <xf numFmtId="0" fontId="17" fillId="4" borderId="0" xfId="0" applyFont="1" applyFill="1" applyAlignment="1">
      <alignment horizontal="left"/>
    </xf>
    <xf numFmtId="167" fontId="28" fillId="4" borderId="3" xfId="0" applyNumberFormat="1" applyFont="1" applyFill="1" applyBorder="1"/>
    <xf numFmtId="175" fontId="28" fillId="3" borderId="4" xfId="4" applyNumberFormat="1" applyFont="1" applyFill="1" applyBorder="1"/>
    <xf numFmtId="175" fontId="28" fillId="5" borderId="15" xfId="4" applyNumberFormat="1" applyFont="1" applyFill="1" applyBorder="1"/>
    <xf numFmtId="175" fontId="28" fillId="5" borderId="0" xfId="4" applyNumberFormat="1" applyFont="1" applyFill="1" applyBorder="1"/>
    <xf numFmtId="175" fontId="28" fillId="3" borderId="3" xfId="4" applyNumberFormat="1" applyFont="1" applyFill="1" applyBorder="1"/>
    <xf numFmtId="175" fontId="28" fillId="5" borderId="16" xfId="4" applyNumberFormat="1" applyFont="1" applyFill="1" applyBorder="1"/>
    <xf numFmtId="43" fontId="28" fillId="4" borderId="0" xfId="4" applyFont="1" applyFill="1" applyBorder="1" applyAlignment="1">
      <alignment vertical="center"/>
    </xf>
    <xf numFmtId="43" fontId="28" fillId="4" borderId="0" xfId="4" applyFont="1" applyFill="1" applyAlignment="1">
      <alignment vertical="center"/>
    </xf>
    <xf numFmtId="4" fontId="28" fillId="4" borderId="4" xfId="12" applyNumberFormat="1" applyFont="1" applyFill="1" applyBorder="1"/>
    <xf numFmtId="4" fontId="28" fillId="4" borderId="5" xfId="12" applyNumberFormat="1" applyFont="1" applyFill="1" applyBorder="1"/>
    <xf numFmtId="0" fontId="28" fillId="4" borderId="0" xfId="0" applyFont="1" applyFill="1" applyBorder="1" applyAlignment="1">
      <alignment horizontal="center" vertical="top" wrapText="1"/>
    </xf>
    <xf numFmtId="177" fontId="28" fillId="4" borderId="0" xfId="11" applyNumberFormat="1" applyFont="1" applyFill="1" applyAlignment="1">
      <alignment vertical="center"/>
    </xf>
    <xf numFmtId="177" fontId="28" fillId="4" borderId="0" xfId="0" applyNumberFormat="1" applyFont="1" applyFill="1"/>
    <xf numFmtId="177" fontId="27" fillId="6" borderId="4" xfId="0" applyNumberFormat="1" applyFont="1" applyFill="1" applyBorder="1" applyAlignment="1">
      <alignment horizontal="center" vertical="top" wrapText="1"/>
    </xf>
    <xf numFmtId="172" fontId="28" fillId="4" borderId="0" xfId="0" applyNumberFormat="1" applyFont="1" applyFill="1"/>
    <xf numFmtId="167" fontId="28" fillId="4" borderId="0" xfId="12" applyNumberFormat="1" applyFont="1" applyFill="1" applyBorder="1" applyAlignment="1">
      <alignment horizontal="center" vertical="top" wrapText="1"/>
    </xf>
    <xf numFmtId="167" fontId="28" fillId="4" borderId="12" xfId="0" applyNumberFormat="1" applyFont="1" applyFill="1" applyBorder="1"/>
    <xf numFmtId="172" fontId="28" fillId="4" borderId="0" xfId="0" applyNumberFormat="1" applyFont="1" applyFill="1" applyBorder="1"/>
    <xf numFmtId="167" fontId="28" fillId="4" borderId="11" xfId="0" applyNumberFormat="1" applyFont="1" applyFill="1" applyBorder="1"/>
    <xf numFmtId="167" fontId="28" fillId="4" borderId="13" xfId="0" applyNumberFormat="1" applyFont="1" applyFill="1" applyBorder="1"/>
    <xf numFmtId="172" fontId="28" fillId="4" borderId="14" xfId="0" applyNumberFormat="1" applyFont="1" applyFill="1" applyBorder="1"/>
    <xf numFmtId="172" fontId="28" fillId="4" borderId="0" xfId="12" applyNumberFormat="1" applyFont="1" applyFill="1" applyBorder="1"/>
    <xf numFmtId="0" fontId="32" fillId="4" borderId="0" xfId="0" applyFont="1" applyFill="1"/>
    <xf numFmtId="0" fontId="33" fillId="4" borderId="5" xfId="0" applyFont="1" applyFill="1" applyBorder="1" applyAlignment="1">
      <alignment horizontal="center"/>
    </xf>
    <xf numFmtId="0" fontId="33" fillId="4" borderId="5" xfId="0" applyFont="1" applyFill="1" applyBorder="1"/>
    <xf numFmtId="3" fontId="33" fillId="4" borderId="5" xfId="12" applyNumberFormat="1" applyFont="1" applyFill="1" applyBorder="1" applyAlignment="1">
      <alignment horizontal="right"/>
    </xf>
    <xf numFmtId="0" fontId="33" fillId="4" borderId="0" xfId="0" applyFont="1" applyFill="1"/>
    <xf numFmtId="168" fontId="28" fillId="4" borderId="0" xfId="0" applyNumberFormat="1" applyFont="1" applyFill="1"/>
    <xf numFmtId="172" fontId="28" fillId="4" borderId="14" xfId="12" applyNumberFormat="1" applyFont="1" applyFill="1" applyBorder="1"/>
    <xf numFmtId="172" fontId="33" fillId="4" borderId="4" xfId="0" applyNumberFormat="1" applyFont="1" applyFill="1" applyBorder="1"/>
    <xf numFmtId="0" fontId="28" fillId="8" borderId="0" xfId="0" applyFont="1" applyFill="1"/>
    <xf numFmtId="14" fontId="28" fillId="8" borderId="0" xfId="0" applyNumberFormat="1" applyFont="1" applyFill="1"/>
    <xf numFmtId="0" fontId="28" fillId="8" borderId="0" xfId="0" applyFont="1" applyFill="1" applyBorder="1"/>
    <xf numFmtId="0" fontId="29" fillId="8" borderId="0" xfId="0" applyFont="1" applyFill="1"/>
    <xf numFmtId="174" fontId="28" fillId="8" borderId="0" xfId="0" applyNumberFormat="1" applyFont="1" applyFill="1" applyBorder="1"/>
    <xf numFmtId="0" fontId="28" fillId="8" borderId="0" xfId="0" applyFont="1" applyFill="1" applyAlignment="1">
      <alignment horizontal="center" wrapText="1"/>
    </xf>
    <xf numFmtId="43" fontId="28" fillId="8" borderId="0" xfId="4" applyFont="1" applyFill="1"/>
    <xf numFmtId="3" fontId="28" fillId="8" borderId="0" xfId="0" applyNumberFormat="1" applyFont="1" applyFill="1"/>
    <xf numFmtId="2" fontId="28" fillId="8" borderId="0" xfId="0" applyNumberFormat="1" applyFont="1" applyFill="1"/>
    <xf numFmtId="0" fontId="28" fillId="8" borderId="0" xfId="0" applyFont="1" applyFill="1" applyAlignment="1">
      <alignment horizontal="center"/>
    </xf>
    <xf numFmtId="9" fontId="28" fillId="8" borderId="0" xfId="0" applyNumberFormat="1" applyFont="1" applyFill="1" applyBorder="1" applyAlignment="1">
      <alignment horizontal="center" vertical="top" wrapText="1"/>
    </xf>
    <xf numFmtId="2" fontId="28" fillId="8" borderId="0" xfId="0" applyNumberFormat="1" applyFont="1" applyFill="1" applyBorder="1" applyAlignment="1">
      <alignment horizontal="center"/>
    </xf>
    <xf numFmtId="10" fontId="28" fillId="8" borderId="14" xfId="0" applyNumberFormat="1" applyFont="1" applyFill="1" applyBorder="1" applyAlignment="1">
      <alignment horizontal="center" vertical="top" wrapText="1"/>
    </xf>
    <xf numFmtId="170" fontId="28" fillId="8" borderId="0" xfId="0" applyNumberFormat="1" applyFont="1" applyFill="1" applyBorder="1"/>
    <xf numFmtId="3" fontId="28" fillId="8" borderId="0" xfId="0" applyNumberFormat="1" applyFont="1" applyFill="1" applyBorder="1"/>
    <xf numFmtId="43" fontId="28" fillId="8" borderId="0" xfId="4" applyFont="1" applyFill="1" applyBorder="1"/>
    <xf numFmtId="0" fontId="28" fillId="8" borderId="14" xfId="0" applyFont="1" applyFill="1" applyBorder="1"/>
    <xf numFmtId="43" fontId="28" fillId="8" borderId="14" xfId="4" applyFont="1" applyFill="1" applyBorder="1"/>
    <xf numFmtId="0" fontId="28" fillId="8" borderId="0" xfId="0" applyFont="1" applyFill="1" applyAlignment="1">
      <alignment vertical="top"/>
    </xf>
    <xf numFmtId="0" fontId="30" fillId="8" borderId="0" xfId="0" applyFont="1" applyFill="1"/>
    <xf numFmtId="14" fontId="28" fillId="7" borderId="14" xfId="0" applyNumberFormat="1" applyFont="1" applyFill="1" applyBorder="1" applyAlignment="1">
      <alignment horizontal="center"/>
    </xf>
    <xf numFmtId="9" fontId="28" fillId="7" borderId="14" xfId="0" applyNumberFormat="1" applyFont="1" applyFill="1" applyBorder="1" applyAlignment="1">
      <alignment horizontal="center" vertical="top" wrapText="1"/>
    </xf>
    <xf numFmtId="10" fontId="28" fillId="7" borderId="14" xfId="0" applyNumberFormat="1" applyFont="1" applyFill="1" applyBorder="1" applyAlignment="1">
      <alignment horizontal="center"/>
    </xf>
    <xf numFmtId="0" fontId="28" fillId="8" borderId="0" xfId="0" applyFont="1" applyFill="1" applyBorder="1" applyAlignment="1"/>
    <xf numFmtId="0" fontId="28" fillId="8" borderId="0" xfId="0" applyFont="1" applyFill="1" applyBorder="1" applyAlignment="1">
      <alignment horizontal="left" vertical="top"/>
    </xf>
    <xf numFmtId="0" fontId="28" fillId="8" borderId="0" xfId="0" applyFont="1" applyFill="1" applyBorder="1" applyAlignment="1">
      <alignment horizontal="left"/>
    </xf>
    <xf numFmtId="3" fontId="28" fillId="7" borderId="14" xfId="0" applyNumberFormat="1" applyFont="1" applyFill="1" applyBorder="1"/>
    <xf numFmtId="3" fontId="28" fillId="8" borderId="14" xfId="0" applyNumberFormat="1" applyFont="1" applyFill="1" applyBorder="1"/>
    <xf numFmtId="3" fontId="28" fillId="8" borderId="14" xfId="0" applyNumberFormat="1" applyFont="1" applyFill="1" applyBorder="1" applyAlignment="1">
      <alignment horizontal="center"/>
    </xf>
    <xf numFmtId="9" fontId="28" fillId="7" borderId="14" xfId="0" applyNumberFormat="1" applyFont="1" applyFill="1" applyBorder="1" applyAlignment="1">
      <alignment horizontal="center"/>
    </xf>
    <xf numFmtId="0" fontId="28" fillId="7" borderId="14" xfId="0" applyFont="1" applyFill="1" applyBorder="1" applyAlignment="1">
      <alignment horizontal="center" vertical="top" wrapText="1"/>
    </xf>
    <xf numFmtId="0" fontId="28" fillId="8" borderId="4" xfId="0" applyFont="1" applyFill="1" applyBorder="1" applyAlignment="1">
      <alignment horizontal="center" vertical="center" wrapText="1"/>
    </xf>
    <xf numFmtId="176" fontId="28" fillId="8" borderId="14" xfId="4" applyNumberFormat="1" applyFont="1" applyFill="1" applyBorder="1"/>
    <xf numFmtId="175" fontId="28" fillId="8" borderId="17" xfId="4" applyNumberFormat="1" applyFont="1" applyFill="1" applyBorder="1"/>
    <xf numFmtId="0" fontId="28" fillId="8" borderId="7" xfId="0" applyFont="1" applyFill="1" applyBorder="1"/>
    <xf numFmtId="2" fontId="28" fillId="8" borderId="4" xfId="0" applyNumberFormat="1" applyFont="1" applyFill="1" applyBorder="1"/>
    <xf numFmtId="0" fontId="28" fillId="8" borderId="0" xfId="0" quotePrefix="1" applyFont="1" applyFill="1" applyBorder="1"/>
    <xf numFmtId="170" fontId="28" fillId="8" borderId="14" xfId="0" applyNumberFormat="1" applyFont="1" applyFill="1" applyBorder="1"/>
    <xf numFmtId="174" fontId="28" fillId="8" borderId="14" xfId="0" applyNumberFormat="1" applyFont="1" applyFill="1" applyBorder="1"/>
    <xf numFmtId="0" fontId="34" fillId="8" borderId="0" xfId="0" applyFont="1" applyFill="1"/>
    <xf numFmtId="0" fontId="30" fillId="8" borderId="0" xfId="0" applyFont="1" applyFill="1" applyBorder="1"/>
    <xf numFmtId="0" fontId="27" fillId="6" borderId="3" xfId="0" applyFont="1" applyFill="1" applyBorder="1" applyAlignment="1">
      <alignment horizontal="center" vertical="center" wrapText="1"/>
    </xf>
    <xf numFmtId="4" fontId="28" fillId="4" borderId="0" xfId="0" applyNumberFormat="1" applyFont="1" applyFill="1" applyBorder="1"/>
    <xf numFmtId="1" fontId="30" fillId="4" borderId="0" xfId="11" applyNumberFormat="1" applyFont="1" applyFill="1" applyAlignment="1">
      <alignment horizontal="left" vertical="center"/>
    </xf>
    <xf numFmtId="175" fontId="28" fillId="8" borderId="0" xfId="4" applyNumberFormat="1" applyFont="1" applyFill="1"/>
    <xf numFmtId="0" fontId="35" fillId="8" borderId="0" xfId="0" applyFont="1" applyFill="1"/>
    <xf numFmtId="175" fontId="35" fillId="8" borderId="0" xfId="4" applyNumberFormat="1" applyFont="1" applyFill="1"/>
    <xf numFmtId="175" fontId="27" fillId="6" borderId="0" xfId="4" applyNumberFormat="1" applyFont="1" applyFill="1"/>
    <xf numFmtId="0" fontId="35" fillId="8" borderId="0" xfId="0" applyFont="1" applyFill="1" applyAlignment="1">
      <alignment horizontal="right"/>
    </xf>
    <xf numFmtId="169" fontId="31" fillId="4" borderId="0" xfId="11" applyNumberFormat="1" applyFont="1" applyFill="1" applyAlignment="1">
      <alignment vertical="center"/>
    </xf>
    <xf numFmtId="169" fontId="31" fillId="4" borderId="0" xfId="11" applyNumberFormat="1" applyFont="1" applyFill="1" applyBorder="1" applyAlignment="1">
      <alignment vertical="center"/>
    </xf>
    <xf numFmtId="176" fontId="28" fillId="4" borderId="0" xfId="14" applyNumberFormat="1" applyFont="1" applyFill="1" applyBorder="1" applyAlignment="1">
      <alignment vertical="center"/>
    </xf>
    <xf numFmtId="0" fontId="29" fillId="4" borderId="0" xfId="11" applyFont="1" applyFill="1" applyBorder="1"/>
    <xf numFmtId="176" fontId="29" fillId="4" borderId="0" xfId="14" applyNumberFormat="1" applyFont="1" applyFill="1" applyBorder="1"/>
    <xf numFmtId="0" fontId="28" fillId="4" borderId="0" xfId="15" applyFont="1" applyFill="1"/>
    <xf numFmtId="0" fontId="28" fillId="4" borderId="0" xfId="15" applyFont="1" applyFill="1" applyBorder="1"/>
    <xf numFmtId="176" fontId="28" fillId="4" borderId="0" xfId="14" applyNumberFormat="1" applyFont="1" applyFill="1" applyBorder="1"/>
    <xf numFmtId="3" fontId="16" fillId="4" borderId="5" xfId="15" applyNumberFormat="1" applyFont="1" applyFill="1" applyBorder="1" applyAlignment="1">
      <alignment horizontal="right"/>
    </xf>
    <xf numFmtId="165" fontId="28" fillId="4" borderId="5" xfId="14" applyFont="1" applyFill="1" applyBorder="1"/>
    <xf numFmtId="3" fontId="16" fillId="4" borderId="0" xfId="15" applyNumberFormat="1" applyFont="1" applyFill="1" applyBorder="1" applyAlignment="1">
      <alignment horizontal="right"/>
    </xf>
    <xf numFmtId="176" fontId="28" fillId="4" borderId="0" xfId="15" applyNumberFormat="1" applyFont="1" applyFill="1" applyBorder="1"/>
    <xf numFmtId="3" fontId="28" fillId="4" borderId="0" xfId="15" applyNumberFormat="1" applyFont="1" applyFill="1"/>
    <xf numFmtId="0" fontId="27" fillId="4" borderId="0" xfId="15" applyFont="1" applyFill="1" applyBorder="1" applyAlignment="1">
      <alignment vertical="center"/>
    </xf>
    <xf numFmtId="176" fontId="27" fillId="4" borderId="0" xfId="14" applyNumberFormat="1" applyFont="1" applyFill="1" applyBorder="1" applyAlignment="1">
      <alignment horizontal="center" vertical="center" wrapText="1"/>
    </xf>
    <xf numFmtId="176" fontId="27" fillId="4" borderId="0" xfId="14" applyNumberFormat="1" applyFont="1" applyFill="1" applyBorder="1" applyAlignment="1">
      <alignment vertical="center"/>
    </xf>
    <xf numFmtId="0" fontId="27" fillId="4" borderId="0" xfId="15" applyFont="1" applyFill="1" applyAlignment="1">
      <alignment vertical="center"/>
    </xf>
    <xf numFmtId="0" fontId="28" fillId="4" borderId="4" xfId="15" applyFont="1" applyFill="1" applyBorder="1"/>
    <xf numFmtId="0" fontId="28" fillId="4" borderId="5" xfId="15" applyFont="1" applyFill="1" applyBorder="1"/>
    <xf numFmtId="0" fontId="27" fillId="6" borderId="4" xfId="15" applyFont="1" applyFill="1" applyBorder="1" applyAlignment="1">
      <alignment horizontal="center" vertical="center" wrapText="1"/>
    </xf>
    <xf numFmtId="175" fontId="28" fillId="4" borderId="14" xfId="4" applyNumberFormat="1" applyFont="1" applyFill="1" applyBorder="1" applyAlignment="1">
      <alignment horizontal="center"/>
    </xf>
    <xf numFmtId="0" fontId="28" fillId="7" borderId="14" xfId="0" applyFont="1" applyFill="1" applyBorder="1"/>
    <xf numFmtId="175" fontId="28" fillId="5" borderId="14" xfId="4" applyNumberFormat="1" applyFont="1" applyFill="1" applyBorder="1" applyAlignment="1">
      <alignment horizontal="center"/>
    </xf>
    <xf numFmtId="172" fontId="33" fillId="5" borderId="4" xfId="0" applyNumberFormat="1" applyFont="1" applyFill="1" applyBorder="1"/>
    <xf numFmtId="172" fontId="33" fillId="5" borderId="5" xfId="0" applyNumberFormat="1" applyFont="1" applyFill="1" applyBorder="1"/>
    <xf numFmtId="172" fontId="28" fillId="5" borderId="14" xfId="0" applyNumberFormat="1" applyFont="1" applyFill="1" applyBorder="1"/>
    <xf numFmtId="172" fontId="33" fillId="5" borderId="3" xfId="0" applyNumberFormat="1" applyFont="1" applyFill="1" applyBorder="1"/>
    <xf numFmtId="0" fontId="28" fillId="7" borderId="14" xfId="15" applyFont="1" applyFill="1" applyBorder="1" applyAlignment="1">
      <alignment horizontal="center"/>
    </xf>
    <xf numFmtId="175" fontId="28" fillId="7" borderId="3" xfId="4" applyNumberFormat="1" applyFont="1" applyFill="1" applyBorder="1" applyAlignment="1">
      <alignment horizontal="center"/>
    </xf>
    <xf numFmtId="175" fontId="28" fillId="7" borderId="14" xfId="4" applyNumberFormat="1" applyFont="1" applyFill="1" applyBorder="1"/>
    <xf numFmtId="0" fontId="28" fillId="7" borderId="14" xfId="4" applyNumberFormat="1" applyFont="1" applyFill="1" applyBorder="1" applyAlignment="1">
      <alignment horizontal="center"/>
    </xf>
    <xf numFmtId="0" fontId="39" fillId="6" borderId="0" xfId="0" applyFont="1" applyFill="1"/>
    <xf numFmtId="0" fontId="28" fillId="7" borderId="4" xfId="15" applyFont="1" applyFill="1" applyBorder="1" applyAlignment="1">
      <alignment horizontal="center"/>
    </xf>
    <xf numFmtId="0" fontId="28" fillId="7" borderId="5" xfId="15" applyFont="1" applyFill="1" applyBorder="1" applyAlignment="1">
      <alignment horizontal="center"/>
    </xf>
    <xf numFmtId="175" fontId="28" fillId="4" borderId="0" xfId="15" applyNumberFormat="1" applyFont="1" applyFill="1"/>
    <xf numFmtId="175" fontId="28" fillId="4" borderId="3" xfId="4" applyNumberFormat="1" applyFont="1" applyFill="1" applyBorder="1" applyAlignment="1">
      <alignment horizontal="center"/>
    </xf>
    <xf numFmtId="175" fontId="28" fillId="8" borderId="0" xfId="4" applyNumberFormat="1" applyFont="1" applyFill="1" applyBorder="1"/>
    <xf numFmtId="43" fontId="28" fillId="7" borderId="14" xfId="4" applyFont="1" applyFill="1" applyBorder="1" applyAlignment="1">
      <alignment horizontal="center"/>
    </xf>
    <xf numFmtId="0" fontId="38" fillId="4" borderId="0" xfId="0" applyFont="1" applyFill="1"/>
    <xf numFmtId="175" fontId="38" fillId="4" borderId="0" xfId="4" applyNumberFormat="1" applyFont="1" applyFill="1"/>
    <xf numFmtId="0" fontId="38" fillId="8" borderId="0" xfId="0" applyFont="1" applyFill="1"/>
    <xf numFmtId="175" fontId="38" fillId="3" borderId="0" xfId="4" applyNumberFormat="1" applyFont="1" applyFill="1"/>
    <xf numFmtId="43" fontId="38" fillId="4" borderId="0" xfId="4" applyFont="1" applyFill="1"/>
    <xf numFmtId="175" fontId="38" fillId="4" borderId="16" xfId="4" applyNumberFormat="1" applyFont="1" applyFill="1" applyBorder="1"/>
    <xf numFmtId="175" fontId="40" fillId="4" borderId="0" xfId="4" applyNumberFormat="1" applyFont="1" applyFill="1"/>
    <xf numFmtId="0" fontId="40" fillId="4" borderId="0" xfId="0" applyFont="1" applyFill="1"/>
    <xf numFmtId="0" fontId="38" fillId="4" borderId="0" xfId="0" applyFont="1" applyFill="1" applyAlignment="1">
      <alignment horizontal="right"/>
    </xf>
    <xf numFmtId="0" fontId="38" fillId="4" borderId="0" xfId="0" applyFont="1" applyFill="1" applyAlignment="1">
      <alignment horizontal="left"/>
    </xf>
    <xf numFmtId="43" fontId="33" fillId="4" borderId="14" xfId="4" applyFont="1" applyFill="1" applyBorder="1"/>
    <xf numFmtId="175" fontId="28" fillId="0" borderId="5" xfId="4" applyNumberFormat="1" applyFont="1" applyFill="1" applyBorder="1"/>
    <xf numFmtId="0" fontId="17" fillId="0" borderId="0" xfId="0" applyFont="1" applyFill="1" applyAlignment="1">
      <alignment horizontal="left"/>
    </xf>
    <xf numFmtId="0" fontId="28" fillId="0" borderId="0" xfId="0" applyFont="1" applyFill="1"/>
    <xf numFmtId="10" fontId="28" fillId="8" borderId="3" xfId="12" applyNumberFormat="1" applyFont="1" applyFill="1" applyBorder="1"/>
    <xf numFmtId="2" fontId="28" fillId="8" borderId="14" xfId="0" applyNumberFormat="1" applyFont="1" applyFill="1" applyBorder="1" applyAlignment="1"/>
    <xf numFmtId="2" fontId="28" fillId="7" borderId="4" xfId="0" applyNumberFormat="1" applyFont="1" applyFill="1" applyBorder="1" applyAlignment="1"/>
    <xf numFmtId="2" fontId="28" fillId="8" borderId="14" xfId="4" applyNumberFormat="1" applyFont="1" applyFill="1" applyBorder="1"/>
    <xf numFmtId="4" fontId="28" fillId="4" borderId="5" xfId="0" applyNumberFormat="1" applyFont="1" applyFill="1" applyBorder="1"/>
    <xf numFmtId="43" fontId="28" fillId="4" borderId="5" xfId="4" applyNumberFormat="1" applyFont="1" applyFill="1" applyBorder="1"/>
    <xf numFmtId="176" fontId="28" fillId="5" borderId="14" xfId="4" applyNumberFormat="1" applyFont="1" applyFill="1" applyBorder="1"/>
    <xf numFmtId="175" fontId="28" fillId="7" borderId="14" xfId="4" applyNumberFormat="1" applyFont="1" applyFill="1" applyBorder="1" applyAlignment="1">
      <alignment horizontal="center" vertical="center" wrapText="1"/>
    </xf>
    <xf numFmtId="10" fontId="28" fillId="7" borderId="17" xfId="0" applyNumberFormat="1" applyFont="1" applyFill="1" applyBorder="1" applyAlignment="1">
      <alignment horizontal="center"/>
    </xf>
    <xf numFmtId="0" fontId="28" fillId="8" borderId="14" xfId="0" applyFont="1" applyFill="1" applyBorder="1" applyAlignment="1">
      <alignment horizontal="right"/>
    </xf>
    <xf numFmtId="3" fontId="28" fillId="4" borderId="14" xfId="0" applyNumberFormat="1" applyFont="1" applyFill="1" applyBorder="1"/>
    <xf numFmtId="43" fontId="27" fillId="6" borderId="14" xfId="4" applyNumberFormat="1" applyFont="1" applyFill="1" applyBorder="1"/>
    <xf numFmtId="1" fontId="28" fillId="4" borderId="14" xfId="0" applyNumberFormat="1" applyFont="1" applyFill="1" applyBorder="1"/>
    <xf numFmtId="10" fontId="28" fillId="4" borderId="14" xfId="0" applyNumberFormat="1" applyFont="1" applyFill="1" applyBorder="1"/>
    <xf numFmtId="175" fontId="28" fillId="4" borderId="0" xfId="4" quotePrefix="1" applyNumberFormat="1" applyFont="1" applyFill="1" applyBorder="1"/>
    <xf numFmtId="10" fontId="28" fillId="4" borderId="0" xfId="0" applyNumberFormat="1" applyFont="1" applyFill="1" applyBorder="1"/>
    <xf numFmtId="43" fontId="28" fillId="7" borderId="14" xfId="4" applyNumberFormat="1" applyFont="1" applyFill="1" applyBorder="1"/>
    <xf numFmtId="43" fontId="28" fillId="4" borderId="0" xfId="4" applyNumberFormat="1" applyFont="1" applyFill="1"/>
    <xf numFmtId="175" fontId="27" fillId="6" borderId="4" xfId="4" applyNumberFormat="1" applyFont="1" applyFill="1" applyBorder="1" applyAlignment="1">
      <alignment horizontal="center" vertical="center" wrapText="1"/>
    </xf>
    <xf numFmtId="175" fontId="28" fillId="4" borderId="0" xfId="4" applyNumberFormat="1" applyFont="1" applyFill="1" applyBorder="1" applyAlignment="1">
      <alignment horizontal="center"/>
    </xf>
    <xf numFmtId="175" fontId="27" fillId="6" borderId="5" xfId="4" applyNumberFormat="1" applyFont="1" applyFill="1" applyBorder="1" applyAlignment="1">
      <alignment horizontal="center" vertical="center" wrapText="1"/>
    </xf>
    <xf numFmtId="0" fontId="27" fillId="6" borderId="4" xfId="0" applyFont="1" applyFill="1" applyBorder="1" applyAlignment="1">
      <alignment horizontal="center" vertical="center" wrapText="1"/>
    </xf>
    <xf numFmtId="175" fontId="28" fillId="4" borderId="0" xfId="4" applyNumberFormat="1" applyFont="1" applyFill="1" applyBorder="1" applyAlignment="1">
      <alignment vertical="center"/>
    </xf>
    <xf numFmtId="175" fontId="27" fillId="6" borderId="15" xfId="4" applyNumberFormat="1" applyFont="1" applyFill="1" applyBorder="1" applyAlignment="1">
      <alignment horizontal="center" vertical="center" wrapText="1"/>
    </xf>
    <xf numFmtId="175" fontId="27" fillId="6" borderId="16" xfId="4" applyNumberFormat="1" applyFont="1" applyFill="1" applyBorder="1" applyAlignment="1">
      <alignment horizontal="center" vertical="top" wrapText="1"/>
    </xf>
    <xf numFmtId="9" fontId="28" fillId="7" borderId="14" xfId="12" applyFont="1" applyFill="1" applyBorder="1"/>
    <xf numFmtId="165" fontId="28" fillId="8" borderId="0" xfId="0" applyNumberFormat="1" applyFont="1" applyFill="1"/>
    <xf numFmtId="0" fontId="28" fillId="4" borderId="0" xfId="0" applyFont="1" applyFill="1" applyBorder="1" applyAlignment="1">
      <alignment horizontal="left"/>
    </xf>
    <xf numFmtId="175" fontId="27" fillId="6" borderId="14" xfId="4" applyNumberFormat="1" applyFont="1" applyFill="1" applyBorder="1" applyAlignment="1">
      <alignment horizontal="center" vertical="center" wrapText="1"/>
    </xf>
    <xf numFmtId="3" fontId="28" fillId="4" borderId="0" xfId="0" applyNumberFormat="1" applyFont="1" applyFill="1" applyBorder="1"/>
    <xf numFmtId="3" fontId="28" fillId="4" borderId="7" xfId="0" applyNumberFormat="1" applyFont="1" applyFill="1" applyBorder="1"/>
    <xf numFmtId="0" fontId="28" fillId="4" borderId="9" xfId="0" applyFont="1" applyFill="1" applyBorder="1" applyAlignment="1">
      <alignment horizontal="center"/>
    </xf>
    <xf numFmtId="3" fontId="28" fillId="4" borderId="4" xfId="0" applyNumberFormat="1" applyFont="1" applyFill="1" applyBorder="1"/>
    <xf numFmtId="166" fontId="28" fillId="4" borderId="6" xfId="0" applyNumberFormat="1" applyFont="1" applyFill="1" applyBorder="1" applyAlignment="1">
      <alignment horizontal="center"/>
    </xf>
    <xf numFmtId="175" fontId="28" fillId="4" borderId="6" xfId="4" applyNumberFormat="1" applyFont="1" applyFill="1" applyBorder="1"/>
    <xf numFmtId="43" fontId="27" fillId="6" borderId="3" xfId="4" applyFont="1" applyFill="1" applyBorder="1" applyAlignment="1">
      <alignment horizontal="center" vertical="center"/>
    </xf>
    <xf numFmtId="175" fontId="28" fillId="3" borderId="11" xfId="4" applyNumberFormat="1" applyFont="1" applyFill="1" applyBorder="1"/>
    <xf numFmtId="175" fontId="28" fillId="3" borderId="7" xfId="4" applyNumberFormat="1" applyFont="1" applyFill="1" applyBorder="1"/>
    <xf numFmtId="175" fontId="28" fillId="4" borderId="4" xfId="4" applyNumberFormat="1" applyFont="1" applyFill="1" applyBorder="1" applyAlignment="1">
      <alignment horizontal="center"/>
    </xf>
    <xf numFmtId="175" fontId="28" fillId="4" borderId="5" xfId="4" applyNumberFormat="1" applyFont="1" applyFill="1" applyBorder="1" applyAlignment="1">
      <alignment horizontal="center"/>
    </xf>
    <xf numFmtId="4" fontId="28" fillId="4" borderId="6" xfId="12" applyNumberFormat="1" applyFont="1" applyFill="1" applyBorder="1"/>
    <xf numFmtId="177" fontId="28" fillId="4" borderId="6" xfId="4" applyNumberFormat="1" applyFont="1" applyFill="1" applyBorder="1"/>
    <xf numFmtId="0" fontId="28" fillId="4" borderId="4" xfId="15" applyFont="1" applyFill="1" applyBorder="1" applyAlignment="1">
      <alignment horizontal="center"/>
    </xf>
    <xf numFmtId="0" fontId="28" fillId="4" borderId="5" xfId="15" applyFont="1" applyFill="1" applyBorder="1" applyAlignment="1">
      <alignment horizontal="center"/>
    </xf>
    <xf numFmtId="0" fontId="28" fillId="4" borderId="3" xfId="15" applyFont="1" applyFill="1" applyBorder="1" applyAlignment="1">
      <alignment horizontal="center"/>
    </xf>
    <xf numFmtId="0" fontId="33" fillId="4" borderId="4" xfId="0" applyFont="1" applyFill="1" applyBorder="1" applyAlignment="1">
      <alignment horizontal="center"/>
    </xf>
    <xf numFmtId="172" fontId="33" fillId="5" borderId="12" xfId="0" applyNumberFormat="1" applyFont="1" applyFill="1" applyBorder="1"/>
    <xf numFmtId="172" fontId="33" fillId="5" borderId="11" xfId="0" applyNumberFormat="1" applyFont="1" applyFill="1" applyBorder="1"/>
    <xf numFmtId="3" fontId="33" fillId="4" borderId="0" xfId="12" applyNumberFormat="1" applyFont="1" applyFill="1" applyBorder="1"/>
    <xf numFmtId="172" fontId="33" fillId="4" borderId="0" xfId="0" applyNumberFormat="1" applyFont="1" applyFill="1" applyBorder="1"/>
    <xf numFmtId="43" fontId="33" fillId="4" borderId="9" xfId="4" applyFont="1" applyFill="1" applyBorder="1"/>
    <xf numFmtId="3" fontId="33" fillId="4" borderId="4" xfId="12" applyNumberFormat="1" applyFont="1" applyFill="1" applyBorder="1" applyAlignment="1">
      <alignment horizontal="right"/>
    </xf>
    <xf numFmtId="172" fontId="33" fillId="4" borderId="5" xfId="0" applyNumberFormat="1" applyFont="1" applyFill="1" applyBorder="1"/>
    <xf numFmtId="0" fontId="28" fillId="8" borderId="0" xfId="0" applyFont="1" applyFill="1" applyBorder="1" applyAlignment="1">
      <alignment horizontal="right"/>
    </xf>
    <xf numFmtId="3" fontId="33" fillId="4" borderId="0" xfId="0" applyNumberFormat="1" applyFont="1" applyFill="1"/>
    <xf numFmtId="43" fontId="28" fillId="7" borderId="17" xfId="4" applyFont="1" applyFill="1" applyBorder="1"/>
    <xf numFmtId="167" fontId="28" fillId="7" borderId="14" xfId="0" applyNumberFormat="1" applyFont="1" applyFill="1" applyBorder="1" applyAlignment="1">
      <alignment horizontal="center"/>
    </xf>
    <xf numFmtId="43" fontId="27" fillId="6" borderId="4" xfId="4" applyFont="1" applyFill="1" applyBorder="1" applyAlignment="1">
      <alignment horizontal="center" vertical="center" wrapText="1"/>
    </xf>
    <xf numFmtId="175" fontId="38" fillId="4" borderId="0" xfId="4" applyNumberFormat="1" applyFont="1" applyFill="1" applyAlignment="1">
      <alignment horizontal="right"/>
    </xf>
    <xf numFmtId="43" fontId="27" fillId="6" borderId="5" xfId="4" applyFont="1" applyFill="1" applyBorder="1" applyAlignment="1">
      <alignment horizontal="center" vertical="top" wrapText="1"/>
    </xf>
    <xf numFmtId="43" fontId="28" fillId="4" borderId="0" xfId="4" applyFont="1" applyFill="1" applyAlignment="1">
      <alignment horizontal="center"/>
    </xf>
    <xf numFmtId="43" fontId="28" fillId="4" borderId="0" xfId="4" applyFont="1" applyFill="1" applyBorder="1" applyAlignment="1">
      <alignment horizontal="center"/>
    </xf>
    <xf numFmtId="43" fontId="28" fillId="4" borderId="0" xfId="4" applyFont="1" applyFill="1" applyBorder="1" applyAlignment="1">
      <alignment horizontal="left"/>
    </xf>
    <xf numFmtId="43" fontId="29" fillId="4" borderId="0" xfId="4" applyFont="1" applyFill="1"/>
    <xf numFmtId="43" fontId="28" fillId="4" borderId="0" xfId="4" applyFont="1" applyFill="1" applyAlignment="1">
      <alignment horizontal="center" vertical="top" wrapText="1"/>
    </xf>
    <xf numFmtId="43" fontId="27" fillId="6" borderId="14" xfId="4" applyFont="1" applyFill="1" applyBorder="1" applyAlignment="1">
      <alignment horizontal="center"/>
    </xf>
    <xf numFmtId="43" fontId="28" fillId="2" borderId="5" xfId="4" applyFont="1" applyFill="1" applyBorder="1"/>
    <xf numFmtId="43" fontId="28" fillId="2" borderId="0" xfId="4" applyFont="1" applyFill="1" applyBorder="1"/>
    <xf numFmtId="43" fontId="28" fillId="0" borderId="0" xfId="4" applyFont="1" applyFill="1"/>
    <xf numFmtId="43" fontId="28" fillId="4" borderId="0" xfId="4" applyFont="1" applyFill="1" applyBorder="1"/>
    <xf numFmtId="179" fontId="30" fillId="4" borderId="0" xfId="4" applyNumberFormat="1" applyFont="1" applyFill="1" applyAlignment="1">
      <alignment horizontal="left"/>
    </xf>
    <xf numFmtId="179" fontId="28" fillId="4" borderId="0" xfId="4" applyNumberFormat="1" applyFont="1" applyFill="1" applyAlignment="1">
      <alignment horizontal="left"/>
    </xf>
    <xf numFmtId="179" fontId="28" fillId="4" borderId="5" xfId="4" applyNumberFormat="1" applyFont="1" applyFill="1" applyBorder="1" applyAlignment="1">
      <alignment horizontal="center"/>
    </xf>
    <xf numFmtId="179" fontId="28" fillId="0" borderId="5" xfId="4" applyNumberFormat="1" applyFont="1" applyFill="1" applyBorder="1" applyAlignment="1">
      <alignment horizontal="center"/>
    </xf>
    <xf numFmtId="179" fontId="28" fillId="4" borderId="14" xfId="4" applyNumberFormat="1" applyFont="1" applyFill="1" applyBorder="1" applyAlignment="1">
      <alignment horizontal="center"/>
    </xf>
    <xf numFmtId="179" fontId="28" fillId="4" borderId="0" xfId="4" applyNumberFormat="1" applyFont="1" applyFill="1" applyAlignment="1">
      <alignment horizontal="center"/>
    </xf>
    <xf numFmtId="175" fontId="43" fillId="4" borderId="0" xfId="4" applyNumberFormat="1" applyFont="1" applyFill="1"/>
    <xf numFmtId="43" fontId="42" fillId="6" borderId="4" xfId="4" applyFont="1" applyFill="1" applyBorder="1" applyAlignment="1">
      <alignment horizontal="center"/>
    </xf>
    <xf numFmtId="43" fontId="27" fillId="6" borderId="12" xfId="4" applyFont="1" applyFill="1" applyBorder="1" applyAlignment="1">
      <alignment horizontal="center"/>
    </xf>
    <xf numFmtId="14" fontId="42" fillId="6" borderId="4" xfId="0" applyNumberFormat="1" applyFont="1" applyFill="1" applyBorder="1" applyAlignment="1">
      <alignment horizontal="center"/>
    </xf>
    <xf numFmtId="0" fontId="28" fillId="7" borderId="14" xfId="0" applyFont="1" applyFill="1" applyBorder="1" applyAlignment="1">
      <alignment horizontal="center"/>
    </xf>
    <xf numFmtId="175" fontId="38" fillId="8" borderId="0" xfId="0" applyNumberFormat="1" applyFont="1" applyFill="1"/>
    <xf numFmtId="175" fontId="40" fillId="4" borderId="0" xfId="4" applyNumberFormat="1" applyFont="1" applyFill="1" applyAlignment="1">
      <alignment horizontal="center"/>
    </xf>
    <xf numFmtId="0" fontId="42" fillId="6" borderId="4" xfId="4" quotePrefix="1" applyNumberFormat="1" applyFont="1" applyFill="1" applyBorder="1" applyAlignment="1">
      <alignment horizontal="center"/>
    </xf>
    <xf numFmtId="0" fontId="28" fillId="4" borderId="9" xfId="0" applyFont="1" applyFill="1" applyBorder="1" applyAlignment="1">
      <alignment horizontal="left"/>
    </xf>
    <xf numFmtId="0" fontId="28" fillId="4" borderId="10" xfId="0" applyFont="1" applyFill="1" applyBorder="1" applyAlignment="1">
      <alignment horizontal="left"/>
    </xf>
    <xf numFmtId="0" fontId="28" fillId="4" borderId="8" xfId="0" applyFont="1" applyFill="1" applyBorder="1" applyAlignment="1">
      <alignment horizontal="left"/>
    </xf>
    <xf numFmtId="3" fontId="28" fillId="4" borderId="12" xfId="12" applyNumberFormat="1" applyFont="1" applyFill="1" applyBorder="1"/>
    <xf numFmtId="3" fontId="28" fillId="4" borderId="11" xfId="12" applyNumberFormat="1" applyFont="1" applyFill="1" applyBorder="1"/>
    <xf numFmtId="3" fontId="28" fillId="4" borderId="13" xfId="12" applyNumberFormat="1" applyFont="1" applyFill="1" applyBorder="1"/>
    <xf numFmtId="171" fontId="28" fillId="8" borderId="0" xfId="0" applyNumberFormat="1" applyFont="1" applyFill="1"/>
    <xf numFmtId="175" fontId="28" fillId="4" borderId="17" xfId="4" applyNumberFormat="1" applyFont="1" applyFill="1" applyBorder="1" applyAlignment="1">
      <alignment horizontal="center"/>
    </xf>
    <xf numFmtId="172" fontId="28" fillId="4" borderId="3" xfId="0" applyNumberFormat="1" applyFont="1" applyFill="1" applyBorder="1"/>
    <xf numFmtId="172" fontId="33" fillId="4" borderId="3" xfId="0" applyNumberFormat="1" applyFont="1" applyFill="1" applyBorder="1"/>
    <xf numFmtId="176" fontId="28" fillId="4" borderId="0" xfId="4" applyNumberFormat="1" applyFont="1" applyFill="1"/>
    <xf numFmtId="175" fontId="28" fillId="7" borderId="14" xfId="4" applyNumberFormat="1" applyFont="1" applyFill="1" applyBorder="1" applyAlignment="1">
      <alignment horizontal="center"/>
    </xf>
    <xf numFmtId="0" fontId="28" fillId="8" borderId="0" xfId="0" quotePrefix="1" applyFont="1" applyFill="1" applyBorder="1" applyAlignment="1"/>
    <xf numFmtId="10" fontId="28" fillId="4" borderId="9" xfId="12" applyNumberFormat="1" applyFont="1" applyFill="1" applyBorder="1"/>
    <xf numFmtId="2" fontId="28" fillId="4" borderId="8" xfId="13" applyNumberFormat="1" applyFont="1" applyFill="1" applyBorder="1"/>
    <xf numFmtId="2" fontId="28" fillId="4" borderId="0" xfId="13" applyNumberFormat="1" applyFont="1" applyFill="1" applyBorder="1"/>
    <xf numFmtId="2" fontId="28" fillId="4" borderId="9" xfId="13" applyNumberFormat="1" applyFont="1" applyFill="1" applyBorder="1"/>
    <xf numFmtId="2" fontId="28" fillId="4" borderId="10" xfId="13" applyNumberFormat="1" applyFont="1" applyFill="1" applyBorder="1"/>
    <xf numFmtId="43" fontId="28" fillId="4" borderId="0" xfId="4" applyFont="1" applyFill="1"/>
    <xf numFmtId="0" fontId="28" fillId="4" borderId="3" xfId="0" applyFont="1" applyFill="1" applyBorder="1"/>
    <xf numFmtId="43" fontId="28" fillId="4" borderId="5" xfId="4" applyNumberFormat="1" applyFont="1" applyFill="1" applyBorder="1"/>
    <xf numFmtId="2" fontId="28" fillId="4" borderId="0" xfId="13" applyNumberFormat="1" applyFont="1" applyFill="1" applyBorder="1"/>
    <xf numFmtId="43" fontId="28" fillId="4" borderId="4" xfId="4" applyNumberFormat="1" applyFont="1" applyFill="1" applyBorder="1"/>
    <xf numFmtId="2" fontId="28" fillId="4" borderId="4" xfId="13" applyNumberFormat="1" applyFont="1" applyFill="1" applyBorder="1"/>
    <xf numFmtId="2" fontId="28" fillId="4" borderId="5" xfId="13" applyNumberFormat="1" applyFont="1" applyFill="1" applyBorder="1"/>
    <xf numFmtId="2" fontId="28" fillId="4" borderId="3" xfId="13" applyNumberFormat="1" applyFont="1" applyFill="1" applyBorder="1"/>
    <xf numFmtId="43" fontId="28" fillId="4" borderId="3" xfId="4" applyNumberFormat="1" applyFont="1" applyFill="1" applyBorder="1"/>
    <xf numFmtId="43" fontId="43" fillId="10" borderId="5" xfId="4" applyFont="1" applyFill="1" applyBorder="1"/>
    <xf numFmtId="178" fontId="28" fillId="8" borderId="0" xfId="0" quotePrefix="1" applyNumberFormat="1" applyFont="1" applyFill="1" applyAlignment="1">
      <alignment horizontal="right"/>
    </xf>
    <xf numFmtId="164" fontId="28" fillId="8" borderId="0" xfId="0" applyNumberFormat="1" applyFont="1" applyFill="1"/>
    <xf numFmtId="43" fontId="27" fillId="6" borderId="14" xfId="4" applyNumberFormat="1" applyFont="1" applyFill="1" applyBorder="1" applyAlignment="1">
      <alignment horizontal="center" vertical="top" wrapText="1"/>
    </xf>
    <xf numFmtId="2" fontId="27" fillId="6" borderId="14" xfId="0" applyNumberFormat="1" applyFont="1" applyFill="1" applyBorder="1" applyAlignment="1">
      <alignment horizontal="center" vertical="top" wrapText="1"/>
    </xf>
    <xf numFmtId="43" fontId="27" fillId="10" borderId="14" xfId="4" applyFont="1" applyFill="1" applyBorder="1" applyAlignment="1">
      <alignment horizontal="center"/>
    </xf>
    <xf numFmtId="0" fontId="28" fillId="8" borderId="0" xfId="0" applyFont="1" applyFill="1" applyBorder="1"/>
    <xf numFmtId="0" fontId="28" fillId="8" borderId="0" xfId="0" applyFont="1" applyFill="1" applyBorder="1" applyAlignment="1">
      <alignment horizontal="left"/>
    </xf>
    <xf numFmtId="43" fontId="28" fillId="4" borderId="14" xfId="4" applyFont="1" applyFill="1" applyBorder="1"/>
    <xf numFmtId="43" fontId="28" fillId="4" borderId="14" xfId="4" applyFont="1" applyFill="1" applyBorder="1"/>
    <xf numFmtId="43" fontId="43" fillId="4" borderId="5" xfId="4" applyFont="1" applyFill="1" applyBorder="1"/>
    <xf numFmtId="43" fontId="28" fillId="2" borderId="14" xfId="4" applyFont="1" applyFill="1" applyBorder="1"/>
    <xf numFmtId="43" fontId="28" fillId="4" borderId="9" xfId="4" applyNumberFormat="1" applyFont="1" applyFill="1" applyBorder="1"/>
    <xf numFmtId="43" fontId="28" fillId="4" borderId="5" xfId="4" applyFont="1" applyFill="1" applyBorder="1" applyAlignment="1">
      <alignment horizontal="center"/>
    </xf>
    <xf numFmtId="43" fontId="28" fillId="4" borderId="4" xfId="4" applyFont="1" applyFill="1" applyBorder="1" applyAlignment="1">
      <alignment horizontal="center"/>
    </xf>
    <xf numFmtId="43" fontId="28" fillId="4" borderId="3" xfId="4" applyFont="1" applyFill="1" applyBorder="1" applyAlignment="1">
      <alignment horizontal="center"/>
    </xf>
    <xf numFmtId="175" fontId="28" fillId="4" borderId="11" xfId="4" applyNumberFormat="1" applyFont="1" applyFill="1" applyBorder="1"/>
    <xf numFmtId="175" fontId="28" fillId="4" borderId="12" xfId="4" applyNumberFormat="1" applyFont="1" applyFill="1" applyBorder="1"/>
    <xf numFmtId="175" fontId="28" fillId="4" borderId="13" xfId="4" applyNumberFormat="1" applyFont="1" applyFill="1" applyBorder="1"/>
    <xf numFmtId="175" fontId="28" fillId="3" borderId="5" xfId="4" applyNumberFormat="1" applyFont="1" applyFill="1" applyBorder="1"/>
    <xf numFmtId="171" fontId="10" fillId="8" borderId="14" xfId="0" applyNumberFormat="1" applyFont="1" applyFill="1" applyBorder="1"/>
    <xf numFmtId="167" fontId="10" fillId="7" borderId="14" xfId="0" applyNumberFormat="1" applyFont="1" applyFill="1" applyBorder="1"/>
    <xf numFmtId="164" fontId="28" fillId="4" borderId="0" xfId="0" applyNumberFormat="1" applyFont="1" applyFill="1"/>
    <xf numFmtId="43" fontId="28" fillId="4" borderId="14" xfId="4" applyNumberFormat="1" applyFont="1" applyFill="1" applyBorder="1" applyAlignment="1">
      <alignment horizontal="right"/>
    </xf>
    <xf numFmtId="9" fontId="27" fillId="6" borderId="14" xfId="12" applyFont="1" applyFill="1" applyBorder="1" applyAlignment="1">
      <alignment horizontal="center"/>
    </xf>
    <xf numFmtId="0" fontId="28" fillId="4" borderId="0" xfId="0" applyFont="1" applyFill="1"/>
    <xf numFmtId="4" fontId="28" fillId="4" borderId="0" xfId="0" applyNumberFormat="1" applyFont="1" applyFill="1"/>
    <xf numFmtId="2" fontId="28" fillId="4" borderId="5" xfId="0" applyNumberFormat="1" applyFont="1" applyFill="1" applyBorder="1"/>
    <xf numFmtId="2" fontId="28" fillId="4" borderId="14" xfId="0" applyNumberFormat="1" applyFont="1" applyFill="1" applyBorder="1"/>
    <xf numFmtId="169" fontId="28" fillId="4" borderId="0" xfId="11" applyNumberFormat="1" applyFont="1" applyFill="1" applyAlignment="1">
      <alignment vertical="center"/>
    </xf>
    <xf numFmtId="4" fontId="28" fillId="4" borderId="0" xfId="12" applyNumberFormat="1" applyFont="1" applyFill="1" applyBorder="1"/>
    <xf numFmtId="4" fontId="28" fillId="4" borderId="5" xfId="12" applyNumberFormat="1" applyFont="1" applyFill="1" applyBorder="1"/>
    <xf numFmtId="0" fontId="28" fillId="8" borderId="0" xfId="0" applyFont="1" applyFill="1"/>
    <xf numFmtId="0" fontId="28" fillId="8" borderId="0" xfId="0" applyFont="1" applyFill="1" applyBorder="1"/>
    <xf numFmtId="10" fontId="28" fillId="7" borderId="14" xfId="0" applyNumberFormat="1" applyFont="1" applyFill="1" applyBorder="1" applyAlignment="1">
      <alignment horizontal="center"/>
    </xf>
    <xf numFmtId="177" fontId="28" fillId="4" borderId="0" xfId="4" applyNumberFormat="1" applyFont="1" applyFill="1" applyBorder="1"/>
    <xf numFmtId="175" fontId="28" fillId="4" borderId="0" xfId="4" applyNumberFormat="1" applyFont="1" applyFill="1" applyBorder="1"/>
    <xf numFmtId="175" fontId="28" fillId="4" borderId="3" xfId="4" applyNumberFormat="1" applyFont="1" applyFill="1" applyBorder="1"/>
    <xf numFmtId="175" fontId="28" fillId="4" borderId="0" xfId="0" applyNumberFormat="1" applyFont="1" applyFill="1"/>
    <xf numFmtId="175" fontId="28" fillId="8" borderId="0" xfId="0" applyNumberFormat="1" applyFont="1" applyFill="1"/>
    <xf numFmtId="175" fontId="38" fillId="8" borderId="0" xfId="0" applyNumberFormat="1" applyFont="1" applyFill="1"/>
    <xf numFmtId="43" fontId="38" fillId="8" borderId="0" xfId="4" applyFont="1" applyFill="1"/>
    <xf numFmtId="43" fontId="28" fillId="4" borderId="0" xfId="15" applyNumberFormat="1" applyFont="1" applyFill="1"/>
    <xf numFmtId="176" fontId="5" fillId="4" borderId="0" xfId="14" applyNumberFormat="1" applyFont="1" applyFill="1" applyBorder="1" applyAlignment="1">
      <alignment horizontal="left"/>
    </xf>
    <xf numFmtId="0" fontId="27" fillId="6" borderId="4" xfId="0" applyFont="1" applyFill="1" applyBorder="1" applyAlignment="1">
      <alignment horizontal="center" vertical="center" wrapText="1"/>
    </xf>
    <xf numFmtId="9" fontId="27" fillId="6" borderId="5" xfId="12" applyFont="1" applyFill="1" applyBorder="1" applyAlignment="1">
      <alignment horizontal="center"/>
    </xf>
    <xf numFmtId="10" fontId="27" fillId="6" borderId="14" xfId="12" applyNumberFormat="1" applyFont="1" applyFill="1" applyBorder="1" applyAlignment="1">
      <alignment vertical="center"/>
    </xf>
    <xf numFmtId="43" fontId="27" fillId="6" borderId="14" xfId="4" applyNumberFormat="1" applyFont="1" applyFill="1" applyBorder="1" applyAlignment="1">
      <alignment horizontal="center" vertical="center" wrapText="1"/>
    </xf>
    <xf numFmtId="43" fontId="27" fillId="6" borderId="14" xfId="4" quotePrefix="1" applyFont="1" applyFill="1" applyBorder="1" applyAlignment="1">
      <alignment horizontal="center" vertical="center" wrapText="1"/>
    </xf>
    <xf numFmtId="0" fontId="27" fillId="6" borderId="14" xfId="15" quotePrefix="1" applyFont="1" applyFill="1" applyBorder="1" applyAlignment="1">
      <alignment horizontal="center" vertical="center" wrapText="1"/>
    </xf>
    <xf numFmtId="43" fontId="28" fillId="4" borderId="5" xfId="4" applyFont="1" applyFill="1" applyBorder="1"/>
    <xf numFmtId="175" fontId="28" fillId="4" borderId="0" xfId="4" applyNumberFormat="1" applyFont="1" applyFill="1" applyBorder="1" applyAlignment="1">
      <alignment horizontal="center"/>
    </xf>
    <xf numFmtId="175" fontId="28" fillId="4" borderId="4" xfId="4" applyNumberFormat="1" applyFont="1" applyFill="1" applyBorder="1" applyAlignment="1">
      <alignment horizontal="center"/>
    </xf>
    <xf numFmtId="175" fontId="28" fillId="4" borderId="5" xfId="4" applyNumberFormat="1" applyFont="1" applyFill="1" applyBorder="1" applyAlignment="1">
      <alignment horizontal="center"/>
    </xf>
    <xf numFmtId="175" fontId="28" fillId="0" borderId="0" xfId="4" applyNumberFormat="1" applyFont="1" applyFill="1" applyBorder="1"/>
    <xf numFmtId="175" fontId="28" fillId="4" borderId="0" xfId="4" applyNumberFormat="1" applyFont="1" applyFill="1" applyBorder="1"/>
    <xf numFmtId="175" fontId="28" fillId="4" borderId="15" xfId="4" applyNumberFormat="1" applyFont="1" applyFill="1" applyBorder="1"/>
    <xf numFmtId="175" fontId="28" fillId="4" borderId="16" xfId="4" applyNumberFormat="1" applyFont="1" applyFill="1" applyBorder="1"/>
    <xf numFmtId="43" fontId="43" fillId="10" borderId="14" xfId="4" applyFont="1" applyFill="1" applyBorder="1"/>
    <xf numFmtId="43" fontId="28" fillId="4" borderId="0" xfId="4" applyFont="1" applyFill="1"/>
    <xf numFmtId="43" fontId="28" fillId="4" borderId="5" xfId="4" applyFont="1" applyFill="1" applyBorder="1"/>
    <xf numFmtId="43" fontId="28" fillId="4" borderId="3" xfId="4" applyFont="1" applyFill="1" applyBorder="1"/>
    <xf numFmtId="43" fontId="28" fillId="2" borderId="0" xfId="4" applyFont="1" applyFill="1" applyBorder="1"/>
    <xf numFmtId="43" fontId="28" fillId="4" borderId="0" xfId="4" applyFont="1" applyFill="1" applyBorder="1"/>
    <xf numFmtId="43" fontId="28" fillId="4" borderId="13" xfId="4" applyFont="1" applyFill="1" applyBorder="1"/>
    <xf numFmtId="43" fontId="28" fillId="4" borderId="9" xfId="4" applyFont="1" applyFill="1" applyBorder="1"/>
    <xf numFmtId="43" fontId="28" fillId="4" borderId="8" xfId="4" applyFont="1" applyFill="1" applyBorder="1"/>
    <xf numFmtId="43" fontId="43" fillId="4" borderId="0" xfId="4" applyFont="1" applyFill="1" applyBorder="1"/>
    <xf numFmtId="43" fontId="28" fillId="4" borderId="10" xfId="4" applyFont="1" applyFill="1" applyBorder="1"/>
    <xf numFmtId="43" fontId="28" fillId="4" borderId="4" xfId="4" applyFont="1" applyFill="1" applyBorder="1" applyAlignment="1">
      <alignment horizontal="center" vertical="top" wrapText="1"/>
    </xf>
    <xf numFmtId="43" fontId="28" fillId="4" borderId="5" xfId="4" applyFont="1" applyFill="1" applyBorder="1" applyAlignment="1">
      <alignment horizontal="center" vertical="top" wrapText="1"/>
    </xf>
    <xf numFmtId="43" fontId="28" fillId="4" borderId="3" xfId="4" applyFont="1" applyFill="1" applyBorder="1" applyAlignment="1">
      <alignment horizontal="center" vertical="top" wrapText="1"/>
    </xf>
    <xf numFmtId="170" fontId="28" fillId="7" borderId="14" xfId="0" applyNumberFormat="1" applyFont="1" applyFill="1" applyBorder="1" applyAlignment="1">
      <alignment horizontal="right" vertical="top" wrapText="1"/>
    </xf>
    <xf numFmtId="170" fontId="28" fillId="8" borderId="14" xfId="0" applyNumberFormat="1" applyFont="1" applyFill="1" applyBorder="1"/>
    <xf numFmtId="0" fontId="31" fillId="8" borderId="0" xfId="0" applyFont="1" applyFill="1" applyAlignment="1">
      <alignment vertical="center" wrapText="1"/>
    </xf>
    <xf numFmtId="9" fontId="27" fillId="6" borderId="14" xfId="0" applyNumberFormat="1" applyFont="1" applyFill="1" applyBorder="1" applyAlignment="1">
      <alignment horizontal="center"/>
    </xf>
    <xf numFmtId="180" fontId="28" fillId="4" borderId="5" xfId="12" applyNumberFormat="1" applyFont="1" applyFill="1" applyBorder="1"/>
    <xf numFmtId="175" fontId="27" fillId="33" borderId="4" xfId="4" applyNumberFormat="1" applyFont="1" applyFill="1" applyBorder="1" applyAlignment="1">
      <alignment horizontal="center" vertical="center" wrapText="1"/>
    </xf>
    <xf numFmtId="0" fontId="28" fillId="32" borderId="0" xfId="0" applyFont="1" applyFill="1" applyBorder="1" applyAlignment="1">
      <alignment horizontal="left"/>
    </xf>
    <xf numFmtId="43" fontId="28" fillId="8" borderId="9" xfId="4" applyFont="1" applyFill="1" applyBorder="1"/>
    <xf numFmtId="43" fontId="28" fillId="35" borderId="9" xfId="4" applyFont="1" applyFill="1" applyBorder="1"/>
    <xf numFmtId="175" fontId="38" fillId="4" borderId="0" xfId="4" applyNumberFormat="1" applyFont="1" applyFill="1" applyAlignment="1">
      <alignment horizontal="center"/>
    </xf>
    <xf numFmtId="0" fontId="40" fillId="4" borderId="0" xfId="0" applyFont="1" applyFill="1" applyAlignment="1">
      <alignment wrapText="1"/>
    </xf>
    <xf numFmtId="0" fontId="38" fillId="4" borderId="0" xfId="0" applyFont="1" applyFill="1" applyAlignment="1">
      <alignment wrapText="1"/>
    </xf>
    <xf numFmtId="175" fontId="38" fillId="3" borderId="0" xfId="4" applyNumberFormat="1" applyFont="1" applyFill="1" applyAlignment="1">
      <alignment wrapText="1"/>
    </xf>
    <xf numFmtId="175" fontId="38" fillId="4" borderId="0" xfId="4" applyNumberFormat="1" applyFont="1" applyFill="1" applyAlignment="1">
      <alignment wrapText="1"/>
    </xf>
    <xf numFmtId="0" fontId="40" fillId="3" borderId="28" xfId="0" applyFont="1" applyFill="1" applyBorder="1" applyAlignment="1">
      <alignment horizontal="center" vertical="center" wrapText="1"/>
    </xf>
    <xf numFmtId="0" fontId="38" fillId="3" borderId="28" xfId="0" applyFont="1" applyFill="1" applyBorder="1" applyAlignment="1">
      <alignment horizontal="center" vertical="center" wrapText="1"/>
    </xf>
    <xf numFmtId="175" fontId="38" fillId="3" borderId="29" xfId="4" applyNumberFormat="1" applyFont="1" applyFill="1" applyBorder="1" applyAlignment="1">
      <alignment horizontal="center" vertical="center" wrapText="1"/>
    </xf>
    <xf numFmtId="0" fontId="38" fillId="3" borderId="30" xfId="0" applyFont="1" applyFill="1" applyBorder="1"/>
    <xf numFmtId="175" fontId="38" fillId="34" borderId="30" xfId="0" applyNumberFormat="1" applyFont="1" applyFill="1" applyBorder="1"/>
    <xf numFmtId="175" fontId="38" fillId="34" borderId="30" xfId="4" applyNumberFormat="1" applyFont="1" applyFill="1" applyBorder="1"/>
    <xf numFmtId="175" fontId="38" fillId="34" borderId="0" xfId="4" applyNumberFormat="1" applyFont="1" applyFill="1"/>
    <xf numFmtId="175" fontId="38" fillId="34" borderId="31" xfId="0" applyNumberFormat="1" applyFont="1" applyFill="1" applyBorder="1"/>
    <xf numFmtId="175" fontId="38" fillId="34" borderId="32" xfId="4" applyNumberFormat="1" applyFont="1" applyFill="1" applyBorder="1"/>
    <xf numFmtId="175" fontId="38" fillId="34" borderId="16" xfId="4" applyNumberFormat="1" applyFont="1" applyFill="1" applyBorder="1"/>
    <xf numFmtId="0" fontId="65" fillId="4" borderId="0" xfId="0" applyFont="1" applyFill="1" applyAlignment="1">
      <alignment horizontal="right"/>
    </xf>
    <xf numFmtId="0" fontId="30" fillId="4" borderId="0" xfId="0" applyFont="1" applyFill="1" applyAlignment="1">
      <alignment horizontal="left" vertical="center"/>
    </xf>
    <xf numFmtId="175" fontId="30" fillId="4" borderId="0" xfId="4" applyNumberFormat="1" applyFont="1" applyFill="1" applyAlignment="1">
      <alignment vertical="center"/>
    </xf>
    <xf numFmtId="0" fontId="30" fillId="4" borderId="0" xfId="0" applyFont="1" applyFill="1" applyAlignment="1">
      <alignment vertical="center"/>
    </xf>
    <xf numFmtId="167" fontId="27" fillId="6" borderId="14" xfId="12" applyNumberFormat="1" applyFont="1" applyFill="1" applyBorder="1" applyAlignment="1">
      <alignment horizontal="center" vertical="center" wrapText="1"/>
    </xf>
    <xf numFmtId="3" fontId="33" fillId="4" borderId="9" xfId="0" applyNumberFormat="1" applyFont="1" applyFill="1" applyBorder="1"/>
    <xf numFmtId="175" fontId="33" fillId="4" borderId="14" xfId="4" applyNumberFormat="1" applyFont="1" applyFill="1" applyBorder="1"/>
    <xf numFmtId="175" fontId="33" fillId="5" borderId="14" xfId="4" applyNumberFormat="1" applyFont="1" applyFill="1" applyBorder="1"/>
    <xf numFmtId="175" fontId="33" fillId="4" borderId="0" xfId="4" applyNumberFormat="1" applyFont="1" applyFill="1" applyBorder="1"/>
    <xf numFmtId="175" fontId="0" fillId="4" borderId="0" xfId="4" applyNumberFormat="1" applyFont="1" applyFill="1"/>
    <xf numFmtId="0" fontId="0" fillId="4" borderId="0" xfId="0" applyFill="1"/>
    <xf numFmtId="175" fontId="27" fillId="33" borderId="14" xfId="4" applyNumberFormat="1" applyFont="1" applyFill="1" applyBorder="1" applyAlignment="1">
      <alignment horizontal="center" vertical="center" wrapText="1"/>
    </xf>
    <xf numFmtId="181" fontId="33" fillId="4" borderId="0" xfId="0" applyNumberFormat="1" applyFont="1" applyFill="1"/>
    <xf numFmtId="3" fontId="28" fillId="4" borderId="0" xfId="15" applyNumberFormat="1" applyFont="1" applyFill="1" applyBorder="1"/>
    <xf numFmtId="0" fontId="28" fillId="4" borderId="4" xfId="0" applyFont="1" applyFill="1" applyBorder="1" applyAlignment="1">
      <alignment horizontal="left"/>
    </xf>
    <xf numFmtId="0" fontId="28" fillId="4" borderId="5" xfId="0" applyFont="1" applyFill="1" applyBorder="1" applyAlignment="1">
      <alignment horizontal="left"/>
    </xf>
    <xf numFmtId="0" fontId="27" fillId="6" borderId="14" xfId="0" applyFont="1" applyFill="1" applyBorder="1" applyAlignment="1">
      <alignment horizontal="center" vertical="center" wrapText="1"/>
    </xf>
    <xf numFmtId="167" fontId="27" fillId="6" borderId="3" xfId="12" applyNumberFormat="1" applyFont="1" applyFill="1" applyBorder="1" applyAlignment="1">
      <alignment horizontal="center" vertical="center" wrapText="1"/>
    </xf>
    <xf numFmtId="167" fontId="27" fillId="6" borderId="5" xfId="12" applyNumberFormat="1" applyFont="1" applyFill="1" applyBorder="1" applyAlignment="1">
      <alignment horizontal="center" vertical="center" wrapText="1"/>
    </xf>
    <xf numFmtId="0" fontId="28" fillId="8" borderId="14" xfId="0" applyNumberFormat="1" applyFont="1" applyFill="1" applyBorder="1"/>
    <xf numFmtId="0" fontId="27" fillId="6" borderId="14" xfId="0" applyFont="1" applyFill="1" applyBorder="1" applyAlignment="1">
      <alignment horizontal="center" vertical="center"/>
    </xf>
    <xf numFmtId="0" fontId="30" fillId="4" borderId="0" xfId="11" applyFont="1" applyFill="1" applyAlignment="1">
      <alignment vertical="center"/>
    </xf>
    <xf numFmtId="43" fontId="30" fillId="4" borderId="0" xfId="4" applyFont="1" applyFill="1" applyAlignment="1">
      <alignment vertical="center"/>
    </xf>
    <xf numFmtId="3" fontId="28" fillId="36" borderId="5" xfId="12" applyNumberFormat="1" applyFont="1" applyFill="1" applyBorder="1"/>
    <xf numFmtId="3" fontId="28" fillId="36" borderId="7" xfId="12" applyNumberFormat="1" applyFont="1" applyFill="1" applyBorder="1"/>
    <xf numFmtId="3" fontId="28" fillId="34" borderId="5" xfId="12" applyNumberFormat="1" applyFont="1" applyFill="1" applyBorder="1"/>
    <xf numFmtId="175" fontId="28" fillId="34" borderId="5" xfId="4" applyNumberFormat="1" applyFont="1" applyFill="1" applyBorder="1"/>
    <xf numFmtId="175" fontId="28" fillId="34" borderId="14" xfId="4" applyNumberFormat="1" applyFont="1" applyFill="1" applyBorder="1"/>
    <xf numFmtId="175" fontId="28" fillId="34" borderId="7" xfId="4" applyNumberFormat="1" applyFont="1" applyFill="1" applyBorder="1"/>
    <xf numFmtId="3" fontId="28" fillId="34" borderId="14" xfId="12" applyNumberFormat="1" applyFont="1" applyFill="1" applyBorder="1"/>
    <xf numFmtId="175" fontId="33" fillId="34" borderId="5" xfId="4" applyNumberFormat="1" applyFont="1" applyFill="1" applyBorder="1"/>
    <xf numFmtId="175" fontId="33" fillId="34" borderId="14" xfId="4" applyNumberFormat="1" applyFont="1" applyFill="1" applyBorder="1"/>
    <xf numFmtId="175" fontId="33" fillId="34" borderId="0" xfId="4" applyNumberFormat="1" applyFont="1" applyFill="1"/>
    <xf numFmtId="43" fontId="43" fillId="4" borderId="5" xfId="4" applyFont="1" applyFill="1" applyBorder="1" applyAlignment="1">
      <alignment horizontal="center"/>
    </xf>
    <xf numFmtId="43" fontId="38" fillId="34" borderId="0" xfId="4" applyFont="1" applyFill="1" applyBorder="1" applyAlignment="1" applyProtection="1">
      <alignment vertical="center"/>
      <protection locked="0"/>
    </xf>
    <xf numFmtId="43" fontId="38" fillId="34" borderId="0" xfId="4" applyFont="1" applyFill="1" applyBorder="1" applyAlignment="1" applyProtection="1">
      <alignment vertical="center" wrapText="1"/>
      <protection locked="0"/>
    </xf>
    <xf numFmtId="0" fontId="38" fillId="4" borderId="0" xfId="668" applyFont="1" applyFill="1" applyAlignment="1" applyProtection="1">
      <alignment horizontal="left" vertical="top"/>
      <protection locked="0"/>
    </xf>
    <xf numFmtId="0" fontId="28" fillId="37" borderId="0" xfId="18" applyFont="1" applyFill="1" applyProtection="1"/>
    <xf numFmtId="0" fontId="34" fillId="37" borderId="0" xfId="18" applyFont="1" applyFill="1" applyProtection="1"/>
    <xf numFmtId="0" fontId="38" fillId="37" borderId="0" xfId="18" applyFont="1" applyFill="1" applyAlignment="1" applyProtection="1">
      <alignment horizontal="right"/>
    </xf>
    <xf numFmtId="0" fontId="35" fillId="37" borderId="0" xfId="18" applyFont="1" applyFill="1" applyProtection="1"/>
    <xf numFmtId="0" fontId="35" fillId="37" borderId="0" xfId="18" applyFont="1" applyFill="1" applyAlignment="1" applyProtection="1">
      <alignment horizontal="right"/>
    </xf>
    <xf numFmtId="0" fontId="38" fillId="37" borderId="0" xfId="18" applyFont="1" applyFill="1" applyProtection="1"/>
    <xf numFmtId="0" fontId="71" fillId="4" borderId="0" xfId="668" applyFont="1" applyFill="1" applyAlignment="1" applyProtection="1">
      <alignment horizontal="left" vertical="top" wrapText="1"/>
    </xf>
    <xf numFmtId="0" fontId="71" fillId="4" borderId="0" xfId="668" applyFont="1" applyFill="1" applyAlignment="1" applyProtection="1">
      <alignment horizontal="left" vertical="top"/>
    </xf>
    <xf numFmtId="0" fontId="38" fillId="4" borderId="0" xfId="18" applyFont="1" applyFill="1" applyProtection="1"/>
    <xf numFmtId="0" fontId="38" fillId="4" borderId="0" xfId="18" applyFont="1" applyFill="1" applyAlignment="1" applyProtection="1">
      <alignment horizontal="right"/>
    </xf>
    <xf numFmtId="0" fontId="39" fillId="6" borderId="17" xfId="18" applyFont="1" applyFill="1" applyBorder="1" applyProtection="1"/>
    <xf numFmtId="0" fontId="27" fillId="6" borderId="6" xfId="18" applyFont="1" applyFill="1" applyBorder="1" applyProtection="1"/>
    <xf numFmtId="0" fontId="69" fillId="6" borderId="6" xfId="18" applyFont="1" applyFill="1" applyBorder="1" applyAlignment="1" applyProtection="1">
      <alignment horizontal="center"/>
    </xf>
    <xf numFmtId="0" fontId="69" fillId="6" borderId="7" xfId="18" applyFont="1" applyFill="1" applyBorder="1" applyAlignment="1" applyProtection="1">
      <alignment horizontal="center"/>
    </xf>
    <xf numFmtId="0" fontId="38" fillId="37" borderId="0" xfId="18" applyFont="1" applyFill="1" applyAlignment="1" applyProtection="1">
      <alignment vertical="center"/>
    </xf>
    <xf numFmtId="0" fontId="71" fillId="4" borderId="0" xfId="668" applyFont="1" applyFill="1" applyAlignment="1" applyProtection="1">
      <alignment horizontal="left" vertical="center" wrapText="1"/>
    </xf>
    <xf numFmtId="0" fontId="71" fillId="4" borderId="0" xfId="668" applyFont="1" applyFill="1" applyAlignment="1" applyProtection="1">
      <alignment horizontal="left" vertical="center"/>
    </xf>
    <xf numFmtId="43" fontId="38" fillId="4" borderId="0" xfId="4" applyFont="1" applyFill="1" applyBorder="1" applyAlignment="1" applyProtection="1">
      <alignment vertical="center"/>
    </xf>
    <xf numFmtId="0" fontId="72" fillId="4" borderId="0" xfId="668" applyFont="1" applyFill="1" applyAlignment="1" applyProtection="1">
      <alignment horizontal="left" vertical="center"/>
    </xf>
    <xf numFmtId="43" fontId="40" fillId="4" borderId="0" xfId="4" applyFont="1" applyFill="1" applyBorder="1" applyAlignment="1" applyProtection="1">
      <alignment vertical="center"/>
    </xf>
    <xf numFmtId="43" fontId="73" fillId="4" borderId="0" xfId="4" applyFont="1" applyFill="1" applyBorder="1" applyAlignment="1" applyProtection="1">
      <alignment vertical="center"/>
    </xf>
    <xf numFmtId="0" fontId="28" fillId="37" borderId="0" xfId="18" applyFont="1" applyFill="1" applyAlignment="1" applyProtection="1">
      <alignment vertical="center"/>
    </xf>
    <xf numFmtId="0" fontId="39" fillId="6" borderId="17" xfId="18" applyFont="1" applyFill="1" applyBorder="1" applyAlignment="1" applyProtection="1">
      <alignment vertical="center"/>
    </xf>
    <xf numFmtId="0" fontId="27" fillId="6" borderId="6" xfId="18" applyFont="1" applyFill="1" applyBorder="1" applyAlignment="1" applyProtection="1">
      <alignment vertical="center"/>
    </xf>
    <xf numFmtId="43" fontId="27" fillId="6" borderId="6" xfId="4" applyFont="1" applyFill="1" applyBorder="1" applyAlignment="1" applyProtection="1">
      <alignment vertical="center"/>
    </xf>
    <xf numFmtId="43" fontId="27" fillId="6" borderId="7" xfId="4" applyFont="1" applyFill="1" applyBorder="1" applyAlignment="1" applyProtection="1">
      <alignment vertical="center"/>
    </xf>
    <xf numFmtId="0" fontId="38" fillId="4" borderId="0" xfId="668" applyFont="1" applyFill="1" applyAlignment="1" applyProtection="1">
      <alignment horizontal="left" vertical="center" wrapText="1"/>
    </xf>
    <xf numFmtId="0" fontId="38" fillId="4" borderId="0" xfId="668" applyFont="1" applyFill="1" applyAlignment="1" applyProtection="1">
      <alignment horizontal="left" vertical="center"/>
    </xf>
    <xf numFmtId="0" fontId="38" fillId="4" borderId="0" xfId="18" applyFont="1" applyFill="1" applyAlignment="1" applyProtection="1">
      <alignment vertical="center"/>
    </xf>
    <xf numFmtId="175" fontId="38" fillId="4" borderId="0" xfId="4" applyNumberFormat="1" applyFont="1" applyFill="1" applyBorder="1" applyAlignment="1" applyProtection="1">
      <alignment vertical="center"/>
    </xf>
    <xf numFmtId="43" fontId="27" fillId="6" borderId="6" xfId="4" applyFont="1" applyFill="1" applyBorder="1" applyProtection="1"/>
    <xf numFmtId="43" fontId="27" fillId="6" borderId="7" xfId="4" applyFont="1" applyFill="1" applyBorder="1" applyProtection="1"/>
    <xf numFmtId="43" fontId="38" fillId="4" borderId="0" xfId="4" applyFont="1" applyFill="1" applyBorder="1" applyProtection="1"/>
    <xf numFmtId="183" fontId="38" fillId="4" borderId="0" xfId="668" applyNumberFormat="1" applyFont="1" applyFill="1" applyAlignment="1" applyProtection="1">
      <alignment horizontal="left" vertical="top" wrapText="1"/>
    </xf>
    <xf numFmtId="0" fontId="38" fillId="4" borderId="0" xfId="668" applyFont="1" applyFill="1" applyAlignment="1" applyProtection="1">
      <alignment horizontal="left" vertical="top"/>
    </xf>
    <xf numFmtId="0" fontId="38" fillId="4" borderId="0" xfId="668" applyFont="1" applyFill="1" applyAlignment="1" applyProtection="1">
      <alignment horizontal="left" vertical="top" wrapText="1"/>
    </xf>
    <xf numFmtId="0" fontId="75" fillId="4" borderId="0" xfId="668" applyFont="1" applyFill="1" applyAlignment="1" applyProtection="1">
      <alignment horizontal="left" vertical="top"/>
    </xf>
    <xf numFmtId="43" fontId="38" fillId="4" borderId="0" xfId="4" applyFont="1" applyFill="1" applyBorder="1" applyAlignment="1" applyProtection="1">
      <alignment horizontal="right"/>
      <protection locked="0"/>
    </xf>
    <xf numFmtId="172" fontId="0" fillId="4" borderId="0" xfId="0" applyNumberFormat="1" applyFill="1"/>
    <xf numFmtId="43" fontId="28" fillId="4" borderId="9" xfId="4" applyNumberFormat="1" applyFont="1" applyFill="1" applyBorder="1" applyAlignment="1">
      <alignment horizontal="center"/>
    </xf>
    <xf numFmtId="43" fontId="28" fillId="33" borderId="5" xfId="4" applyFont="1" applyFill="1" applyBorder="1" applyAlignment="1">
      <alignment horizontal="center"/>
    </xf>
    <xf numFmtId="3" fontId="28" fillId="8" borderId="17" xfId="0" applyNumberFormat="1" applyFont="1" applyFill="1" applyBorder="1" applyAlignment="1">
      <alignment horizontal="center"/>
    </xf>
    <xf numFmtId="3" fontId="28" fillId="8" borderId="6" xfId="0" applyNumberFormat="1" applyFont="1" applyFill="1" applyBorder="1" applyAlignment="1">
      <alignment horizontal="center"/>
    </xf>
    <xf numFmtId="3" fontId="28" fillId="8" borderId="7" xfId="0" applyNumberFormat="1" applyFont="1" applyFill="1" applyBorder="1" applyAlignment="1">
      <alignment horizontal="center"/>
    </xf>
    <xf numFmtId="0" fontId="28" fillId="8" borderId="17" xfId="0" applyFont="1" applyFill="1" applyBorder="1" applyAlignment="1">
      <alignment horizontal="center"/>
    </xf>
    <xf numFmtId="0" fontId="28" fillId="8" borderId="6" xfId="0" applyFont="1" applyFill="1" applyBorder="1" applyAlignment="1">
      <alignment horizontal="center"/>
    </xf>
    <xf numFmtId="0" fontId="28" fillId="8" borderId="7" xfId="0" applyFont="1" applyFill="1" applyBorder="1" applyAlignment="1">
      <alignment horizontal="center"/>
    </xf>
    <xf numFmtId="0" fontId="41" fillId="4" borderId="0" xfId="0" applyFont="1" applyFill="1" applyAlignment="1">
      <alignment horizontal="center"/>
    </xf>
    <xf numFmtId="15" fontId="36" fillId="9" borderId="0" xfId="0" applyNumberFormat="1" applyFont="1" applyFill="1" applyAlignment="1">
      <alignment horizontal="center"/>
    </xf>
    <xf numFmtId="0" fontId="66" fillId="4" borderId="0" xfId="0" applyFont="1" applyFill="1" applyAlignment="1">
      <alignment horizontal="left" vertical="top" wrapText="1"/>
    </xf>
    <xf numFmtId="0" fontId="38" fillId="4" borderId="33" xfId="668" applyFont="1" applyFill="1" applyBorder="1" applyAlignment="1" applyProtection="1">
      <alignment horizontal="left" vertical="top" wrapText="1"/>
      <protection locked="0"/>
    </xf>
    <xf numFmtId="43" fontId="38" fillId="4" borderId="33" xfId="4" applyFont="1" applyFill="1" applyBorder="1" applyAlignment="1" applyProtection="1">
      <alignment horizontal="left"/>
      <protection locked="0"/>
    </xf>
    <xf numFmtId="0" fontId="35" fillId="32" borderId="0" xfId="18" applyFont="1" applyFill="1" applyAlignment="1" applyProtection="1">
      <alignment horizontal="center"/>
      <protection locked="0"/>
    </xf>
    <xf numFmtId="0" fontId="76" fillId="4" borderId="0" xfId="18" applyFont="1" applyFill="1" applyAlignment="1" applyProtection="1">
      <alignment horizontal="center" vertical="center"/>
    </xf>
    <xf numFmtId="0" fontId="70" fillId="4" borderId="0" xfId="18" applyFont="1" applyFill="1" applyAlignment="1" applyProtection="1">
      <alignment horizontal="center"/>
    </xf>
    <xf numFmtId="0" fontId="38" fillId="4" borderId="0" xfId="668" applyFont="1" applyFill="1" applyAlignment="1" applyProtection="1">
      <alignment horizontal="left" vertical="top" wrapText="1"/>
    </xf>
    <xf numFmtId="182" fontId="38" fillId="4" borderId="0" xfId="668" applyNumberFormat="1" applyFont="1" applyFill="1" applyAlignment="1" applyProtection="1">
      <alignment horizontal="left" vertical="top" wrapText="1"/>
    </xf>
    <xf numFmtId="43" fontId="27" fillId="6" borderId="4" xfId="4" applyFont="1" applyFill="1" applyBorder="1" applyAlignment="1">
      <alignment horizontal="center" vertical="center" textRotation="90" wrapText="1"/>
    </xf>
    <xf numFmtId="43" fontId="27" fillId="6" borderId="3" xfId="4" applyFont="1" applyFill="1" applyBorder="1" applyAlignment="1">
      <alignment horizontal="center" vertical="center" textRotation="90" wrapText="1"/>
    </xf>
    <xf numFmtId="43" fontId="27" fillId="10" borderId="4" xfId="4" applyFont="1" applyFill="1" applyBorder="1" applyAlignment="1">
      <alignment horizontal="center" vertical="center" textRotation="90" wrapText="1"/>
    </xf>
    <xf numFmtId="43" fontId="27" fillId="10" borderId="3" xfId="4" applyFont="1" applyFill="1" applyBorder="1" applyAlignment="1">
      <alignment horizontal="center" vertical="center" textRotation="90" wrapText="1"/>
    </xf>
    <xf numFmtId="43" fontId="42" fillId="6" borderId="4" xfId="4" applyFont="1" applyFill="1" applyBorder="1" applyAlignment="1">
      <alignment horizontal="center" vertical="center" textRotation="90" wrapText="1"/>
    </xf>
    <xf numFmtId="43" fontId="42" fillId="6" borderId="3" xfId="4" applyFont="1" applyFill="1" applyBorder="1" applyAlignment="1">
      <alignment horizontal="center" vertical="center" textRotation="90" wrapText="1"/>
    </xf>
    <xf numFmtId="179" fontId="27" fillId="6" borderId="4" xfId="4" applyNumberFormat="1" applyFont="1" applyFill="1" applyBorder="1" applyAlignment="1">
      <alignment horizontal="center" vertical="center" wrapText="1"/>
    </xf>
    <xf numFmtId="179" fontId="27" fillId="6" borderId="5" xfId="4" applyNumberFormat="1" applyFont="1" applyFill="1" applyBorder="1" applyAlignment="1">
      <alignment horizontal="center" vertical="center" wrapText="1"/>
    </xf>
    <xf numFmtId="179" fontId="27" fillId="6" borderId="3" xfId="4" applyNumberFormat="1" applyFont="1" applyFill="1" applyBorder="1" applyAlignment="1">
      <alignment horizontal="center" vertical="center" wrapText="1"/>
    </xf>
    <xf numFmtId="43" fontId="27" fillId="6" borderId="8" xfId="4" applyFont="1" applyFill="1" applyBorder="1" applyAlignment="1">
      <alignment horizontal="center" vertical="center" wrapText="1"/>
    </xf>
    <xf numFmtId="43" fontId="27" fillId="6" borderId="9" xfId="4" applyFont="1" applyFill="1" applyBorder="1" applyAlignment="1">
      <alignment horizontal="center" vertical="center" wrapText="1"/>
    </xf>
    <xf numFmtId="43" fontId="27" fillId="6" borderId="10" xfId="4" applyFont="1" applyFill="1" applyBorder="1" applyAlignment="1">
      <alignment horizontal="center" vertical="center" wrapText="1"/>
    </xf>
    <xf numFmtId="43" fontId="27" fillId="6" borderId="5" xfId="4" applyFont="1" applyFill="1" applyBorder="1" applyAlignment="1">
      <alignment horizontal="center" vertical="center" textRotation="90" wrapText="1"/>
    </xf>
    <xf numFmtId="43" fontId="27" fillId="6" borderId="12" xfId="4" applyFont="1" applyFill="1" applyBorder="1" applyAlignment="1">
      <alignment horizontal="center" vertical="center" textRotation="90" wrapText="1"/>
    </xf>
    <xf numFmtId="43" fontId="27" fillId="6" borderId="13" xfId="4" applyFont="1" applyFill="1" applyBorder="1" applyAlignment="1">
      <alignment horizontal="center" vertical="center" textRotation="90" wrapText="1"/>
    </xf>
    <xf numFmtId="3" fontId="42" fillId="6" borderId="4" xfId="0" applyNumberFormat="1" applyFont="1" applyFill="1" applyBorder="1" applyAlignment="1">
      <alignment horizontal="center" vertical="center" textRotation="90" wrapText="1"/>
    </xf>
    <xf numFmtId="0" fontId="42" fillId="6" borderId="3" xfId="0" applyFont="1" applyFill="1" applyBorder="1" applyAlignment="1">
      <alignment horizontal="center" vertical="center" textRotation="90" wrapText="1"/>
    </xf>
    <xf numFmtId="0" fontId="27" fillId="6" borderId="4" xfId="0" applyNumberFormat="1" applyFont="1" applyFill="1" applyBorder="1" applyAlignment="1">
      <alignment horizontal="center" vertical="center" wrapText="1"/>
    </xf>
    <xf numFmtId="0" fontId="27" fillId="6" borderId="5" xfId="0" applyNumberFormat="1" applyFont="1" applyFill="1" applyBorder="1" applyAlignment="1">
      <alignment horizontal="center" vertical="center" wrapText="1"/>
    </xf>
    <xf numFmtId="0" fontId="27" fillId="6" borderId="3" xfId="0" applyNumberFormat="1" applyFont="1" applyFill="1" applyBorder="1" applyAlignment="1">
      <alignment horizontal="center" vertical="center" wrapText="1"/>
    </xf>
    <xf numFmtId="3" fontId="27" fillId="6" borderId="4" xfId="0" applyNumberFormat="1" applyFont="1" applyFill="1" applyBorder="1" applyAlignment="1">
      <alignment horizontal="center" vertical="center" wrapText="1"/>
    </xf>
    <xf numFmtId="3" fontId="27" fillId="6" borderId="5" xfId="0" applyNumberFormat="1" applyFont="1" applyFill="1" applyBorder="1" applyAlignment="1">
      <alignment horizontal="center" vertical="center" wrapText="1"/>
    </xf>
    <xf numFmtId="3" fontId="27" fillId="6" borderId="3" xfId="0" applyNumberFormat="1" applyFont="1" applyFill="1" applyBorder="1" applyAlignment="1">
      <alignment horizontal="center" vertical="center" wrapText="1"/>
    </xf>
    <xf numFmtId="175" fontId="27" fillId="6" borderId="4" xfId="4" applyNumberFormat="1" applyFont="1" applyFill="1" applyBorder="1" applyAlignment="1">
      <alignment horizontal="center" vertical="center" textRotation="90" wrapText="1"/>
    </xf>
    <xf numFmtId="175" fontId="27" fillId="6" borderId="5" xfId="4" applyNumberFormat="1" applyFont="1" applyFill="1" applyBorder="1" applyAlignment="1">
      <alignment horizontal="center" vertical="center" textRotation="90" wrapText="1"/>
    </xf>
    <xf numFmtId="175" fontId="27" fillId="6" borderId="3" xfId="4" applyNumberFormat="1" applyFont="1" applyFill="1" applyBorder="1" applyAlignment="1">
      <alignment horizontal="center" vertical="center" textRotation="90" wrapText="1"/>
    </xf>
    <xf numFmtId="3" fontId="27" fillId="6" borderId="4" xfId="0" applyNumberFormat="1" applyFont="1" applyFill="1" applyBorder="1" applyAlignment="1">
      <alignment horizontal="center" vertical="center" textRotation="90" wrapText="1"/>
    </xf>
    <xf numFmtId="3" fontId="27" fillId="6" borderId="3" xfId="0" applyNumberFormat="1" applyFont="1" applyFill="1" applyBorder="1" applyAlignment="1">
      <alignment horizontal="center" vertical="center" textRotation="90" wrapText="1"/>
    </xf>
    <xf numFmtId="4" fontId="27" fillId="6" borderId="4" xfId="0" applyNumberFormat="1" applyFont="1" applyFill="1" applyBorder="1" applyAlignment="1">
      <alignment horizontal="center" vertical="center" textRotation="90" wrapText="1"/>
    </xf>
    <xf numFmtId="4" fontId="27" fillId="6" borderId="5" xfId="0" applyNumberFormat="1" applyFont="1" applyFill="1" applyBorder="1" applyAlignment="1">
      <alignment horizontal="center" vertical="center" textRotation="90" wrapText="1"/>
    </xf>
    <xf numFmtId="4" fontId="27" fillId="6" borderId="3" xfId="0" applyNumberFormat="1" applyFont="1" applyFill="1" applyBorder="1" applyAlignment="1">
      <alignment horizontal="center" vertical="center" textRotation="90" wrapText="1"/>
    </xf>
    <xf numFmtId="175" fontId="27" fillId="6" borderId="4" xfId="4" applyNumberFormat="1" applyFont="1" applyFill="1" applyBorder="1" applyAlignment="1">
      <alignment horizontal="center" vertical="center" wrapText="1"/>
    </xf>
    <xf numFmtId="175" fontId="27" fillId="6" borderId="5" xfId="4" applyNumberFormat="1" applyFont="1" applyFill="1" applyBorder="1" applyAlignment="1">
      <alignment horizontal="center" vertical="center" wrapText="1"/>
    </xf>
    <xf numFmtId="175" fontId="27" fillId="6" borderId="3" xfId="4" applyNumberFormat="1" applyFont="1" applyFill="1" applyBorder="1" applyAlignment="1">
      <alignment horizontal="center" vertical="center" wrapText="1"/>
    </xf>
    <xf numFmtId="0" fontId="27" fillId="6" borderId="4" xfId="0" applyFont="1" applyFill="1" applyBorder="1" applyAlignment="1">
      <alignment horizontal="center" vertical="center" wrapText="1"/>
    </xf>
    <xf numFmtId="0" fontId="27" fillId="6" borderId="5" xfId="0" applyFont="1" applyFill="1" applyBorder="1" applyAlignment="1">
      <alignment horizontal="center" vertical="center" wrapText="1"/>
    </xf>
    <xf numFmtId="0" fontId="27" fillId="6" borderId="3" xfId="0" applyFont="1" applyFill="1" applyBorder="1" applyAlignment="1">
      <alignment horizontal="center" vertical="center" wrapText="1"/>
    </xf>
    <xf numFmtId="3" fontId="27" fillId="6" borderId="5" xfId="0" applyNumberFormat="1" applyFont="1" applyFill="1" applyBorder="1" applyAlignment="1">
      <alignment horizontal="center" vertical="center" textRotation="90" wrapText="1"/>
    </xf>
    <xf numFmtId="4" fontId="27" fillId="6" borderId="4" xfId="0" applyNumberFormat="1" applyFont="1" applyFill="1" applyBorder="1" applyAlignment="1">
      <alignment horizontal="center" vertical="center" wrapText="1"/>
    </xf>
    <xf numFmtId="4" fontId="27" fillId="6" borderId="3" xfId="0" applyNumberFormat="1" applyFont="1" applyFill="1" applyBorder="1" applyAlignment="1">
      <alignment horizontal="center" vertical="center" wrapText="1"/>
    </xf>
    <xf numFmtId="10" fontId="27" fillId="6" borderId="14" xfId="12" applyNumberFormat="1" applyFont="1" applyFill="1" applyBorder="1" applyAlignment="1">
      <alignment horizontal="center" vertical="center" wrapText="1"/>
    </xf>
    <xf numFmtId="0" fontId="27" fillId="6" borderId="17" xfId="0" applyFont="1" applyFill="1" applyBorder="1" applyAlignment="1">
      <alignment horizontal="center" vertical="center"/>
    </xf>
    <xf numFmtId="0" fontId="27" fillId="6" borderId="6" xfId="0" applyFont="1" applyFill="1" applyBorder="1" applyAlignment="1">
      <alignment horizontal="center" vertical="center"/>
    </xf>
    <xf numFmtId="0" fontId="27" fillId="6" borderId="7" xfId="0" applyFont="1" applyFill="1" applyBorder="1" applyAlignment="1">
      <alignment horizontal="center" vertical="center"/>
    </xf>
    <xf numFmtId="10" fontId="27" fillId="6" borderId="4" xfId="12" applyNumberFormat="1" applyFont="1" applyFill="1" applyBorder="1" applyAlignment="1">
      <alignment horizontal="center" vertical="center" wrapText="1"/>
    </xf>
    <xf numFmtId="0" fontId="27" fillId="6" borderId="17" xfId="0" applyFont="1" applyFill="1" applyBorder="1" applyAlignment="1">
      <alignment horizontal="center" vertical="center" wrapText="1"/>
    </xf>
    <xf numFmtId="0" fontId="27" fillId="6" borderId="6" xfId="0" applyFont="1" applyFill="1" applyBorder="1" applyAlignment="1">
      <alignment horizontal="center" vertical="center" wrapText="1"/>
    </xf>
    <xf numFmtId="0" fontId="27" fillId="6" borderId="7" xfId="0" applyFont="1" applyFill="1" applyBorder="1" applyAlignment="1">
      <alignment horizontal="center" vertical="center" wrapText="1"/>
    </xf>
    <xf numFmtId="0" fontId="27" fillId="6" borderId="12" xfId="0" applyFont="1" applyFill="1" applyBorder="1" applyAlignment="1">
      <alignment horizontal="center" vertical="center" wrapText="1"/>
    </xf>
    <xf numFmtId="0" fontId="27" fillId="6" borderId="13" xfId="0" applyFont="1" applyFill="1" applyBorder="1" applyAlignment="1">
      <alignment horizontal="center" vertical="center" wrapText="1"/>
    </xf>
    <xf numFmtId="0" fontId="27" fillId="6" borderId="8" xfId="0" applyFont="1" applyFill="1" applyBorder="1" applyAlignment="1">
      <alignment horizontal="center" vertical="center" wrapText="1"/>
    </xf>
    <xf numFmtId="0" fontId="27" fillId="6" borderId="10" xfId="0" applyFont="1" applyFill="1" applyBorder="1" applyAlignment="1">
      <alignment horizontal="center" vertical="center" wrapText="1"/>
    </xf>
    <xf numFmtId="0" fontId="27" fillId="6" borderId="17" xfId="0" applyFont="1" applyFill="1" applyBorder="1" applyAlignment="1">
      <alignment horizontal="center"/>
    </xf>
    <xf numFmtId="0" fontId="27" fillId="6" borderId="6" xfId="0" applyFont="1" applyFill="1" applyBorder="1" applyAlignment="1">
      <alignment horizontal="center"/>
    </xf>
    <xf numFmtId="0" fontId="27" fillId="6" borderId="7" xfId="0" applyFont="1" applyFill="1" applyBorder="1" applyAlignment="1">
      <alignment horizontal="center"/>
    </xf>
    <xf numFmtId="43" fontId="27" fillId="6" borderId="4" xfId="4" applyFont="1" applyFill="1" applyBorder="1" applyAlignment="1">
      <alignment horizontal="center" vertical="center" wrapText="1"/>
    </xf>
    <xf numFmtId="43" fontId="27" fillId="6" borderId="3" xfId="4" applyFont="1" applyFill="1" applyBorder="1" applyAlignment="1">
      <alignment horizontal="center" vertical="center" wrapText="1"/>
    </xf>
    <xf numFmtId="0" fontId="27" fillId="6" borderId="14" xfId="0" applyFont="1" applyFill="1" applyBorder="1" applyAlignment="1">
      <alignment horizontal="center" vertical="center" wrapText="1"/>
    </xf>
    <xf numFmtId="175" fontId="27" fillId="33" borderId="8" xfId="4" applyNumberFormat="1" applyFont="1" applyFill="1" applyBorder="1" applyAlignment="1">
      <alignment horizontal="center" vertical="center" wrapText="1"/>
    </xf>
    <xf numFmtId="175" fontId="27" fillId="33" borderId="12" xfId="4" applyNumberFormat="1" applyFont="1" applyFill="1" applyBorder="1" applyAlignment="1">
      <alignment horizontal="center" vertical="center" wrapText="1"/>
    </xf>
    <xf numFmtId="43" fontId="27" fillId="6" borderId="5" xfId="4" applyFont="1" applyFill="1" applyBorder="1" applyAlignment="1">
      <alignment horizontal="center" vertical="center" wrapText="1"/>
    </xf>
    <xf numFmtId="0" fontId="27" fillId="6" borderId="11" xfId="0" applyFont="1" applyFill="1" applyBorder="1" applyAlignment="1">
      <alignment horizontal="center" vertical="center" wrapText="1"/>
    </xf>
    <xf numFmtId="0" fontId="27" fillId="6" borderId="9" xfId="0" applyFont="1" applyFill="1" applyBorder="1" applyAlignment="1">
      <alignment horizontal="center" vertical="center" wrapText="1"/>
    </xf>
    <xf numFmtId="0" fontId="17" fillId="34" borderId="17" xfId="11" applyFont="1" applyFill="1" applyBorder="1" applyAlignment="1">
      <alignment horizontal="center"/>
    </xf>
    <xf numFmtId="0" fontId="17" fillId="34" borderId="6" xfId="11" applyFont="1" applyFill="1" applyBorder="1" applyAlignment="1">
      <alignment horizontal="center"/>
    </xf>
    <xf numFmtId="0" fontId="17" fillId="34" borderId="7" xfId="11" applyFont="1" applyFill="1" applyBorder="1" applyAlignment="1">
      <alignment horizontal="center"/>
    </xf>
    <xf numFmtId="0" fontId="27" fillId="6" borderId="4" xfId="15" applyFont="1" applyFill="1" applyBorder="1" applyAlignment="1">
      <alignment horizontal="center" vertical="center" wrapText="1"/>
    </xf>
    <xf numFmtId="0" fontId="27" fillId="6" borderId="3" xfId="15" applyFont="1" applyFill="1" applyBorder="1" applyAlignment="1">
      <alignment horizontal="center" vertical="center" wrapText="1"/>
    </xf>
    <xf numFmtId="0" fontId="27" fillId="6" borderId="8" xfId="15" applyFont="1" applyFill="1" applyBorder="1" applyAlignment="1">
      <alignment horizontal="center" vertical="center" wrapText="1"/>
    </xf>
    <xf numFmtId="0" fontId="27" fillId="6" borderId="10" xfId="15" applyFont="1" applyFill="1" applyBorder="1" applyAlignment="1">
      <alignment horizontal="center" vertical="center" wrapText="1"/>
    </xf>
    <xf numFmtId="167" fontId="27" fillId="6" borderId="17" xfId="12" applyNumberFormat="1" applyFont="1" applyFill="1" applyBorder="1" applyAlignment="1">
      <alignment horizontal="center" vertical="center" wrapText="1"/>
    </xf>
    <xf numFmtId="167" fontId="27" fillId="6" borderId="6" xfId="12" applyNumberFormat="1" applyFont="1" applyFill="1" applyBorder="1" applyAlignment="1">
      <alignment horizontal="center" vertical="center" wrapText="1"/>
    </xf>
    <xf numFmtId="167" fontId="27" fillId="6" borderId="7" xfId="12" applyNumberFormat="1" applyFont="1" applyFill="1" applyBorder="1" applyAlignment="1">
      <alignment horizontal="center" vertical="center" wrapText="1"/>
    </xf>
    <xf numFmtId="167" fontId="27" fillId="10" borderId="4" xfId="12" applyNumberFormat="1" applyFont="1" applyFill="1" applyBorder="1" applyAlignment="1">
      <alignment horizontal="center" vertical="center" wrapText="1"/>
    </xf>
    <xf numFmtId="167" fontId="27" fillId="10" borderId="3" xfId="12" applyNumberFormat="1" applyFont="1" applyFill="1" applyBorder="1" applyAlignment="1">
      <alignment horizontal="center" vertical="center" wrapText="1"/>
    </xf>
    <xf numFmtId="167" fontId="27" fillId="6" borderId="4" xfId="12" applyNumberFormat="1" applyFont="1" applyFill="1" applyBorder="1" applyAlignment="1">
      <alignment horizontal="center" vertical="center" wrapText="1"/>
    </xf>
    <xf numFmtId="167" fontId="27" fillId="6" borderId="3" xfId="12" applyNumberFormat="1" applyFont="1" applyFill="1" applyBorder="1" applyAlignment="1">
      <alignment horizontal="center" vertical="center" wrapText="1"/>
    </xf>
    <xf numFmtId="167" fontId="27" fillId="6" borderId="12" xfId="12" applyNumberFormat="1" applyFont="1" applyFill="1" applyBorder="1" applyAlignment="1">
      <alignment horizontal="center" vertical="center" wrapText="1"/>
    </xf>
    <xf numFmtId="167" fontId="27" fillId="6" borderId="13" xfId="12" applyNumberFormat="1" applyFont="1" applyFill="1" applyBorder="1" applyAlignment="1">
      <alignment horizontal="center" vertical="center" wrapText="1"/>
    </xf>
    <xf numFmtId="1" fontId="30" fillId="4" borderId="0" xfId="11" applyNumberFormat="1" applyFont="1" applyFill="1" applyAlignment="1">
      <alignment horizontal="left" vertical="center"/>
    </xf>
    <xf numFmtId="0" fontId="30" fillId="4" borderId="0" xfId="0" applyFont="1" applyFill="1" applyAlignment="1">
      <alignment vertical="center"/>
    </xf>
    <xf numFmtId="167" fontId="27" fillId="6" borderId="5" xfId="12" applyNumberFormat="1" applyFont="1" applyFill="1" applyBorder="1" applyAlignment="1">
      <alignment horizontal="center" vertical="center" wrapText="1"/>
    </xf>
    <xf numFmtId="167" fontId="27" fillId="6" borderId="15" xfId="12" applyNumberFormat="1" applyFont="1" applyFill="1" applyBorder="1" applyAlignment="1">
      <alignment horizontal="center" vertical="center" wrapText="1"/>
    </xf>
    <xf numFmtId="1" fontId="67" fillId="4" borderId="0" xfId="11" applyNumberFormat="1" applyFont="1" applyFill="1" applyAlignment="1">
      <alignment horizontal="left" vertical="center"/>
    </xf>
    <xf numFmtId="0" fontId="67" fillId="4" borderId="0" xfId="0" applyFont="1" applyFill="1" applyAlignment="1">
      <alignment vertical="center"/>
    </xf>
    <xf numFmtId="167" fontId="27" fillId="6" borderId="8" xfId="12" applyNumberFormat="1" applyFont="1" applyFill="1" applyBorder="1" applyAlignment="1">
      <alignment horizontal="center" vertical="center" wrapText="1"/>
    </xf>
  </cellXfs>
  <cellStyles count="669">
    <cellStyle name="20 % - Accent1 2" xfId="349" xr:uid="{00000000-0005-0000-0000-000000000000}"/>
    <cellStyle name="20 % - Accent2 2" xfId="350" xr:uid="{00000000-0005-0000-0000-000001000000}"/>
    <cellStyle name="20 % - Accent3 2" xfId="351" xr:uid="{00000000-0005-0000-0000-000002000000}"/>
    <cellStyle name="20 % - Accent4 2" xfId="352" xr:uid="{00000000-0005-0000-0000-000003000000}"/>
    <cellStyle name="20 % - Accent5 2" xfId="353" xr:uid="{00000000-0005-0000-0000-000004000000}"/>
    <cellStyle name="20 % - Accent6 2" xfId="354" xr:uid="{00000000-0005-0000-0000-000005000000}"/>
    <cellStyle name="40 % - Accent1 2" xfId="355" xr:uid="{00000000-0005-0000-0000-000006000000}"/>
    <cellStyle name="40 % - Accent2 2" xfId="356" xr:uid="{00000000-0005-0000-0000-000007000000}"/>
    <cellStyle name="40 % - Accent3 2" xfId="357" xr:uid="{00000000-0005-0000-0000-000008000000}"/>
    <cellStyle name="40 % - Accent4 2" xfId="358" xr:uid="{00000000-0005-0000-0000-000009000000}"/>
    <cellStyle name="40 % - Accent5 2" xfId="359" xr:uid="{00000000-0005-0000-0000-00000A000000}"/>
    <cellStyle name="40 % - Accent6 2" xfId="360" xr:uid="{00000000-0005-0000-0000-00000B000000}"/>
    <cellStyle name="60 % - Accent1 2" xfId="361" xr:uid="{00000000-0005-0000-0000-00000C000000}"/>
    <cellStyle name="60 % - Accent2 2" xfId="362" xr:uid="{00000000-0005-0000-0000-00000D000000}"/>
    <cellStyle name="60 % - Accent3 2" xfId="363" xr:uid="{00000000-0005-0000-0000-00000E000000}"/>
    <cellStyle name="60 % - Accent4 2" xfId="364" xr:uid="{00000000-0005-0000-0000-00000F000000}"/>
    <cellStyle name="60 % - Accent5 2" xfId="365" xr:uid="{00000000-0005-0000-0000-000010000000}"/>
    <cellStyle name="60 % - Accent6 2" xfId="366" xr:uid="{00000000-0005-0000-0000-000011000000}"/>
    <cellStyle name="Accent1 2" xfId="367" xr:uid="{00000000-0005-0000-0000-000012000000}"/>
    <cellStyle name="Accent2 2" xfId="368" xr:uid="{00000000-0005-0000-0000-000013000000}"/>
    <cellStyle name="Accent3 2" xfId="369" xr:uid="{00000000-0005-0000-0000-000014000000}"/>
    <cellStyle name="Accent4 2" xfId="370" xr:uid="{00000000-0005-0000-0000-000015000000}"/>
    <cellStyle name="Accent5 2" xfId="371" xr:uid="{00000000-0005-0000-0000-000016000000}"/>
    <cellStyle name="Accent6 2" xfId="372" xr:uid="{00000000-0005-0000-0000-000017000000}"/>
    <cellStyle name="Avertissement 2" xfId="373" xr:uid="{00000000-0005-0000-0000-000018000000}"/>
    <cellStyle name="Calcul 2" xfId="374" xr:uid="{00000000-0005-0000-0000-000019000000}"/>
    <cellStyle name="Cellule liée 2" xfId="375" xr:uid="{00000000-0005-0000-0000-00001A000000}"/>
    <cellStyle name="cexColumnHeadings" xfId="1" xr:uid="{00000000-0005-0000-0000-00001B000000}"/>
    <cellStyle name="cexColumnHeadings 2" xfId="393" xr:uid="{00000000-0005-0000-0000-00001C000000}"/>
    <cellStyle name="cexReportTitle" xfId="2" xr:uid="{00000000-0005-0000-0000-00001D000000}"/>
    <cellStyle name="cexTableEntry" xfId="3" xr:uid="{00000000-0005-0000-0000-00001E000000}"/>
    <cellStyle name="cexTableEntry 2" xfId="394" xr:uid="{00000000-0005-0000-0000-00001F000000}"/>
    <cellStyle name="Entrée 2" xfId="376" xr:uid="{00000000-0005-0000-0000-000020000000}"/>
    <cellStyle name="Insatisfaisant 2" xfId="377" xr:uid="{00000000-0005-0000-0000-000021000000}"/>
    <cellStyle name="Milliers" xfId="4" builtinId="3"/>
    <cellStyle name="Milliers 2" xfId="5" xr:uid="{00000000-0005-0000-0000-000023000000}"/>
    <cellStyle name="Milliers 3" xfId="6" xr:uid="{00000000-0005-0000-0000-000024000000}"/>
    <cellStyle name="Milliers 3 10" xfId="139" xr:uid="{00000000-0005-0000-0000-000025000000}"/>
    <cellStyle name="Milliers 3 10 2" xfId="395" xr:uid="{00000000-0005-0000-0000-000026000000}"/>
    <cellStyle name="Milliers 3 10 3" xfId="615" xr:uid="{00000000-0005-0000-0000-000027000000}"/>
    <cellStyle name="Milliers 3 11" xfId="156" xr:uid="{00000000-0005-0000-0000-000028000000}"/>
    <cellStyle name="Milliers 3 11 2" xfId="424" xr:uid="{00000000-0005-0000-0000-000029000000}"/>
    <cellStyle name="Milliers 3 11 3" xfId="644" xr:uid="{00000000-0005-0000-0000-00002A000000}"/>
    <cellStyle name="Milliers 3 12" xfId="173" xr:uid="{00000000-0005-0000-0000-00002B000000}"/>
    <cellStyle name="Milliers 3 13" xfId="448" xr:uid="{00000000-0005-0000-0000-00002C000000}"/>
    <cellStyle name="Milliers 3 2" xfId="16" xr:uid="{00000000-0005-0000-0000-00002D000000}"/>
    <cellStyle name="Milliers 3 2 10" xfId="158" xr:uid="{00000000-0005-0000-0000-00002E000000}"/>
    <cellStyle name="Milliers 3 2 10 2" xfId="426" xr:uid="{00000000-0005-0000-0000-00002F000000}"/>
    <cellStyle name="Milliers 3 2 10 3" xfId="646" xr:uid="{00000000-0005-0000-0000-000030000000}"/>
    <cellStyle name="Milliers 3 2 11" xfId="175" xr:uid="{00000000-0005-0000-0000-000031000000}"/>
    <cellStyle name="Milliers 3 2 12" xfId="450" xr:uid="{00000000-0005-0000-0000-000032000000}"/>
    <cellStyle name="Milliers 3 2 2" xfId="19" xr:uid="{00000000-0005-0000-0000-000033000000}"/>
    <cellStyle name="Milliers 3 2 2 10" xfId="452" xr:uid="{00000000-0005-0000-0000-000034000000}"/>
    <cellStyle name="Milliers 3 2 2 2" xfId="35" xr:uid="{00000000-0005-0000-0000-000035000000}"/>
    <cellStyle name="Milliers 3 2 2 2 2" xfId="59" xr:uid="{00000000-0005-0000-0000-000036000000}"/>
    <cellStyle name="Milliers 3 2 2 2 2 2" xfId="310" xr:uid="{00000000-0005-0000-0000-000037000000}"/>
    <cellStyle name="Milliers 3 2 2 2 2 2 2" xfId="576" xr:uid="{00000000-0005-0000-0000-000038000000}"/>
    <cellStyle name="Milliers 3 2 2 2 2 3" xfId="219" xr:uid="{00000000-0005-0000-0000-000039000000}"/>
    <cellStyle name="Milliers 3 2 2 2 2 4" xfId="493" xr:uid="{00000000-0005-0000-0000-00003A000000}"/>
    <cellStyle name="Milliers 3 2 2 2 3" xfId="88" xr:uid="{00000000-0005-0000-0000-00003B000000}"/>
    <cellStyle name="Milliers 3 2 2 2 3 2" xfId="339" xr:uid="{00000000-0005-0000-0000-00003C000000}"/>
    <cellStyle name="Milliers 3 2 2 2 3 2 2" xfId="605" xr:uid="{00000000-0005-0000-0000-00003D000000}"/>
    <cellStyle name="Milliers 3 2 2 2 3 3" xfId="248" xr:uid="{00000000-0005-0000-0000-00003E000000}"/>
    <cellStyle name="Milliers 3 2 2 2 3 4" xfId="522" xr:uid="{00000000-0005-0000-0000-00003F000000}"/>
    <cellStyle name="Milliers 3 2 2 2 4" xfId="111" xr:uid="{00000000-0005-0000-0000-000040000000}"/>
    <cellStyle name="Milliers 3 2 2 2 4 2" xfId="283" xr:uid="{00000000-0005-0000-0000-000041000000}"/>
    <cellStyle name="Milliers 3 2 2 2 4 3" xfId="549" xr:uid="{00000000-0005-0000-0000-000042000000}"/>
    <cellStyle name="Milliers 3 2 2 2 5" xfId="416" xr:uid="{00000000-0005-0000-0000-000043000000}"/>
    <cellStyle name="Milliers 3 2 2 2 5 2" xfId="636" xr:uid="{00000000-0005-0000-0000-000044000000}"/>
    <cellStyle name="Milliers 3 2 2 2 6" xfId="442" xr:uid="{00000000-0005-0000-0000-000045000000}"/>
    <cellStyle name="Milliers 3 2 2 2 6 2" xfId="662" xr:uid="{00000000-0005-0000-0000-000046000000}"/>
    <cellStyle name="Milliers 3 2 2 2 7" xfId="191" xr:uid="{00000000-0005-0000-0000-000047000000}"/>
    <cellStyle name="Milliers 3 2 2 2 8" xfId="466" xr:uid="{00000000-0005-0000-0000-000048000000}"/>
    <cellStyle name="Milliers 3 2 2 3" xfId="45" xr:uid="{00000000-0005-0000-0000-000049000000}"/>
    <cellStyle name="Milliers 3 2 2 3 2" xfId="293" xr:uid="{00000000-0005-0000-0000-00004A000000}"/>
    <cellStyle name="Milliers 3 2 2 3 2 2" xfId="559" xr:uid="{00000000-0005-0000-0000-00004B000000}"/>
    <cellStyle name="Milliers 3 2 2 3 3" xfId="201" xr:uid="{00000000-0005-0000-0000-00004C000000}"/>
    <cellStyle name="Milliers 3 2 2 3 4" xfId="476" xr:uid="{00000000-0005-0000-0000-00004D000000}"/>
    <cellStyle name="Milliers 3 2 2 4" xfId="71" xr:uid="{00000000-0005-0000-0000-00004E000000}"/>
    <cellStyle name="Milliers 3 2 2 4 2" xfId="322" xr:uid="{00000000-0005-0000-0000-00004F000000}"/>
    <cellStyle name="Milliers 3 2 2 4 2 2" xfId="588" xr:uid="{00000000-0005-0000-0000-000050000000}"/>
    <cellStyle name="Milliers 3 2 2 4 3" xfId="231" xr:uid="{00000000-0005-0000-0000-000051000000}"/>
    <cellStyle name="Milliers 3 2 2 4 4" xfId="505" xr:uid="{00000000-0005-0000-0000-000052000000}"/>
    <cellStyle name="Milliers 3 2 2 5" xfId="97" xr:uid="{00000000-0005-0000-0000-000053000000}"/>
    <cellStyle name="Milliers 3 2 2 5 2" xfId="268" xr:uid="{00000000-0005-0000-0000-000054000000}"/>
    <cellStyle name="Milliers 3 2 2 5 3" xfId="535" xr:uid="{00000000-0005-0000-0000-000055000000}"/>
    <cellStyle name="Milliers 3 2 2 6" xfId="124" xr:uid="{00000000-0005-0000-0000-000056000000}"/>
    <cellStyle name="Milliers 3 2 2 6 2" xfId="399" xr:uid="{00000000-0005-0000-0000-000057000000}"/>
    <cellStyle name="Milliers 3 2 2 6 3" xfId="619" xr:uid="{00000000-0005-0000-0000-000058000000}"/>
    <cellStyle name="Milliers 3 2 2 7" xfId="143" xr:uid="{00000000-0005-0000-0000-000059000000}"/>
    <cellStyle name="Milliers 3 2 2 7 2" xfId="428" xr:uid="{00000000-0005-0000-0000-00005A000000}"/>
    <cellStyle name="Milliers 3 2 2 7 3" xfId="648" xr:uid="{00000000-0005-0000-0000-00005B000000}"/>
    <cellStyle name="Milliers 3 2 2 8" xfId="160" xr:uid="{00000000-0005-0000-0000-00005C000000}"/>
    <cellStyle name="Milliers 3 2 2 9" xfId="177" xr:uid="{00000000-0005-0000-0000-00005D000000}"/>
    <cellStyle name="Milliers 3 2 3" xfId="20" xr:uid="{00000000-0005-0000-0000-00005E000000}"/>
    <cellStyle name="Milliers 3 2 3 10" xfId="453" xr:uid="{00000000-0005-0000-0000-00005F000000}"/>
    <cellStyle name="Milliers 3 2 3 2" xfId="39" xr:uid="{00000000-0005-0000-0000-000060000000}"/>
    <cellStyle name="Milliers 3 2 3 2 2" xfId="63" xr:uid="{00000000-0005-0000-0000-000061000000}"/>
    <cellStyle name="Milliers 3 2 3 2 2 2" xfId="311" xr:uid="{00000000-0005-0000-0000-000062000000}"/>
    <cellStyle name="Milliers 3 2 3 2 2 2 2" xfId="577" xr:uid="{00000000-0005-0000-0000-000063000000}"/>
    <cellStyle name="Milliers 3 2 3 2 2 3" xfId="220" xr:uid="{00000000-0005-0000-0000-000064000000}"/>
    <cellStyle name="Milliers 3 2 3 2 2 4" xfId="494" xr:uid="{00000000-0005-0000-0000-000065000000}"/>
    <cellStyle name="Milliers 3 2 3 2 3" xfId="91" xr:uid="{00000000-0005-0000-0000-000066000000}"/>
    <cellStyle name="Milliers 3 2 3 2 3 2" xfId="340" xr:uid="{00000000-0005-0000-0000-000067000000}"/>
    <cellStyle name="Milliers 3 2 3 2 3 2 2" xfId="606" xr:uid="{00000000-0005-0000-0000-000068000000}"/>
    <cellStyle name="Milliers 3 2 3 2 3 3" xfId="249" xr:uid="{00000000-0005-0000-0000-000069000000}"/>
    <cellStyle name="Milliers 3 2 3 2 3 4" xfId="523" xr:uid="{00000000-0005-0000-0000-00006A000000}"/>
    <cellStyle name="Milliers 3 2 3 2 4" xfId="115" xr:uid="{00000000-0005-0000-0000-00006B000000}"/>
    <cellStyle name="Milliers 3 2 3 2 4 2" xfId="287" xr:uid="{00000000-0005-0000-0000-00006C000000}"/>
    <cellStyle name="Milliers 3 2 3 2 4 3" xfId="553" xr:uid="{00000000-0005-0000-0000-00006D000000}"/>
    <cellStyle name="Milliers 3 2 3 2 5" xfId="417" xr:uid="{00000000-0005-0000-0000-00006E000000}"/>
    <cellStyle name="Milliers 3 2 3 2 5 2" xfId="637" xr:uid="{00000000-0005-0000-0000-00006F000000}"/>
    <cellStyle name="Milliers 3 2 3 2 6" xfId="446" xr:uid="{00000000-0005-0000-0000-000070000000}"/>
    <cellStyle name="Milliers 3 2 3 2 6 2" xfId="666" xr:uid="{00000000-0005-0000-0000-000071000000}"/>
    <cellStyle name="Milliers 3 2 3 2 7" xfId="195" xr:uid="{00000000-0005-0000-0000-000072000000}"/>
    <cellStyle name="Milliers 3 2 3 2 8" xfId="470" xr:uid="{00000000-0005-0000-0000-000073000000}"/>
    <cellStyle name="Milliers 3 2 3 3" xfId="46" xr:uid="{00000000-0005-0000-0000-000074000000}"/>
    <cellStyle name="Milliers 3 2 3 3 2" xfId="294" xr:uid="{00000000-0005-0000-0000-000075000000}"/>
    <cellStyle name="Milliers 3 2 3 3 2 2" xfId="560" xr:uid="{00000000-0005-0000-0000-000076000000}"/>
    <cellStyle name="Milliers 3 2 3 3 3" xfId="202" xr:uid="{00000000-0005-0000-0000-000077000000}"/>
    <cellStyle name="Milliers 3 2 3 3 4" xfId="477" xr:uid="{00000000-0005-0000-0000-000078000000}"/>
    <cellStyle name="Milliers 3 2 3 4" xfId="72" xr:uid="{00000000-0005-0000-0000-000079000000}"/>
    <cellStyle name="Milliers 3 2 3 4 2" xfId="323" xr:uid="{00000000-0005-0000-0000-00007A000000}"/>
    <cellStyle name="Milliers 3 2 3 4 2 2" xfId="589" xr:uid="{00000000-0005-0000-0000-00007B000000}"/>
    <cellStyle name="Milliers 3 2 3 4 3" xfId="232" xr:uid="{00000000-0005-0000-0000-00007C000000}"/>
    <cellStyle name="Milliers 3 2 3 4 4" xfId="506" xr:uid="{00000000-0005-0000-0000-00007D000000}"/>
    <cellStyle name="Milliers 3 2 3 5" xfId="98" xr:uid="{00000000-0005-0000-0000-00007E000000}"/>
    <cellStyle name="Milliers 3 2 3 5 2" xfId="269" xr:uid="{00000000-0005-0000-0000-00007F000000}"/>
    <cellStyle name="Milliers 3 2 3 5 3" xfId="536" xr:uid="{00000000-0005-0000-0000-000080000000}"/>
    <cellStyle name="Milliers 3 2 3 6" xfId="125" xr:uid="{00000000-0005-0000-0000-000081000000}"/>
    <cellStyle name="Milliers 3 2 3 6 2" xfId="400" xr:uid="{00000000-0005-0000-0000-000082000000}"/>
    <cellStyle name="Milliers 3 2 3 6 3" xfId="620" xr:uid="{00000000-0005-0000-0000-000083000000}"/>
    <cellStyle name="Milliers 3 2 3 7" xfId="144" xr:uid="{00000000-0005-0000-0000-000084000000}"/>
    <cellStyle name="Milliers 3 2 3 7 2" xfId="429" xr:uid="{00000000-0005-0000-0000-000085000000}"/>
    <cellStyle name="Milliers 3 2 3 7 3" xfId="649" xr:uid="{00000000-0005-0000-0000-000086000000}"/>
    <cellStyle name="Milliers 3 2 3 8" xfId="161" xr:uid="{00000000-0005-0000-0000-000087000000}"/>
    <cellStyle name="Milliers 3 2 3 9" xfId="178" xr:uid="{00000000-0005-0000-0000-000088000000}"/>
    <cellStyle name="Milliers 3 2 4" xfId="31" xr:uid="{00000000-0005-0000-0000-000089000000}"/>
    <cellStyle name="Milliers 3 2 4 2" xfId="55" xr:uid="{00000000-0005-0000-0000-00008A000000}"/>
    <cellStyle name="Milliers 3 2 4 2 2" xfId="304" xr:uid="{00000000-0005-0000-0000-00008B000000}"/>
    <cellStyle name="Milliers 3 2 4 2 2 2" xfId="570" xr:uid="{00000000-0005-0000-0000-00008C000000}"/>
    <cellStyle name="Milliers 3 2 4 2 3" xfId="213" xr:uid="{00000000-0005-0000-0000-00008D000000}"/>
    <cellStyle name="Milliers 3 2 4 2 4" xfId="487" xr:uid="{00000000-0005-0000-0000-00008E000000}"/>
    <cellStyle name="Milliers 3 2 4 3" xfId="86" xr:uid="{00000000-0005-0000-0000-00008F000000}"/>
    <cellStyle name="Milliers 3 2 4 3 2" xfId="333" xr:uid="{00000000-0005-0000-0000-000090000000}"/>
    <cellStyle name="Milliers 3 2 4 3 2 2" xfId="599" xr:uid="{00000000-0005-0000-0000-000091000000}"/>
    <cellStyle name="Milliers 3 2 4 3 3" xfId="242" xr:uid="{00000000-0005-0000-0000-000092000000}"/>
    <cellStyle name="Milliers 3 2 4 3 4" xfId="516" xr:uid="{00000000-0005-0000-0000-000093000000}"/>
    <cellStyle name="Milliers 3 2 4 4" xfId="107" xr:uid="{00000000-0005-0000-0000-000094000000}"/>
    <cellStyle name="Milliers 3 2 4 4 2" xfId="279" xr:uid="{00000000-0005-0000-0000-000095000000}"/>
    <cellStyle name="Milliers 3 2 4 4 3" xfId="545" xr:uid="{00000000-0005-0000-0000-000096000000}"/>
    <cellStyle name="Milliers 3 2 4 5" xfId="135" xr:uid="{00000000-0005-0000-0000-000097000000}"/>
    <cellStyle name="Milliers 3 2 4 5 2" xfId="410" xr:uid="{00000000-0005-0000-0000-000098000000}"/>
    <cellStyle name="Milliers 3 2 4 5 3" xfId="630" xr:uid="{00000000-0005-0000-0000-000099000000}"/>
    <cellStyle name="Milliers 3 2 4 6" xfId="154" xr:uid="{00000000-0005-0000-0000-00009A000000}"/>
    <cellStyle name="Milliers 3 2 4 6 2" xfId="438" xr:uid="{00000000-0005-0000-0000-00009B000000}"/>
    <cellStyle name="Milliers 3 2 4 6 3" xfId="658" xr:uid="{00000000-0005-0000-0000-00009C000000}"/>
    <cellStyle name="Milliers 3 2 4 7" xfId="171" xr:uid="{00000000-0005-0000-0000-00009D000000}"/>
    <cellStyle name="Milliers 3 2 4 8" xfId="187" xr:uid="{00000000-0005-0000-0000-00009E000000}"/>
    <cellStyle name="Milliers 3 2 4 9" xfId="462" xr:uid="{00000000-0005-0000-0000-00009F000000}"/>
    <cellStyle name="Milliers 3 2 5" xfId="43" xr:uid="{00000000-0005-0000-0000-0000A0000000}"/>
    <cellStyle name="Milliers 3 2 5 2" xfId="246" xr:uid="{00000000-0005-0000-0000-0000A1000000}"/>
    <cellStyle name="Milliers 3 2 5 2 2" xfId="337" xr:uid="{00000000-0005-0000-0000-0000A2000000}"/>
    <cellStyle name="Milliers 3 2 5 2 2 2" xfId="603" xr:uid="{00000000-0005-0000-0000-0000A3000000}"/>
    <cellStyle name="Milliers 3 2 5 2 3" xfId="520" xr:uid="{00000000-0005-0000-0000-0000A4000000}"/>
    <cellStyle name="Milliers 3 2 5 3" xfId="308" xr:uid="{00000000-0005-0000-0000-0000A5000000}"/>
    <cellStyle name="Milliers 3 2 5 3 2" xfId="574" xr:uid="{00000000-0005-0000-0000-0000A6000000}"/>
    <cellStyle name="Milliers 3 2 5 4" xfId="414" xr:uid="{00000000-0005-0000-0000-0000A7000000}"/>
    <cellStyle name="Milliers 3 2 5 4 2" xfId="634" xr:uid="{00000000-0005-0000-0000-0000A8000000}"/>
    <cellStyle name="Milliers 3 2 5 5" xfId="217" xr:uid="{00000000-0005-0000-0000-0000A9000000}"/>
    <cellStyle name="Milliers 3 2 5 6" xfId="491" xr:uid="{00000000-0005-0000-0000-0000AA000000}"/>
    <cellStyle name="Milliers 3 2 6" xfId="69" xr:uid="{00000000-0005-0000-0000-0000AB000000}"/>
    <cellStyle name="Milliers 3 2 6 2" xfId="291" xr:uid="{00000000-0005-0000-0000-0000AC000000}"/>
    <cellStyle name="Milliers 3 2 6 2 2" xfId="557" xr:uid="{00000000-0005-0000-0000-0000AD000000}"/>
    <cellStyle name="Milliers 3 2 6 3" xfId="199" xr:uid="{00000000-0005-0000-0000-0000AE000000}"/>
    <cellStyle name="Milliers 3 2 6 4" xfId="474" xr:uid="{00000000-0005-0000-0000-0000AF000000}"/>
    <cellStyle name="Milliers 3 2 7" xfId="95" xr:uid="{00000000-0005-0000-0000-0000B0000000}"/>
    <cellStyle name="Milliers 3 2 7 2" xfId="320" xr:uid="{00000000-0005-0000-0000-0000B1000000}"/>
    <cellStyle name="Milliers 3 2 7 2 2" xfId="586" xr:uid="{00000000-0005-0000-0000-0000B2000000}"/>
    <cellStyle name="Milliers 3 2 7 3" xfId="229" xr:uid="{00000000-0005-0000-0000-0000B3000000}"/>
    <cellStyle name="Milliers 3 2 7 4" xfId="503" xr:uid="{00000000-0005-0000-0000-0000B4000000}"/>
    <cellStyle name="Milliers 3 2 8" xfId="122" xr:uid="{00000000-0005-0000-0000-0000B5000000}"/>
    <cellStyle name="Milliers 3 2 8 2" xfId="266" xr:uid="{00000000-0005-0000-0000-0000B6000000}"/>
    <cellStyle name="Milliers 3 2 8 3" xfId="533" xr:uid="{00000000-0005-0000-0000-0000B7000000}"/>
    <cellStyle name="Milliers 3 2 9" xfId="141" xr:uid="{00000000-0005-0000-0000-0000B8000000}"/>
    <cellStyle name="Milliers 3 2 9 2" xfId="397" xr:uid="{00000000-0005-0000-0000-0000B9000000}"/>
    <cellStyle name="Milliers 3 2 9 3" xfId="617" xr:uid="{00000000-0005-0000-0000-0000BA000000}"/>
    <cellStyle name="Milliers 3 3" xfId="21" xr:uid="{00000000-0005-0000-0000-0000BB000000}"/>
    <cellStyle name="Milliers 3 3 10" xfId="454" xr:uid="{00000000-0005-0000-0000-0000BC000000}"/>
    <cellStyle name="Milliers 3 3 2" xfId="33" xr:uid="{00000000-0005-0000-0000-0000BD000000}"/>
    <cellStyle name="Milliers 3 3 2 2" xfId="57" xr:uid="{00000000-0005-0000-0000-0000BE000000}"/>
    <cellStyle name="Milliers 3 3 2 2 2" xfId="312" xr:uid="{00000000-0005-0000-0000-0000BF000000}"/>
    <cellStyle name="Milliers 3 3 2 2 2 2" xfId="578" xr:uid="{00000000-0005-0000-0000-0000C0000000}"/>
    <cellStyle name="Milliers 3 3 2 2 3" xfId="221" xr:uid="{00000000-0005-0000-0000-0000C1000000}"/>
    <cellStyle name="Milliers 3 3 2 2 4" xfId="495" xr:uid="{00000000-0005-0000-0000-0000C2000000}"/>
    <cellStyle name="Milliers 3 3 2 3" xfId="67" xr:uid="{00000000-0005-0000-0000-0000C3000000}"/>
    <cellStyle name="Milliers 3 3 2 3 2" xfId="341" xr:uid="{00000000-0005-0000-0000-0000C4000000}"/>
    <cellStyle name="Milliers 3 3 2 3 2 2" xfId="607" xr:uid="{00000000-0005-0000-0000-0000C5000000}"/>
    <cellStyle name="Milliers 3 3 2 3 3" xfId="250" xr:uid="{00000000-0005-0000-0000-0000C6000000}"/>
    <cellStyle name="Milliers 3 3 2 3 4" xfId="524" xr:uid="{00000000-0005-0000-0000-0000C7000000}"/>
    <cellStyle name="Milliers 3 3 2 4" xfId="109" xr:uid="{00000000-0005-0000-0000-0000C8000000}"/>
    <cellStyle name="Milliers 3 3 2 4 2" xfId="281" xr:uid="{00000000-0005-0000-0000-0000C9000000}"/>
    <cellStyle name="Milliers 3 3 2 4 3" xfId="547" xr:uid="{00000000-0005-0000-0000-0000CA000000}"/>
    <cellStyle name="Milliers 3 3 2 5" xfId="418" xr:uid="{00000000-0005-0000-0000-0000CB000000}"/>
    <cellStyle name="Milliers 3 3 2 5 2" xfId="638" xr:uid="{00000000-0005-0000-0000-0000CC000000}"/>
    <cellStyle name="Milliers 3 3 2 6" xfId="440" xr:uid="{00000000-0005-0000-0000-0000CD000000}"/>
    <cellStyle name="Milliers 3 3 2 6 2" xfId="660" xr:uid="{00000000-0005-0000-0000-0000CE000000}"/>
    <cellStyle name="Milliers 3 3 2 7" xfId="189" xr:uid="{00000000-0005-0000-0000-0000CF000000}"/>
    <cellStyle name="Milliers 3 3 2 8" xfId="464" xr:uid="{00000000-0005-0000-0000-0000D0000000}"/>
    <cellStyle name="Milliers 3 3 3" xfId="47" xr:uid="{00000000-0005-0000-0000-0000D1000000}"/>
    <cellStyle name="Milliers 3 3 3 2" xfId="295" xr:uid="{00000000-0005-0000-0000-0000D2000000}"/>
    <cellStyle name="Milliers 3 3 3 2 2" xfId="561" xr:uid="{00000000-0005-0000-0000-0000D3000000}"/>
    <cellStyle name="Milliers 3 3 3 3" xfId="203" xr:uid="{00000000-0005-0000-0000-0000D4000000}"/>
    <cellStyle name="Milliers 3 3 3 4" xfId="478" xr:uid="{00000000-0005-0000-0000-0000D5000000}"/>
    <cellStyle name="Milliers 3 3 4" xfId="73" xr:uid="{00000000-0005-0000-0000-0000D6000000}"/>
    <cellStyle name="Milliers 3 3 4 2" xfId="324" xr:uid="{00000000-0005-0000-0000-0000D7000000}"/>
    <cellStyle name="Milliers 3 3 4 2 2" xfId="590" xr:uid="{00000000-0005-0000-0000-0000D8000000}"/>
    <cellStyle name="Milliers 3 3 4 3" xfId="233" xr:uid="{00000000-0005-0000-0000-0000D9000000}"/>
    <cellStyle name="Milliers 3 3 4 4" xfId="507" xr:uid="{00000000-0005-0000-0000-0000DA000000}"/>
    <cellStyle name="Milliers 3 3 5" xfId="99" xr:uid="{00000000-0005-0000-0000-0000DB000000}"/>
    <cellStyle name="Milliers 3 3 5 2" xfId="270" xr:uid="{00000000-0005-0000-0000-0000DC000000}"/>
    <cellStyle name="Milliers 3 3 5 3" xfId="537" xr:uid="{00000000-0005-0000-0000-0000DD000000}"/>
    <cellStyle name="Milliers 3 3 6" xfId="126" xr:uid="{00000000-0005-0000-0000-0000DE000000}"/>
    <cellStyle name="Milliers 3 3 6 2" xfId="401" xr:uid="{00000000-0005-0000-0000-0000DF000000}"/>
    <cellStyle name="Milliers 3 3 6 3" xfId="621" xr:uid="{00000000-0005-0000-0000-0000E0000000}"/>
    <cellStyle name="Milliers 3 3 7" xfId="145" xr:uid="{00000000-0005-0000-0000-0000E1000000}"/>
    <cellStyle name="Milliers 3 3 7 2" xfId="430" xr:uid="{00000000-0005-0000-0000-0000E2000000}"/>
    <cellStyle name="Milliers 3 3 7 3" xfId="650" xr:uid="{00000000-0005-0000-0000-0000E3000000}"/>
    <cellStyle name="Milliers 3 3 8" xfId="162" xr:uid="{00000000-0005-0000-0000-0000E4000000}"/>
    <cellStyle name="Milliers 3 3 9" xfId="179" xr:uid="{00000000-0005-0000-0000-0000E5000000}"/>
    <cellStyle name="Milliers 3 4" xfId="22" xr:uid="{00000000-0005-0000-0000-0000E6000000}"/>
    <cellStyle name="Milliers 3 4 10" xfId="455" xr:uid="{00000000-0005-0000-0000-0000E7000000}"/>
    <cellStyle name="Milliers 3 4 2" xfId="37" xr:uid="{00000000-0005-0000-0000-0000E8000000}"/>
    <cellStyle name="Milliers 3 4 2 2" xfId="61" xr:uid="{00000000-0005-0000-0000-0000E9000000}"/>
    <cellStyle name="Milliers 3 4 2 2 2" xfId="313" xr:uid="{00000000-0005-0000-0000-0000EA000000}"/>
    <cellStyle name="Milliers 3 4 2 2 2 2" xfId="579" xr:uid="{00000000-0005-0000-0000-0000EB000000}"/>
    <cellStyle name="Milliers 3 4 2 2 3" xfId="222" xr:uid="{00000000-0005-0000-0000-0000EC000000}"/>
    <cellStyle name="Milliers 3 4 2 2 4" xfId="496" xr:uid="{00000000-0005-0000-0000-0000ED000000}"/>
    <cellStyle name="Milliers 3 4 2 3" xfId="89" xr:uid="{00000000-0005-0000-0000-0000EE000000}"/>
    <cellStyle name="Milliers 3 4 2 3 2" xfId="342" xr:uid="{00000000-0005-0000-0000-0000EF000000}"/>
    <cellStyle name="Milliers 3 4 2 3 2 2" xfId="608" xr:uid="{00000000-0005-0000-0000-0000F0000000}"/>
    <cellStyle name="Milliers 3 4 2 3 3" xfId="251" xr:uid="{00000000-0005-0000-0000-0000F1000000}"/>
    <cellStyle name="Milliers 3 4 2 3 4" xfId="525" xr:uid="{00000000-0005-0000-0000-0000F2000000}"/>
    <cellStyle name="Milliers 3 4 2 4" xfId="113" xr:uid="{00000000-0005-0000-0000-0000F3000000}"/>
    <cellStyle name="Milliers 3 4 2 4 2" xfId="285" xr:uid="{00000000-0005-0000-0000-0000F4000000}"/>
    <cellStyle name="Milliers 3 4 2 4 3" xfId="551" xr:uid="{00000000-0005-0000-0000-0000F5000000}"/>
    <cellStyle name="Milliers 3 4 2 5" xfId="419" xr:uid="{00000000-0005-0000-0000-0000F6000000}"/>
    <cellStyle name="Milliers 3 4 2 5 2" xfId="639" xr:uid="{00000000-0005-0000-0000-0000F7000000}"/>
    <cellStyle name="Milliers 3 4 2 6" xfId="444" xr:uid="{00000000-0005-0000-0000-0000F8000000}"/>
    <cellStyle name="Milliers 3 4 2 6 2" xfId="664" xr:uid="{00000000-0005-0000-0000-0000F9000000}"/>
    <cellStyle name="Milliers 3 4 2 7" xfId="193" xr:uid="{00000000-0005-0000-0000-0000FA000000}"/>
    <cellStyle name="Milliers 3 4 2 8" xfId="468" xr:uid="{00000000-0005-0000-0000-0000FB000000}"/>
    <cellStyle name="Milliers 3 4 3" xfId="48" xr:uid="{00000000-0005-0000-0000-0000FC000000}"/>
    <cellStyle name="Milliers 3 4 3 2" xfId="296" xr:uid="{00000000-0005-0000-0000-0000FD000000}"/>
    <cellStyle name="Milliers 3 4 3 2 2" xfId="562" xr:uid="{00000000-0005-0000-0000-0000FE000000}"/>
    <cellStyle name="Milliers 3 4 3 3" xfId="204" xr:uid="{00000000-0005-0000-0000-0000FF000000}"/>
    <cellStyle name="Milliers 3 4 3 4" xfId="479" xr:uid="{00000000-0005-0000-0000-000000010000}"/>
    <cellStyle name="Milliers 3 4 4" xfId="74" xr:uid="{00000000-0005-0000-0000-000001010000}"/>
    <cellStyle name="Milliers 3 4 4 2" xfId="325" xr:uid="{00000000-0005-0000-0000-000002010000}"/>
    <cellStyle name="Milliers 3 4 4 2 2" xfId="591" xr:uid="{00000000-0005-0000-0000-000003010000}"/>
    <cellStyle name="Milliers 3 4 4 3" xfId="234" xr:uid="{00000000-0005-0000-0000-000004010000}"/>
    <cellStyle name="Milliers 3 4 4 4" xfId="508" xr:uid="{00000000-0005-0000-0000-000005010000}"/>
    <cellStyle name="Milliers 3 4 5" xfId="100" xr:uid="{00000000-0005-0000-0000-000006010000}"/>
    <cellStyle name="Milliers 3 4 5 2" xfId="271" xr:uid="{00000000-0005-0000-0000-000007010000}"/>
    <cellStyle name="Milliers 3 4 5 3" xfId="538" xr:uid="{00000000-0005-0000-0000-000008010000}"/>
    <cellStyle name="Milliers 3 4 6" xfId="127" xr:uid="{00000000-0005-0000-0000-000009010000}"/>
    <cellStyle name="Milliers 3 4 6 2" xfId="402" xr:uid="{00000000-0005-0000-0000-00000A010000}"/>
    <cellStyle name="Milliers 3 4 6 3" xfId="622" xr:uid="{00000000-0005-0000-0000-00000B010000}"/>
    <cellStyle name="Milliers 3 4 7" xfId="146" xr:uid="{00000000-0005-0000-0000-00000C010000}"/>
    <cellStyle name="Milliers 3 4 7 2" xfId="431" xr:uid="{00000000-0005-0000-0000-00000D010000}"/>
    <cellStyle name="Milliers 3 4 7 3" xfId="651" xr:uid="{00000000-0005-0000-0000-00000E010000}"/>
    <cellStyle name="Milliers 3 4 8" xfId="163" xr:uid="{00000000-0005-0000-0000-00000F010000}"/>
    <cellStyle name="Milliers 3 4 9" xfId="180" xr:uid="{00000000-0005-0000-0000-000010010000}"/>
    <cellStyle name="Milliers 3 5" xfId="29" xr:uid="{00000000-0005-0000-0000-000011010000}"/>
    <cellStyle name="Milliers 3 5 2" xfId="53" xr:uid="{00000000-0005-0000-0000-000012010000}"/>
    <cellStyle name="Milliers 3 5 2 2" xfId="302" xr:uid="{00000000-0005-0000-0000-000013010000}"/>
    <cellStyle name="Milliers 3 5 2 2 2" xfId="568" xr:uid="{00000000-0005-0000-0000-000014010000}"/>
    <cellStyle name="Milliers 3 5 2 3" xfId="211" xr:uid="{00000000-0005-0000-0000-000015010000}"/>
    <cellStyle name="Milliers 3 5 2 4" xfId="485" xr:uid="{00000000-0005-0000-0000-000016010000}"/>
    <cellStyle name="Milliers 3 5 3" xfId="84" xr:uid="{00000000-0005-0000-0000-000017010000}"/>
    <cellStyle name="Milliers 3 5 3 2" xfId="331" xr:uid="{00000000-0005-0000-0000-000018010000}"/>
    <cellStyle name="Milliers 3 5 3 2 2" xfId="597" xr:uid="{00000000-0005-0000-0000-000019010000}"/>
    <cellStyle name="Milliers 3 5 3 3" xfId="240" xr:uid="{00000000-0005-0000-0000-00001A010000}"/>
    <cellStyle name="Milliers 3 5 3 4" xfId="514" xr:uid="{00000000-0005-0000-0000-00001B010000}"/>
    <cellStyle name="Milliers 3 5 4" xfId="105" xr:uid="{00000000-0005-0000-0000-00001C010000}"/>
    <cellStyle name="Milliers 3 5 4 2" xfId="277" xr:uid="{00000000-0005-0000-0000-00001D010000}"/>
    <cellStyle name="Milliers 3 5 4 3" xfId="543" xr:uid="{00000000-0005-0000-0000-00001E010000}"/>
    <cellStyle name="Milliers 3 5 5" xfId="133" xr:uid="{00000000-0005-0000-0000-00001F010000}"/>
    <cellStyle name="Milliers 3 5 5 2" xfId="408" xr:uid="{00000000-0005-0000-0000-000020010000}"/>
    <cellStyle name="Milliers 3 5 5 3" xfId="628" xr:uid="{00000000-0005-0000-0000-000021010000}"/>
    <cellStyle name="Milliers 3 5 6" xfId="152" xr:uid="{00000000-0005-0000-0000-000022010000}"/>
    <cellStyle name="Milliers 3 5 6 2" xfId="436" xr:uid="{00000000-0005-0000-0000-000023010000}"/>
    <cellStyle name="Milliers 3 5 6 3" xfId="656" xr:uid="{00000000-0005-0000-0000-000024010000}"/>
    <cellStyle name="Milliers 3 5 7" xfId="169" xr:uid="{00000000-0005-0000-0000-000025010000}"/>
    <cellStyle name="Milliers 3 5 8" xfId="185" xr:uid="{00000000-0005-0000-0000-000026010000}"/>
    <cellStyle name="Milliers 3 5 9" xfId="460" xr:uid="{00000000-0005-0000-0000-000027010000}"/>
    <cellStyle name="Milliers 3 6" xfId="41" xr:uid="{00000000-0005-0000-0000-000028010000}"/>
    <cellStyle name="Milliers 3 6 2" xfId="244" xr:uid="{00000000-0005-0000-0000-000029010000}"/>
    <cellStyle name="Milliers 3 6 2 2" xfId="335" xr:uid="{00000000-0005-0000-0000-00002A010000}"/>
    <cellStyle name="Milliers 3 6 2 2 2" xfId="601" xr:uid="{00000000-0005-0000-0000-00002B010000}"/>
    <cellStyle name="Milliers 3 6 2 3" xfId="518" xr:uid="{00000000-0005-0000-0000-00002C010000}"/>
    <cellStyle name="Milliers 3 6 3" xfId="306" xr:uid="{00000000-0005-0000-0000-00002D010000}"/>
    <cellStyle name="Milliers 3 6 3 2" xfId="572" xr:uid="{00000000-0005-0000-0000-00002E010000}"/>
    <cellStyle name="Milliers 3 6 4" xfId="412" xr:uid="{00000000-0005-0000-0000-00002F010000}"/>
    <cellStyle name="Milliers 3 6 4 2" xfId="632" xr:uid="{00000000-0005-0000-0000-000030010000}"/>
    <cellStyle name="Milliers 3 6 5" xfId="215" xr:uid="{00000000-0005-0000-0000-000031010000}"/>
    <cellStyle name="Milliers 3 6 6" xfId="489" xr:uid="{00000000-0005-0000-0000-000032010000}"/>
    <cellStyle name="Milliers 3 7" xfId="66" xr:uid="{00000000-0005-0000-0000-000033010000}"/>
    <cellStyle name="Milliers 3 7 2" xfId="289" xr:uid="{00000000-0005-0000-0000-000034010000}"/>
    <cellStyle name="Milliers 3 7 2 2" xfId="555" xr:uid="{00000000-0005-0000-0000-000035010000}"/>
    <cellStyle name="Milliers 3 7 3" xfId="197" xr:uid="{00000000-0005-0000-0000-000036010000}"/>
    <cellStyle name="Milliers 3 7 4" xfId="472" xr:uid="{00000000-0005-0000-0000-000037010000}"/>
    <cellStyle name="Milliers 3 8" xfId="93" xr:uid="{00000000-0005-0000-0000-000038010000}"/>
    <cellStyle name="Milliers 3 8 2" xfId="318" xr:uid="{00000000-0005-0000-0000-000039010000}"/>
    <cellStyle name="Milliers 3 8 2 2" xfId="584" xr:uid="{00000000-0005-0000-0000-00003A010000}"/>
    <cellStyle name="Milliers 3 8 3" xfId="227" xr:uid="{00000000-0005-0000-0000-00003B010000}"/>
    <cellStyle name="Milliers 3 8 4" xfId="501" xr:uid="{00000000-0005-0000-0000-00003C010000}"/>
    <cellStyle name="Milliers 3 9" xfId="120" xr:uid="{00000000-0005-0000-0000-00003D010000}"/>
    <cellStyle name="Milliers 3 9 2" xfId="263" xr:uid="{00000000-0005-0000-0000-00003E010000}"/>
    <cellStyle name="Milliers 3 9 3" xfId="531" xr:uid="{00000000-0005-0000-0000-00003F010000}"/>
    <cellStyle name="Milliers 4" xfId="14" xr:uid="{00000000-0005-0000-0000-000040010000}"/>
    <cellStyle name="Milliers 4 2" xfId="23" xr:uid="{00000000-0005-0000-0000-000041010000}"/>
    <cellStyle name="Milliers 5" xfId="81" xr:uid="{00000000-0005-0000-0000-000042010000}"/>
    <cellStyle name="Milliers 5 2" xfId="132" xr:uid="{00000000-0005-0000-0000-000043010000}"/>
    <cellStyle name="Milliers 5 2 2" xfId="330" xr:uid="{00000000-0005-0000-0000-000044010000}"/>
    <cellStyle name="Milliers 5 2 2 2" xfId="596" xr:uid="{00000000-0005-0000-0000-000045010000}"/>
    <cellStyle name="Milliers 5 2 3" xfId="239" xr:uid="{00000000-0005-0000-0000-000046010000}"/>
    <cellStyle name="Milliers 5 2 4" xfId="513" xr:uid="{00000000-0005-0000-0000-000047010000}"/>
    <cellStyle name="Milliers 5 3" xfId="151" xr:uid="{00000000-0005-0000-0000-000048010000}"/>
    <cellStyle name="Milliers 5 3 2" xfId="301" xr:uid="{00000000-0005-0000-0000-000049010000}"/>
    <cellStyle name="Milliers 5 3 3" xfId="567" xr:uid="{00000000-0005-0000-0000-00004A010000}"/>
    <cellStyle name="Milliers 5 4" xfId="168" xr:uid="{00000000-0005-0000-0000-00004B010000}"/>
    <cellStyle name="Milliers 5 4 2" xfId="407" xr:uid="{00000000-0005-0000-0000-00004C010000}"/>
    <cellStyle name="Milliers 5 4 3" xfId="627" xr:uid="{00000000-0005-0000-0000-00004D010000}"/>
    <cellStyle name="Milliers 5 5" xfId="209" xr:uid="{00000000-0005-0000-0000-00004E010000}"/>
    <cellStyle name="Milliers 5 6" xfId="484" xr:uid="{00000000-0005-0000-0000-00004F010000}"/>
    <cellStyle name="Milliers 6" xfId="118" xr:uid="{00000000-0005-0000-0000-000050010000}"/>
    <cellStyle name="Milliers 6 2" xfId="262" xr:uid="{00000000-0005-0000-0000-000051010000}"/>
    <cellStyle name="Milliers 7" xfId="272" xr:uid="{00000000-0005-0000-0000-000052010000}"/>
    <cellStyle name="Milliers 8" xfId="378" xr:uid="{00000000-0005-0000-0000-000053010000}"/>
    <cellStyle name="Milliers 9" xfId="392" xr:uid="{00000000-0005-0000-0000-000054010000}"/>
    <cellStyle name="Milliers 9 2" xfId="614" xr:uid="{00000000-0005-0000-0000-000055010000}"/>
    <cellStyle name="Neutre 2" xfId="379" xr:uid="{00000000-0005-0000-0000-000056010000}"/>
    <cellStyle name="Normal" xfId="0" builtinId="0"/>
    <cellStyle name="Normal 10" xfId="260" xr:uid="{00000000-0005-0000-0000-000058010000}"/>
    <cellStyle name="Normal 11" xfId="348" xr:uid="{00000000-0005-0000-0000-000059010000}"/>
    <cellStyle name="Normal 12" xfId="391" xr:uid="{00000000-0005-0000-0000-00005A010000}"/>
    <cellStyle name="Normal 12 2" xfId="613" xr:uid="{00000000-0005-0000-0000-00005B010000}"/>
    <cellStyle name="Normal 2" xfId="7" xr:uid="{00000000-0005-0000-0000-00005C010000}"/>
    <cellStyle name="Normal 2 2" xfId="8" xr:uid="{00000000-0005-0000-0000-00005D010000}"/>
    <cellStyle name="Normal 2 3" xfId="9" xr:uid="{00000000-0005-0000-0000-00005E010000}"/>
    <cellStyle name="Normal 2 3 2" xfId="380" xr:uid="{00000000-0005-0000-0000-00005F010000}"/>
    <cellStyle name="Normal 3" xfId="10" xr:uid="{00000000-0005-0000-0000-000060010000}"/>
    <cellStyle name="Normal 3 10" xfId="140" xr:uid="{00000000-0005-0000-0000-000061010000}"/>
    <cellStyle name="Normal 3 10 2" xfId="264" xr:uid="{00000000-0005-0000-0000-000062010000}"/>
    <cellStyle name="Normal 3 10 3" xfId="532" xr:uid="{00000000-0005-0000-0000-000063010000}"/>
    <cellStyle name="Normal 3 11" xfId="157" xr:uid="{00000000-0005-0000-0000-000064010000}"/>
    <cellStyle name="Normal 3 11 2" xfId="258" xr:uid="{00000000-0005-0000-0000-000065010000}"/>
    <cellStyle name="Normal 3 11 3" xfId="530" xr:uid="{00000000-0005-0000-0000-000066010000}"/>
    <cellStyle name="Normal 3 12" xfId="396" xr:uid="{00000000-0005-0000-0000-000067010000}"/>
    <cellStyle name="Normal 3 12 2" xfId="616" xr:uid="{00000000-0005-0000-0000-000068010000}"/>
    <cellStyle name="Normal 3 13" xfId="425" xr:uid="{00000000-0005-0000-0000-000069010000}"/>
    <cellStyle name="Normal 3 13 2" xfId="645" xr:uid="{00000000-0005-0000-0000-00006A010000}"/>
    <cellStyle name="Normal 3 14" xfId="174" xr:uid="{00000000-0005-0000-0000-00006B010000}"/>
    <cellStyle name="Normal 3 15" xfId="449" xr:uid="{00000000-0005-0000-0000-00006C010000}"/>
    <cellStyle name="Normal 3 2" xfId="17" xr:uid="{00000000-0005-0000-0000-00006D010000}"/>
    <cellStyle name="Normal 3 2 10" xfId="159" xr:uid="{00000000-0005-0000-0000-00006E010000}"/>
    <cellStyle name="Normal 3 2 10 2" xfId="427" xr:uid="{00000000-0005-0000-0000-00006F010000}"/>
    <cellStyle name="Normal 3 2 10 3" xfId="647" xr:uid="{00000000-0005-0000-0000-000070010000}"/>
    <cellStyle name="Normal 3 2 11" xfId="176" xr:uid="{00000000-0005-0000-0000-000071010000}"/>
    <cellStyle name="Normal 3 2 12" xfId="451" xr:uid="{00000000-0005-0000-0000-000072010000}"/>
    <cellStyle name="Normal 3 2 2" xfId="24" xr:uid="{00000000-0005-0000-0000-000073010000}"/>
    <cellStyle name="Normal 3 2 2 10" xfId="456" xr:uid="{00000000-0005-0000-0000-000074010000}"/>
    <cellStyle name="Normal 3 2 2 2" xfId="36" xr:uid="{00000000-0005-0000-0000-000075010000}"/>
    <cellStyle name="Normal 3 2 2 2 2" xfId="60" xr:uid="{00000000-0005-0000-0000-000076010000}"/>
    <cellStyle name="Normal 3 2 2 2 2 2" xfId="314" xr:uid="{00000000-0005-0000-0000-000077010000}"/>
    <cellStyle name="Normal 3 2 2 2 2 2 2" xfId="580" xr:uid="{00000000-0005-0000-0000-000078010000}"/>
    <cellStyle name="Normal 3 2 2 2 2 3" xfId="223" xr:uid="{00000000-0005-0000-0000-000079010000}"/>
    <cellStyle name="Normal 3 2 2 2 2 4" xfId="497" xr:uid="{00000000-0005-0000-0000-00007A010000}"/>
    <cellStyle name="Normal 3 2 2 2 3" xfId="80" xr:uid="{00000000-0005-0000-0000-00007B010000}"/>
    <cellStyle name="Normal 3 2 2 2 3 2" xfId="343" xr:uid="{00000000-0005-0000-0000-00007C010000}"/>
    <cellStyle name="Normal 3 2 2 2 3 2 2" xfId="609" xr:uid="{00000000-0005-0000-0000-00007D010000}"/>
    <cellStyle name="Normal 3 2 2 2 3 3" xfId="252" xr:uid="{00000000-0005-0000-0000-00007E010000}"/>
    <cellStyle name="Normal 3 2 2 2 3 4" xfId="526" xr:uid="{00000000-0005-0000-0000-00007F010000}"/>
    <cellStyle name="Normal 3 2 2 2 4" xfId="112" xr:uid="{00000000-0005-0000-0000-000080010000}"/>
    <cellStyle name="Normal 3 2 2 2 4 2" xfId="284" xr:uid="{00000000-0005-0000-0000-000081010000}"/>
    <cellStyle name="Normal 3 2 2 2 4 3" xfId="550" xr:uid="{00000000-0005-0000-0000-000082010000}"/>
    <cellStyle name="Normal 3 2 2 2 5" xfId="420" xr:uid="{00000000-0005-0000-0000-000083010000}"/>
    <cellStyle name="Normal 3 2 2 2 5 2" xfId="640" xr:uid="{00000000-0005-0000-0000-000084010000}"/>
    <cellStyle name="Normal 3 2 2 2 6" xfId="443" xr:uid="{00000000-0005-0000-0000-000085010000}"/>
    <cellStyle name="Normal 3 2 2 2 6 2" xfId="663" xr:uid="{00000000-0005-0000-0000-000086010000}"/>
    <cellStyle name="Normal 3 2 2 2 7" xfId="192" xr:uid="{00000000-0005-0000-0000-000087010000}"/>
    <cellStyle name="Normal 3 2 2 2 8" xfId="467" xr:uid="{00000000-0005-0000-0000-000088010000}"/>
    <cellStyle name="Normal 3 2 2 3" xfId="49" xr:uid="{00000000-0005-0000-0000-000089010000}"/>
    <cellStyle name="Normal 3 2 2 3 2" xfId="297" xr:uid="{00000000-0005-0000-0000-00008A010000}"/>
    <cellStyle name="Normal 3 2 2 3 2 2" xfId="563" xr:uid="{00000000-0005-0000-0000-00008B010000}"/>
    <cellStyle name="Normal 3 2 2 3 3" xfId="205" xr:uid="{00000000-0005-0000-0000-00008C010000}"/>
    <cellStyle name="Normal 3 2 2 3 4" xfId="480" xr:uid="{00000000-0005-0000-0000-00008D010000}"/>
    <cellStyle name="Normal 3 2 2 4" xfId="76" xr:uid="{00000000-0005-0000-0000-00008E010000}"/>
    <cellStyle name="Normal 3 2 2 4 2" xfId="326" xr:uid="{00000000-0005-0000-0000-00008F010000}"/>
    <cellStyle name="Normal 3 2 2 4 2 2" xfId="592" xr:uid="{00000000-0005-0000-0000-000090010000}"/>
    <cellStyle name="Normal 3 2 2 4 3" xfId="235" xr:uid="{00000000-0005-0000-0000-000091010000}"/>
    <cellStyle name="Normal 3 2 2 4 4" xfId="509" xr:uid="{00000000-0005-0000-0000-000092010000}"/>
    <cellStyle name="Normal 3 2 2 5" xfId="101" xr:uid="{00000000-0005-0000-0000-000093010000}"/>
    <cellStyle name="Normal 3 2 2 5 2" xfId="273" xr:uid="{00000000-0005-0000-0000-000094010000}"/>
    <cellStyle name="Normal 3 2 2 5 3" xfId="539" xr:uid="{00000000-0005-0000-0000-000095010000}"/>
    <cellStyle name="Normal 3 2 2 6" xfId="128" xr:uid="{00000000-0005-0000-0000-000096010000}"/>
    <cellStyle name="Normal 3 2 2 6 2" xfId="403" xr:uid="{00000000-0005-0000-0000-000097010000}"/>
    <cellStyle name="Normal 3 2 2 6 3" xfId="623" xr:uid="{00000000-0005-0000-0000-000098010000}"/>
    <cellStyle name="Normal 3 2 2 7" xfId="147" xr:uid="{00000000-0005-0000-0000-000099010000}"/>
    <cellStyle name="Normal 3 2 2 7 2" xfId="432" xr:uid="{00000000-0005-0000-0000-00009A010000}"/>
    <cellStyle name="Normal 3 2 2 7 3" xfId="652" xr:uid="{00000000-0005-0000-0000-00009B010000}"/>
    <cellStyle name="Normal 3 2 2 8" xfId="164" xr:uid="{00000000-0005-0000-0000-00009C010000}"/>
    <cellStyle name="Normal 3 2 2 9" xfId="181" xr:uid="{00000000-0005-0000-0000-00009D010000}"/>
    <cellStyle name="Normal 3 2 3" xfId="25" xr:uid="{00000000-0005-0000-0000-00009E010000}"/>
    <cellStyle name="Normal 3 2 3 10" xfId="457" xr:uid="{00000000-0005-0000-0000-00009F010000}"/>
    <cellStyle name="Normal 3 2 3 2" xfId="40" xr:uid="{00000000-0005-0000-0000-0000A0010000}"/>
    <cellStyle name="Normal 3 2 3 2 2" xfId="64" xr:uid="{00000000-0005-0000-0000-0000A1010000}"/>
    <cellStyle name="Normal 3 2 3 2 2 2" xfId="315" xr:uid="{00000000-0005-0000-0000-0000A2010000}"/>
    <cellStyle name="Normal 3 2 3 2 2 2 2" xfId="581" xr:uid="{00000000-0005-0000-0000-0000A3010000}"/>
    <cellStyle name="Normal 3 2 3 2 2 3" xfId="224" xr:uid="{00000000-0005-0000-0000-0000A4010000}"/>
    <cellStyle name="Normal 3 2 3 2 2 4" xfId="498" xr:uid="{00000000-0005-0000-0000-0000A5010000}"/>
    <cellStyle name="Normal 3 2 3 2 3" xfId="92" xr:uid="{00000000-0005-0000-0000-0000A6010000}"/>
    <cellStyle name="Normal 3 2 3 2 3 2" xfId="344" xr:uid="{00000000-0005-0000-0000-0000A7010000}"/>
    <cellStyle name="Normal 3 2 3 2 3 2 2" xfId="610" xr:uid="{00000000-0005-0000-0000-0000A8010000}"/>
    <cellStyle name="Normal 3 2 3 2 3 3" xfId="253" xr:uid="{00000000-0005-0000-0000-0000A9010000}"/>
    <cellStyle name="Normal 3 2 3 2 3 4" xfId="527" xr:uid="{00000000-0005-0000-0000-0000AA010000}"/>
    <cellStyle name="Normal 3 2 3 2 4" xfId="116" xr:uid="{00000000-0005-0000-0000-0000AB010000}"/>
    <cellStyle name="Normal 3 2 3 2 4 2" xfId="288" xr:uid="{00000000-0005-0000-0000-0000AC010000}"/>
    <cellStyle name="Normal 3 2 3 2 4 3" xfId="554" xr:uid="{00000000-0005-0000-0000-0000AD010000}"/>
    <cellStyle name="Normal 3 2 3 2 5" xfId="421" xr:uid="{00000000-0005-0000-0000-0000AE010000}"/>
    <cellStyle name="Normal 3 2 3 2 5 2" xfId="641" xr:uid="{00000000-0005-0000-0000-0000AF010000}"/>
    <cellStyle name="Normal 3 2 3 2 6" xfId="447" xr:uid="{00000000-0005-0000-0000-0000B0010000}"/>
    <cellStyle name="Normal 3 2 3 2 6 2" xfId="667" xr:uid="{00000000-0005-0000-0000-0000B1010000}"/>
    <cellStyle name="Normal 3 2 3 2 7" xfId="196" xr:uid="{00000000-0005-0000-0000-0000B2010000}"/>
    <cellStyle name="Normal 3 2 3 2 8" xfId="471" xr:uid="{00000000-0005-0000-0000-0000B3010000}"/>
    <cellStyle name="Normal 3 2 3 3" xfId="50" xr:uid="{00000000-0005-0000-0000-0000B4010000}"/>
    <cellStyle name="Normal 3 2 3 3 2" xfId="298" xr:uid="{00000000-0005-0000-0000-0000B5010000}"/>
    <cellStyle name="Normal 3 2 3 3 2 2" xfId="564" xr:uid="{00000000-0005-0000-0000-0000B6010000}"/>
    <cellStyle name="Normal 3 2 3 3 3" xfId="206" xr:uid="{00000000-0005-0000-0000-0000B7010000}"/>
    <cellStyle name="Normal 3 2 3 3 4" xfId="481" xr:uid="{00000000-0005-0000-0000-0000B8010000}"/>
    <cellStyle name="Normal 3 2 3 4" xfId="77" xr:uid="{00000000-0005-0000-0000-0000B9010000}"/>
    <cellStyle name="Normal 3 2 3 4 2" xfId="327" xr:uid="{00000000-0005-0000-0000-0000BA010000}"/>
    <cellStyle name="Normal 3 2 3 4 2 2" xfId="593" xr:uid="{00000000-0005-0000-0000-0000BB010000}"/>
    <cellStyle name="Normal 3 2 3 4 3" xfId="236" xr:uid="{00000000-0005-0000-0000-0000BC010000}"/>
    <cellStyle name="Normal 3 2 3 4 4" xfId="510" xr:uid="{00000000-0005-0000-0000-0000BD010000}"/>
    <cellStyle name="Normal 3 2 3 5" xfId="102" xr:uid="{00000000-0005-0000-0000-0000BE010000}"/>
    <cellStyle name="Normal 3 2 3 5 2" xfId="274" xr:uid="{00000000-0005-0000-0000-0000BF010000}"/>
    <cellStyle name="Normal 3 2 3 5 3" xfId="540" xr:uid="{00000000-0005-0000-0000-0000C0010000}"/>
    <cellStyle name="Normal 3 2 3 6" xfId="129" xr:uid="{00000000-0005-0000-0000-0000C1010000}"/>
    <cellStyle name="Normal 3 2 3 6 2" xfId="404" xr:uid="{00000000-0005-0000-0000-0000C2010000}"/>
    <cellStyle name="Normal 3 2 3 6 3" xfId="624" xr:uid="{00000000-0005-0000-0000-0000C3010000}"/>
    <cellStyle name="Normal 3 2 3 7" xfId="148" xr:uid="{00000000-0005-0000-0000-0000C4010000}"/>
    <cellStyle name="Normal 3 2 3 7 2" xfId="433" xr:uid="{00000000-0005-0000-0000-0000C5010000}"/>
    <cellStyle name="Normal 3 2 3 7 3" xfId="653" xr:uid="{00000000-0005-0000-0000-0000C6010000}"/>
    <cellStyle name="Normal 3 2 3 8" xfId="165" xr:uid="{00000000-0005-0000-0000-0000C7010000}"/>
    <cellStyle name="Normal 3 2 3 9" xfId="182" xr:uid="{00000000-0005-0000-0000-0000C8010000}"/>
    <cellStyle name="Normal 3 2 4" xfId="32" xr:uid="{00000000-0005-0000-0000-0000C9010000}"/>
    <cellStyle name="Normal 3 2 4 2" xfId="56" xr:uid="{00000000-0005-0000-0000-0000CA010000}"/>
    <cellStyle name="Normal 3 2 4 2 2" xfId="305" xr:uid="{00000000-0005-0000-0000-0000CB010000}"/>
    <cellStyle name="Normal 3 2 4 2 2 2" xfId="571" xr:uid="{00000000-0005-0000-0000-0000CC010000}"/>
    <cellStyle name="Normal 3 2 4 2 3" xfId="214" xr:uid="{00000000-0005-0000-0000-0000CD010000}"/>
    <cellStyle name="Normal 3 2 4 2 4" xfId="488" xr:uid="{00000000-0005-0000-0000-0000CE010000}"/>
    <cellStyle name="Normal 3 2 4 3" xfId="87" xr:uid="{00000000-0005-0000-0000-0000CF010000}"/>
    <cellStyle name="Normal 3 2 4 3 2" xfId="334" xr:uid="{00000000-0005-0000-0000-0000D0010000}"/>
    <cellStyle name="Normal 3 2 4 3 2 2" xfId="600" xr:uid="{00000000-0005-0000-0000-0000D1010000}"/>
    <cellStyle name="Normal 3 2 4 3 3" xfId="243" xr:uid="{00000000-0005-0000-0000-0000D2010000}"/>
    <cellStyle name="Normal 3 2 4 3 4" xfId="517" xr:uid="{00000000-0005-0000-0000-0000D3010000}"/>
    <cellStyle name="Normal 3 2 4 4" xfId="108" xr:uid="{00000000-0005-0000-0000-0000D4010000}"/>
    <cellStyle name="Normal 3 2 4 4 2" xfId="280" xr:uid="{00000000-0005-0000-0000-0000D5010000}"/>
    <cellStyle name="Normal 3 2 4 4 3" xfId="546" xr:uid="{00000000-0005-0000-0000-0000D6010000}"/>
    <cellStyle name="Normal 3 2 4 5" xfId="136" xr:uid="{00000000-0005-0000-0000-0000D7010000}"/>
    <cellStyle name="Normal 3 2 4 5 2" xfId="411" xr:uid="{00000000-0005-0000-0000-0000D8010000}"/>
    <cellStyle name="Normal 3 2 4 5 3" xfId="631" xr:uid="{00000000-0005-0000-0000-0000D9010000}"/>
    <cellStyle name="Normal 3 2 4 6" xfId="155" xr:uid="{00000000-0005-0000-0000-0000DA010000}"/>
    <cellStyle name="Normal 3 2 4 6 2" xfId="439" xr:uid="{00000000-0005-0000-0000-0000DB010000}"/>
    <cellStyle name="Normal 3 2 4 6 3" xfId="659" xr:uid="{00000000-0005-0000-0000-0000DC010000}"/>
    <cellStyle name="Normal 3 2 4 7" xfId="172" xr:uid="{00000000-0005-0000-0000-0000DD010000}"/>
    <cellStyle name="Normal 3 2 4 8" xfId="188" xr:uid="{00000000-0005-0000-0000-0000DE010000}"/>
    <cellStyle name="Normal 3 2 4 9" xfId="463" xr:uid="{00000000-0005-0000-0000-0000DF010000}"/>
    <cellStyle name="Normal 3 2 5" xfId="44" xr:uid="{00000000-0005-0000-0000-0000E0010000}"/>
    <cellStyle name="Normal 3 2 5 2" xfId="247" xr:uid="{00000000-0005-0000-0000-0000E1010000}"/>
    <cellStyle name="Normal 3 2 5 2 2" xfId="338" xr:uid="{00000000-0005-0000-0000-0000E2010000}"/>
    <cellStyle name="Normal 3 2 5 2 2 2" xfId="604" xr:uid="{00000000-0005-0000-0000-0000E3010000}"/>
    <cellStyle name="Normal 3 2 5 2 3" xfId="521" xr:uid="{00000000-0005-0000-0000-0000E4010000}"/>
    <cellStyle name="Normal 3 2 5 3" xfId="309" xr:uid="{00000000-0005-0000-0000-0000E5010000}"/>
    <cellStyle name="Normal 3 2 5 3 2" xfId="575" xr:uid="{00000000-0005-0000-0000-0000E6010000}"/>
    <cellStyle name="Normal 3 2 5 4" xfId="415" xr:uid="{00000000-0005-0000-0000-0000E7010000}"/>
    <cellStyle name="Normal 3 2 5 4 2" xfId="635" xr:uid="{00000000-0005-0000-0000-0000E8010000}"/>
    <cellStyle name="Normal 3 2 5 5" xfId="218" xr:uid="{00000000-0005-0000-0000-0000E9010000}"/>
    <cellStyle name="Normal 3 2 5 6" xfId="492" xr:uid="{00000000-0005-0000-0000-0000EA010000}"/>
    <cellStyle name="Normal 3 2 6" xfId="70" xr:uid="{00000000-0005-0000-0000-0000EB010000}"/>
    <cellStyle name="Normal 3 2 6 2" xfId="292" xr:uid="{00000000-0005-0000-0000-0000EC010000}"/>
    <cellStyle name="Normal 3 2 6 2 2" xfId="558" xr:uid="{00000000-0005-0000-0000-0000ED010000}"/>
    <cellStyle name="Normal 3 2 6 3" xfId="200" xr:uid="{00000000-0005-0000-0000-0000EE010000}"/>
    <cellStyle name="Normal 3 2 6 4" xfId="475" xr:uid="{00000000-0005-0000-0000-0000EF010000}"/>
    <cellStyle name="Normal 3 2 7" xfId="96" xr:uid="{00000000-0005-0000-0000-0000F0010000}"/>
    <cellStyle name="Normal 3 2 7 2" xfId="321" xr:uid="{00000000-0005-0000-0000-0000F1010000}"/>
    <cellStyle name="Normal 3 2 7 2 2" xfId="587" xr:uid="{00000000-0005-0000-0000-0000F2010000}"/>
    <cellStyle name="Normal 3 2 7 3" xfId="230" xr:uid="{00000000-0005-0000-0000-0000F3010000}"/>
    <cellStyle name="Normal 3 2 7 4" xfId="504" xr:uid="{00000000-0005-0000-0000-0000F4010000}"/>
    <cellStyle name="Normal 3 2 8" xfId="123" xr:uid="{00000000-0005-0000-0000-0000F5010000}"/>
    <cellStyle name="Normal 3 2 8 2" xfId="267" xr:uid="{00000000-0005-0000-0000-0000F6010000}"/>
    <cellStyle name="Normal 3 2 8 3" xfId="534" xr:uid="{00000000-0005-0000-0000-0000F7010000}"/>
    <cellStyle name="Normal 3 2 9" xfId="142" xr:uid="{00000000-0005-0000-0000-0000F8010000}"/>
    <cellStyle name="Normal 3 2 9 2" xfId="398" xr:uid="{00000000-0005-0000-0000-0000F9010000}"/>
    <cellStyle name="Normal 3 2 9 3" xfId="618" xr:uid="{00000000-0005-0000-0000-0000FA010000}"/>
    <cellStyle name="Normal 3 3" xfId="26" xr:uid="{00000000-0005-0000-0000-0000FB010000}"/>
    <cellStyle name="Normal 3 3 10" xfId="458" xr:uid="{00000000-0005-0000-0000-0000FC010000}"/>
    <cellStyle name="Normal 3 3 2" xfId="34" xr:uid="{00000000-0005-0000-0000-0000FD010000}"/>
    <cellStyle name="Normal 3 3 2 2" xfId="58" xr:uid="{00000000-0005-0000-0000-0000FE010000}"/>
    <cellStyle name="Normal 3 3 2 2 2" xfId="316" xr:uid="{00000000-0005-0000-0000-0000FF010000}"/>
    <cellStyle name="Normal 3 3 2 2 2 2" xfId="582" xr:uid="{00000000-0005-0000-0000-000000020000}"/>
    <cellStyle name="Normal 3 3 2 2 3" xfId="225" xr:uid="{00000000-0005-0000-0000-000001020000}"/>
    <cellStyle name="Normal 3 3 2 2 4" xfId="499" xr:uid="{00000000-0005-0000-0000-000002020000}"/>
    <cellStyle name="Normal 3 3 2 3" xfId="75" xr:uid="{00000000-0005-0000-0000-000003020000}"/>
    <cellStyle name="Normal 3 3 2 3 2" xfId="345" xr:uid="{00000000-0005-0000-0000-000004020000}"/>
    <cellStyle name="Normal 3 3 2 3 2 2" xfId="611" xr:uid="{00000000-0005-0000-0000-000005020000}"/>
    <cellStyle name="Normal 3 3 2 3 3" xfId="254" xr:uid="{00000000-0005-0000-0000-000006020000}"/>
    <cellStyle name="Normal 3 3 2 3 4" xfId="528" xr:uid="{00000000-0005-0000-0000-000007020000}"/>
    <cellStyle name="Normal 3 3 2 4" xfId="110" xr:uid="{00000000-0005-0000-0000-000008020000}"/>
    <cellStyle name="Normal 3 3 2 4 2" xfId="282" xr:uid="{00000000-0005-0000-0000-000009020000}"/>
    <cellStyle name="Normal 3 3 2 4 3" xfId="548" xr:uid="{00000000-0005-0000-0000-00000A020000}"/>
    <cellStyle name="Normal 3 3 2 5" xfId="422" xr:uid="{00000000-0005-0000-0000-00000B020000}"/>
    <cellStyle name="Normal 3 3 2 5 2" xfId="642" xr:uid="{00000000-0005-0000-0000-00000C020000}"/>
    <cellStyle name="Normal 3 3 2 6" xfId="441" xr:uid="{00000000-0005-0000-0000-00000D020000}"/>
    <cellStyle name="Normal 3 3 2 6 2" xfId="661" xr:uid="{00000000-0005-0000-0000-00000E020000}"/>
    <cellStyle name="Normal 3 3 2 7" xfId="190" xr:uid="{00000000-0005-0000-0000-00000F020000}"/>
    <cellStyle name="Normal 3 3 2 8" xfId="465" xr:uid="{00000000-0005-0000-0000-000010020000}"/>
    <cellStyle name="Normal 3 3 3" xfId="51" xr:uid="{00000000-0005-0000-0000-000011020000}"/>
    <cellStyle name="Normal 3 3 3 2" xfId="299" xr:uid="{00000000-0005-0000-0000-000012020000}"/>
    <cellStyle name="Normal 3 3 3 2 2" xfId="565" xr:uid="{00000000-0005-0000-0000-000013020000}"/>
    <cellStyle name="Normal 3 3 3 3" xfId="207" xr:uid="{00000000-0005-0000-0000-000014020000}"/>
    <cellStyle name="Normal 3 3 3 4" xfId="482" xr:uid="{00000000-0005-0000-0000-000015020000}"/>
    <cellStyle name="Normal 3 3 4" xfId="78" xr:uid="{00000000-0005-0000-0000-000016020000}"/>
    <cellStyle name="Normal 3 3 4 2" xfId="328" xr:uid="{00000000-0005-0000-0000-000017020000}"/>
    <cellStyle name="Normal 3 3 4 2 2" xfId="594" xr:uid="{00000000-0005-0000-0000-000018020000}"/>
    <cellStyle name="Normal 3 3 4 3" xfId="237" xr:uid="{00000000-0005-0000-0000-000019020000}"/>
    <cellStyle name="Normal 3 3 4 4" xfId="511" xr:uid="{00000000-0005-0000-0000-00001A020000}"/>
    <cellStyle name="Normal 3 3 5" xfId="103" xr:uid="{00000000-0005-0000-0000-00001B020000}"/>
    <cellStyle name="Normal 3 3 5 2" xfId="275" xr:uid="{00000000-0005-0000-0000-00001C020000}"/>
    <cellStyle name="Normal 3 3 5 3" xfId="541" xr:uid="{00000000-0005-0000-0000-00001D020000}"/>
    <cellStyle name="Normal 3 3 6" xfId="130" xr:uid="{00000000-0005-0000-0000-00001E020000}"/>
    <cellStyle name="Normal 3 3 6 2" xfId="405" xr:uid="{00000000-0005-0000-0000-00001F020000}"/>
    <cellStyle name="Normal 3 3 6 3" xfId="625" xr:uid="{00000000-0005-0000-0000-000020020000}"/>
    <cellStyle name="Normal 3 3 7" xfId="149" xr:uid="{00000000-0005-0000-0000-000021020000}"/>
    <cellStyle name="Normal 3 3 7 2" xfId="434" xr:uid="{00000000-0005-0000-0000-000022020000}"/>
    <cellStyle name="Normal 3 3 7 3" xfId="654" xr:uid="{00000000-0005-0000-0000-000023020000}"/>
    <cellStyle name="Normal 3 3 8" xfId="166" xr:uid="{00000000-0005-0000-0000-000024020000}"/>
    <cellStyle name="Normal 3 3 9" xfId="183" xr:uid="{00000000-0005-0000-0000-000025020000}"/>
    <cellStyle name="Normal 3 4" xfId="27" xr:uid="{00000000-0005-0000-0000-000026020000}"/>
    <cellStyle name="Normal 3 4 10" xfId="459" xr:uid="{00000000-0005-0000-0000-000027020000}"/>
    <cellStyle name="Normal 3 4 2" xfId="38" xr:uid="{00000000-0005-0000-0000-000028020000}"/>
    <cellStyle name="Normal 3 4 2 2" xfId="62" xr:uid="{00000000-0005-0000-0000-000029020000}"/>
    <cellStyle name="Normal 3 4 2 2 2" xfId="317" xr:uid="{00000000-0005-0000-0000-00002A020000}"/>
    <cellStyle name="Normal 3 4 2 2 2 2" xfId="583" xr:uid="{00000000-0005-0000-0000-00002B020000}"/>
    <cellStyle name="Normal 3 4 2 2 3" xfId="226" xr:uid="{00000000-0005-0000-0000-00002C020000}"/>
    <cellStyle name="Normal 3 4 2 2 4" xfId="500" xr:uid="{00000000-0005-0000-0000-00002D020000}"/>
    <cellStyle name="Normal 3 4 2 3" xfId="90" xr:uid="{00000000-0005-0000-0000-00002E020000}"/>
    <cellStyle name="Normal 3 4 2 3 2" xfId="346" xr:uid="{00000000-0005-0000-0000-00002F020000}"/>
    <cellStyle name="Normal 3 4 2 3 2 2" xfId="612" xr:uid="{00000000-0005-0000-0000-000030020000}"/>
    <cellStyle name="Normal 3 4 2 3 3" xfId="255" xr:uid="{00000000-0005-0000-0000-000031020000}"/>
    <cellStyle name="Normal 3 4 2 3 4" xfId="529" xr:uid="{00000000-0005-0000-0000-000032020000}"/>
    <cellStyle name="Normal 3 4 2 4" xfId="114" xr:uid="{00000000-0005-0000-0000-000033020000}"/>
    <cellStyle name="Normal 3 4 2 4 2" xfId="286" xr:uid="{00000000-0005-0000-0000-000034020000}"/>
    <cellStyle name="Normal 3 4 2 4 3" xfId="552" xr:uid="{00000000-0005-0000-0000-000035020000}"/>
    <cellStyle name="Normal 3 4 2 5" xfId="423" xr:uid="{00000000-0005-0000-0000-000036020000}"/>
    <cellStyle name="Normal 3 4 2 5 2" xfId="643" xr:uid="{00000000-0005-0000-0000-000037020000}"/>
    <cellStyle name="Normal 3 4 2 6" xfId="445" xr:uid="{00000000-0005-0000-0000-000038020000}"/>
    <cellStyle name="Normal 3 4 2 6 2" xfId="665" xr:uid="{00000000-0005-0000-0000-000039020000}"/>
    <cellStyle name="Normal 3 4 2 7" xfId="194" xr:uid="{00000000-0005-0000-0000-00003A020000}"/>
    <cellStyle name="Normal 3 4 2 8" xfId="469" xr:uid="{00000000-0005-0000-0000-00003B020000}"/>
    <cellStyle name="Normal 3 4 3" xfId="52" xr:uid="{00000000-0005-0000-0000-00003C020000}"/>
    <cellStyle name="Normal 3 4 3 2" xfId="300" xr:uid="{00000000-0005-0000-0000-00003D020000}"/>
    <cellStyle name="Normal 3 4 3 2 2" xfId="566" xr:uid="{00000000-0005-0000-0000-00003E020000}"/>
    <cellStyle name="Normal 3 4 3 3" xfId="208" xr:uid="{00000000-0005-0000-0000-00003F020000}"/>
    <cellStyle name="Normal 3 4 3 4" xfId="483" xr:uid="{00000000-0005-0000-0000-000040020000}"/>
    <cellStyle name="Normal 3 4 4" xfId="79" xr:uid="{00000000-0005-0000-0000-000041020000}"/>
    <cellStyle name="Normal 3 4 4 2" xfId="329" xr:uid="{00000000-0005-0000-0000-000042020000}"/>
    <cellStyle name="Normal 3 4 4 2 2" xfId="595" xr:uid="{00000000-0005-0000-0000-000043020000}"/>
    <cellStyle name="Normal 3 4 4 3" xfId="238" xr:uid="{00000000-0005-0000-0000-000044020000}"/>
    <cellStyle name="Normal 3 4 4 4" xfId="512" xr:uid="{00000000-0005-0000-0000-000045020000}"/>
    <cellStyle name="Normal 3 4 5" xfId="104" xr:uid="{00000000-0005-0000-0000-000046020000}"/>
    <cellStyle name="Normal 3 4 5 2" xfId="276" xr:uid="{00000000-0005-0000-0000-000047020000}"/>
    <cellStyle name="Normal 3 4 5 3" xfId="542" xr:uid="{00000000-0005-0000-0000-000048020000}"/>
    <cellStyle name="Normal 3 4 6" xfId="131" xr:uid="{00000000-0005-0000-0000-000049020000}"/>
    <cellStyle name="Normal 3 4 6 2" xfId="406" xr:uid="{00000000-0005-0000-0000-00004A020000}"/>
    <cellStyle name="Normal 3 4 6 3" xfId="626" xr:uid="{00000000-0005-0000-0000-00004B020000}"/>
    <cellStyle name="Normal 3 4 7" xfId="150" xr:uid="{00000000-0005-0000-0000-00004C020000}"/>
    <cellStyle name="Normal 3 4 7 2" xfId="435" xr:uid="{00000000-0005-0000-0000-00004D020000}"/>
    <cellStyle name="Normal 3 4 7 3" xfId="655" xr:uid="{00000000-0005-0000-0000-00004E020000}"/>
    <cellStyle name="Normal 3 4 8" xfId="167" xr:uid="{00000000-0005-0000-0000-00004F020000}"/>
    <cellStyle name="Normal 3 4 9" xfId="184" xr:uid="{00000000-0005-0000-0000-000050020000}"/>
    <cellStyle name="Normal 3 5" xfId="30" xr:uid="{00000000-0005-0000-0000-000051020000}"/>
    <cellStyle name="Normal 3 5 2" xfId="54" xr:uid="{00000000-0005-0000-0000-000052020000}"/>
    <cellStyle name="Normal 3 5 2 2" xfId="210" xr:uid="{00000000-0005-0000-0000-000053020000}"/>
    <cellStyle name="Normal 3 5 3" xfId="82" xr:uid="{00000000-0005-0000-0000-000054020000}"/>
    <cellStyle name="Normal 3 5 3 2" xfId="278" xr:uid="{00000000-0005-0000-0000-000055020000}"/>
    <cellStyle name="Normal 3 5 3 3" xfId="544" xr:uid="{00000000-0005-0000-0000-000056020000}"/>
    <cellStyle name="Normal 3 5 4" xfId="65" xr:uid="{00000000-0005-0000-0000-000057020000}"/>
    <cellStyle name="Normal 3 5 4 2" xfId="437" xr:uid="{00000000-0005-0000-0000-000058020000}"/>
    <cellStyle name="Normal 3 5 4 3" xfId="657" xr:uid="{00000000-0005-0000-0000-000059020000}"/>
    <cellStyle name="Normal 3 5 5" xfId="106" xr:uid="{00000000-0005-0000-0000-00005A020000}"/>
    <cellStyle name="Normal 3 5 6" xfId="186" xr:uid="{00000000-0005-0000-0000-00005B020000}"/>
    <cellStyle name="Normal 3 5 7" xfId="461" xr:uid="{00000000-0005-0000-0000-00005C020000}"/>
    <cellStyle name="Normal 3 6" xfId="42" xr:uid="{00000000-0005-0000-0000-00005D020000}"/>
    <cellStyle name="Normal 3 6 2" xfId="85" xr:uid="{00000000-0005-0000-0000-00005E020000}"/>
    <cellStyle name="Normal 3 6 2 2" xfId="332" xr:uid="{00000000-0005-0000-0000-00005F020000}"/>
    <cellStyle name="Normal 3 6 2 2 2" xfId="598" xr:uid="{00000000-0005-0000-0000-000060020000}"/>
    <cellStyle name="Normal 3 6 2 3" xfId="241" xr:uid="{00000000-0005-0000-0000-000061020000}"/>
    <cellStyle name="Normal 3 6 2 4" xfId="515" xr:uid="{00000000-0005-0000-0000-000062020000}"/>
    <cellStyle name="Normal 3 6 3" xfId="134" xr:uid="{00000000-0005-0000-0000-000063020000}"/>
    <cellStyle name="Normal 3 6 3 2" xfId="303" xr:uid="{00000000-0005-0000-0000-000064020000}"/>
    <cellStyle name="Normal 3 6 3 3" xfId="569" xr:uid="{00000000-0005-0000-0000-000065020000}"/>
    <cellStyle name="Normal 3 6 4" xfId="153" xr:uid="{00000000-0005-0000-0000-000066020000}"/>
    <cellStyle name="Normal 3 6 4 2" xfId="409" xr:uid="{00000000-0005-0000-0000-000067020000}"/>
    <cellStyle name="Normal 3 6 4 3" xfId="629" xr:uid="{00000000-0005-0000-0000-000068020000}"/>
    <cellStyle name="Normal 3 6 5" xfId="170" xr:uid="{00000000-0005-0000-0000-000069020000}"/>
    <cellStyle name="Normal 3 6 6" xfId="212" xr:uid="{00000000-0005-0000-0000-00006A020000}"/>
    <cellStyle name="Normal 3 6 7" xfId="486" xr:uid="{00000000-0005-0000-0000-00006B020000}"/>
    <cellStyle name="Normal 3 7" xfId="68" xr:uid="{00000000-0005-0000-0000-00006C020000}"/>
    <cellStyle name="Normal 3 7 2" xfId="245" xr:uid="{00000000-0005-0000-0000-00006D020000}"/>
    <cellStyle name="Normal 3 7 2 2" xfId="336" xr:uid="{00000000-0005-0000-0000-00006E020000}"/>
    <cellStyle name="Normal 3 7 2 2 2" xfId="602" xr:uid="{00000000-0005-0000-0000-00006F020000}"/>
    <cellStyle name="Normal 3 7 2 3" xfId="519" xr:uid="{00000000-0005-0000-0000-000070020000}"/>
    <cellStyle name="Normal 3 7 3" xfId="307" xr:uid="{00000000-0005-0000-0000-000071020000}"/>
    <cellStyle name="Normal 3 7 3 2" xfId="573" xr:uid="{00000000-0005-0000-0000-000072020000}"/>
    <cellStyle name="Normal 3 7 4" xfId="413" xr:uid="{00000000-0005-0000-0000-000073020000}"/>
    <cellStyle name="Normal 3 7 4 2" xfId="633" xr:uid="{00000000-0005-0000-0000-000074020000}"/>
    <cellStyle name="Normal 3 7 5" xfId="216" xr:uid="{00000000-0005-0000-0000-000075020000}"/>
    <cellStyle name="Normal 3 7 6" xfId="490" xr:uid="{00000000-0005-0000-0000-000076020000}"/>
    <cellStyle name="Normal 3 8" xfId="94" xr:uid="{00000000-0005-0000-0000-000077020000}"/>
    <cellStyle name="Normal 3 8 2" xfId="290" xr:uid="{00000000-0005-0000-0000-000078020000}"/>
    <cellStyle name="Normal 3 8 2 2" xfId="556" xr:uid="{00000000-0005-0000-0000-000079020000}"/>
    <cellStyle name="Normal 3 8 3" xfId="198" xr:uid="{00000000-0005-0000-0000-00007A020000}"/>
    <cellStyle name="Normal 3 8 4" xfId="473" xr:uid="{00000000-0005-0000-0000-00007B020000}"/>
    <cellStyle name="Normal 3 9" xfId="121" xr:uid="{00000000-0005-0000-0000-00007C020000}"/>
    <cellStyle name="Normal 3 9 2" xfId="319" xr:uid="{00000000-0005-0000-0000-00007D020000}"/>
    <cellStyle name="Normal 3 9 2 2" xfId="585" xr:uid="{00000000-0005-0000-0000-00007E020000}"/>
    <cellStyle name="Normal 3 9 3" xfId="228" xr:uid="{00000000-0005-0000-0000-00007F020000}"/>
    <cellStyle name="Normal 3 9 4" xfId="502" xr:uid="{00000000-0005-0000-0000-000080020000}"/>
    <cellStyle name="Normal 4" xfId="15" xr:uid="{00000000-0005-0000-0000-000081020000}"/>
    <cellStyle name="Normal 4 2" xfId="28" xr:uid="{00000000-0005-0000-0000-000082020000}"/>
    <cellStyle name="Normal 5" xfId="18" xr:uid="{00000000-0005-0000-0000-000083020000}"/>
    <cellStyle name="Normal 6" xfId="83" xr:uid="{00000000-0005-0000-0000-000084020000}"/>
    <cellStyle name="Normal 7" xfId="117" xr:uid="{00000000-0005-0000-0000-000085020000}"/>
    <cellStyle name="Normal 7 2" xfId="256" xr:uid="{00000000-0005-0000-0000-000086020000}"/>
    <cellStyle name="Normal 8" xfId="119" xr:uid="{00000000-0005-0000-0000-000087020000}"/>
    <cellStyle name="Normal 8 2" xfId="347" xr:uid="{00000000-0005-0000-0000-000088020000}"/>
    <cellStyle name="Normal 8 3" xfId="257" xr:uid="{00000000-0005-0000-0000-000089020000}"/>
    <cellStyle name="Normal 9" xfId="137" xr:uid="{00000000-0005-0000-0000-00008A020000}"/>
    <cellStyle name="Normal 9 2" xfId="261" xr:uid="{00000000-0005-0000-0000-00008B020000}"/>
    <cellStyle name="Normal_3crit_2002-03.xls" xfId="11" xr:uid="{00000000-0005-0000-0000-00008C020000}"/>
    <cellStyle name="Normal_Rendement impôts-2004-SJIC" xfId="668" xr:uid="{B799439D-E62C-4FAE-8E76-11DB6061C226}"/>
    <cellStyle name="Pourcentage" xfId="12" builtinId="5"/>
    <cellStyle name="Pourcentage 2" xfId="13" xr:uid="{00000000-0005-0000-0000-000091020000}"/>
    <cellStyle name="Pourcentage 3" xfId="138" xr:uid="{00000000-0005-0000-0000-000092020000}"/>
    <cellStyle name="Pourcentage 3 2" xfId="265" xr:uid="{00000000-0005-0000-0000-000093020000}"/>
    <cellStyle name="Pourcentage 4" xfId="259" xr:uid="{00000000-0005-0000-0000-000094020000}"/>
    <cellStyle name="Satisfaisant 2" xfId="381" xr:uid="{00000000-0005-0000-0000-000095020000}"/>
    <cellStyle name="Sortie 2" xfId="382" xr:uid="{00000000-0005-0000-0000-000096020000}"/>
    <cellStyle name="Texte explicatif 2" xfId="383" xr:uid="{00000000-0005-0000-0000-000097020000}"/>
    <cellStyle name="Titre 2" xfId="384" xr:uid="{00000000-0005-0000-0000-000098020000}"/>
    <cellStyle name="Titre 1 2" xfId="385" xr:uid="{00000000-0005-0000-0000-000099020000}"/>
    <cellStyle name="Titre 2 2" xfId="386" xr:uid="{00000000-0005-0000-0000-00009A020000}"/>
    <cellStyle name="Titre 3 2" xfId="387" xr:uid="{00000000-0005-0000-0000-00009B020000}"/>
    <cellStyle name="Titre 4 2" xfId="388" xr:uid="{00000000-0005-0000-0000-00009C020000}"/>
    <cellStyle name="Total 2" xfId="389" xr:uid="{00000000-0005-0000-0000-00009D020000}"/>
    <cellStyle name="Vérification 2" xfId="390" xr:uid="{00000000-0005-0000-0000-00009E02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4</xdr:col>
      <xdr:colOff>190500</xdr:colOff>
      <xdr:row>1</xdr:row>
      <xdr:rowOff>66675</xdr:rowOff>
    </xdr:from>
    <xdr:to>
      <xdr:col>4</xdr:col>
      <xdr:colOff>2333626</xdr:colOff>
      <xdr:row>4</xdr:row>
      <xdr:rowOff>95250</xdr:rowOff>
    </xdr:to>
    <xdr:sp macro="" textlink="">
      <xdr:nvSpPr>
        <xdr:cNvPr id="3" name="Rectangle 2">
          <a:extLst>
            <a:ext uri="{FF2B5EF4-FFF2-40B4-BE49-F238E27FC236}">
              <a16:creationId xmlns:a16="http://schemas.microsoft.com/office/drawing/2014/main" id="{EB0BD7CE-4B76-4E51-8BAF-3EE0B57B8861}"/>
            </a:ext>
          </a:extLst>
        </xdr:cNvPr>
        <xdr:cNvSpPr/>
      </xdr:nvSpPr>
      <xdr:spPr bwMode="auto">
        <a:xfrm>
          <a:off x="4714875" y="457200"/>
          <a:ext cx="2143126" cy="742950"/>
        </a:xfrm>
        <a:prstGeom prst="rect">
          <a:avLst/>
        </a:prstGeom>
        <a:solidFill>
          <a:schemeClr val="accent3">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lang="fr-CH" sz="1100" b="1"/>
            <a:t>Veuillez</a:t>
          </a:r>
          <a:r>
            <a:rPr lang="fr-CH" sz="1100" b="1" baseline="0"/>
            <a:t> cliquer sur la cellule C3 pour saisir le nom de votre commune ou la selectionner au moyen de la flèche en bas à droite de la cellule</a:t>
          </a:r>
          <a:endParaRPr lang="fr-CH" sz="1100" b="1"/>
        </a:p>
      </xdr:txBody>
    </xdr:sp>
    <xdr:clientData/>
  </xdr:twoCellAnchor>
  <xdr:twoCellAnchor>
    <xdr:from>
      <xdr:col>5</xdr:col>
      <xdr:colOff>38100</xdr:colOff>
      <xdr:row>6</xdr:row>
      <xdr:rowOff>282575</xdr:rowOff>
    </xdr:from>
    <xdr:to>
      <xdr:col>7</xdr:col>
      <xdr:colOff>361950</xdr:colOff>
      <xdr:row>12</xdr:row>
      <xdr:rowOff>63500</xdr:rowOff>
    </xdr:to>
    <xdr:sp macro="" textlink="">
      <xdr:nvSpPr>
        <xdr:cNvPr id="4" name="Rectangle 3">
          <a:extLst>
            <a:ext uri="{FF2B5EF4-FFF2-40B4-BE49-F238E27FC236}">
              <a16:creationId xmlns:a16="http://schemas.microsoft.com/office/drawing/2014/main" id="{826EB6EA-35D7-4EA1-9AD9-96954E73A252}"/>
            </a:ext>
          </a:extLst>
        </xdr:cNvPr>
        <xdr:cNvSpPr/>
      </xdr:nvSpPr>
      <xdr:spPr bwMode="auto">
        <a:xfrm>
          <a:off x="6934200" y="1854200"/>
          <a:ext cx="1981200" cy="838200"/>
        </a:xfrm>
        <a:prstGeom prst="rect">
          <a:avLst/>
        </a:prstGeom>
        <a:solidFill>
          <a:schemeClr val="accent3">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marL="0" indent="0" algn="ctr"/>
          <a:r>
            <a:rPr lang="fr-CH" sz="1100" b="1">
              <a:latin typeface="+mn-lt"/>
              <a:ea typeface="+mn-ea"/>
              <a:cs typeface="+mn-cs"/>
            </a:rPr>
            <a:t>En</a:t>
          </a:r>
          <a:r>
            <a:rPr lang="fr-CH" sz="1100" b="1" baseline="0">
              <a:latin typeface="+mn-lt"/>
              <a:ea typeface="+mn-ea"/>
              <a:cs typeface="+mn-cs"/>
            </a:rPr>
            <a:t> cas de corrections, nous vous prions d'indiquer les nouveaux montants dans les cellules grises.</a:t>
          </a:r>
        </a:p>
        <a:p>
          <a:pPr marL="0" indent="0" algn="ctr"/>
          <a:endParaRPr lang="fr-CH" sz="1100" b="1">
            <a:latin typeface="+mn-lt"/>
            <a:ea typeface="+mn-ea"/>
            <a:cs typeface="+mn-cs"/>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00B0F0"/>
  </sheetPr>
  <dimension ref="A1:L538"/>
  <sheetViews>
    <sheetView tabSelected="1" zoomScaleNormal="100" workbookViewId="0"/>
  </sheetViews>
  <sheetFormatPr baseColWidth="10" defaultColWidth="10.75" defaultRowHeight="15" x14ac:dyDescent="0.25"/>
  <cols>
    <col min="1" max="1" width="48" style="156" bestFit="1" customWidth="1"/>
    <col min="2" max="2" width="13.75" style="156" customWidth="1"/>
    <col min="3" max="3" width="16.625" style="156" customWidth="1"/>
    <col min="4" max="4" width="12.25" style="156" customWidth="1"/>
    <col min="5" max="5" width="11" style="156" bestFit="1" customWidth="1"/>
    <col min="6" max="6" width="12.125" style="156" bestFit="1" customWidth="1"/>
    <col min="7" max="7" width="12.5" style="156" bestFit="1" customWidth="1"/>
    <col min="8" max="8" width="12" style="156" bestFit="1" customWidth="1"/>
    <col min="9" max="10" width="12.125" style="156" bestFit="1" customWidth="1"/>
    <col min="11" max="11" width="14.375" style="156" bestFit="1" customWidth="1"/>
    <col min="12" max="16384" width="10.75" style="156"/>
  </cols>
  <sheetData>
    <row r="1" spans="1:11" ht="31.5" x14ac:dyDescent="0.5">
      <c r="A1" s="195" t="s">
        <v>364</v>
      </c>
    </row>
    <row r="4" spans="1:11" ht="21" x14ac:dyDescent="0.35">
      <c r="A4" s="175" t="s">
        <v>441</v>
      </c>
    </row>
    <row r="5" spans="1:11" x14ac:dyDescent="0.25">
      <c r="A5" s="156" t="s">
        <v>433</v>
      </c>
      <c r="B5" s="337">
        <v>2021</v>
      </c>
    </row>
    <row r="6" spans="1:11" x14ac:dyDescent="0.25">
      <c r="A6" s="156" t="s">
        <v>479</v>
      </c>
      <c r="B6" s="337" t="s">
        <v>544</v>
      </c>
    </row>
    <row r="7" spans="1:11" x14ac:dyDescent="0.25">
      <c r="A7" s="156" t="s">
        <v>475</v>
      </c>
      <c r="B7" s="176">
        <v>43099</v>
      </c>
    </row>
    <row r="8" spans="1:11" x14ac:dyDescent="0.25">
      <c r="A8" s="156" t="s">
        <v>476</v>
      </c>
      <c r="B8" s="235">
        <v>2021</v>
      </c>
    </row>
    <row r="10" spans="1:11" ht="21" x14ac:dyDescent="0.35">
      <c r="A10" s="175" t="s">
        <v>442</v>
      </c>
      <c r="C10" s="158"/>
      <c r="D10" s="158"/>
    </row>
    <row r="11" spans="1:11" x14ac:dyDescent="0.25">
      <c r="A11" s="156" t="s">
        <v>427</v>
      </c>
      <c r="B11" s="177">
        <v>0.5</v>
      </c>
      <c r="C11" s="166"/>
      <c r="D11" s="166"/>
    </row>
    <row r="12" spans="1:11" x14ac:dyDescent="0.25">
      <c r="A12" s="156" t="s">
        <v>484</v>
      </c>
      <c r="B12" s="177">
        <v>0.3</v>
      </c>
      <c r="C12" s="167"/>
      <c r="D12" s="167"/>
      <c r="F12" s="163"/>
    </row>
    <row r="14" spans="1:11" ht="21" x14ac:dyDescent="0.35">
      <c r="A14" s="175" t="s">
        <v>443</v>
      </c>
      <c r="H14" s="400"/>
      <c r="I14" s="400"/>
      <c r="J14" s="400"/>
      <c r="K14" s="400"/>
    </row>
    <row r="15" spans="1:11" x14ac:dyDescent="0.25">
      <c r="B15" s="168" t="s">
        <v>284</v>
      </c>
      <c r="C15" s="168" t="s">
        <v>285</v>
      </c>
      <c r="D15" s="168" t="s">
        <v>395</v>
      </c>
      <c r="E15" s="168" t="s">
        <v>504</v>
      </c>
      <c r="F15" s="168" t="s">
        <v>505</v>
      </c>
      <c r="H15" s="400"/>
      <c r="I15" s="400"/>
      <c r="J15" s="400"/>
      <c r="K15" s="400"/>
    </row>
    <row r="16" spans="1:11" x14ac:dyDescent="0.25">
      <c r="A16" s="156" t="s">
        <v>483</v>
      </c>
      <c r="B16" s="178">
        <v>0.2</v>
      </c>
      <c r="C16" s="178">
        <v>0.3</v>
      </c>
      <c r="D16" s="178">
        <v>0.4</v>
      </c>
      <c r="E16" s="178">
        <v>0.5</v>
      </c>
      <c r="F16" s="178">
        <v>0.6</v>
      </c>
      <c r="G16" s="353"/>
      <c r="H16" s="400"/>
      <c r="I16" s="400"/>
      <c r="J16" s="400"/>
      <c r="K16" s="400"/>
    </row>
    <row r="17" spans="1:12" x14ac:dyDescent="0.25">
      <c r="A17" s="156" t="s">
        <v>444</v>
      </c>
      <c r="B17" s="178">
        <v>1</v>
      </c>
      <c r="C17" s="178">
        <v>1.2</v>
      </c>
      <c r="D17" s="178">
        <v>1.5</v>
      </c>
      <c r="E17" s="265">
        <v>2</v>
      </c>
      <c r="F17" s="402">
        <v>3</v>
      </c>
      <c r="G17" s="353"/>
      <c r="H17" s="400"/>
      <c r="I17" s="400"/>
      <c r="J17" s="400"/>
      <c r="K17" s="400"/>
    </row>
    <row r="18" spans="1:12" x14ac:dyDescent="0.25">
      <c r="F18" s="158"/>
      <c r="I18" s="158"/>
      <c r="J18" s="158"/>
      <c r="K18" s="158"/>
      <c r="L18" s="158"/>
    </row>
    <row r="19" spans="1:12" ht="21" x14ac:dyDescent="0.35">
      <c r="A19" s="175" t="s">
        <v>445</v>
      </c>
      <c r="B19" s="158"/>
      <c r="C19" s="158"/>
      <c r="D19" s="158"/>
      <c r="E19" s="169"/>
      <c r="F19" s="159"/>
      <c r="I19" s="158"/>
      <c r="J19" s="401"/>
      <c r="K19" s="401"/>
      <c r="L19" s="160"/>
    </row>
    <row r="20" spans="1:12" x14ac:dyDescent="0.25">
      <c r="A20" s="180" t="s">
        <v>480</v>
      </c>
      <c r="B20" s="184">
        <v>0</v>
      </c>
      <c r="C20" s="184">
        <v>1000</v>
      </c>
      <c r="D20" s="184">
        <v>3000</v>
      </c>
      <c r="E20" s="184">
        <v>5000</v>
      </c>
      <c r="F20" s="184">
        <v>9000</v>
      </c>
      <c r="G20" s="184">
        <v>12000</v>
      </c>
      <c r="H20" s="184">
        <v>15000</v>
      </c>
      <c r="I20" s="170"/>
      <c r="J20" s="401"/>
      <c r="K20" s="401"/>
      <c r="L20" s="158"/>
    </row>
    <row r="21" spans="1:12" ht="15" customHeight="1" x14ac:dyDescent="0.25">
      <c r="A21" s="180"/>
      <c r="B21" s="184">
        <v>1000</v>
      </c>
      <c r="C21" s="184">
        <v>3000</v>
      </c>
      <c r="D21" s="184">
        <v>5000</v>
      </c>
      <c r="E21" s="184">
        <v>9000</v>
      </c>
      <c r="F21" s="184">
        <v>12000</v>
      </c>
      <c r="G21" s="184">
        <v>15000</v>
      </c>
      <c r="H21" s="184"/>
      <c r="I21" s="170"/>
      <c r="J21" s="401"/>
      <c r="K21" s="401"/>
      <c r="L21" s="158"/>
    </row>
    <row r="22" spans="1:12" x14ac:dyDescent="0.25">
      <c r="A22" s="181" t="s">
        <v>446</v>
      </c>
      <c r="B22" s="242">
        <v>125</v>
      </c>
      <c r="C22" s="242">
        <v>350</v>
      </c>
      <c r="D22" s="242">
        <v>500</v>
      </c>
      <c r="E22" s="242">
        <v>600</v>
      </c>
      <c r="F22" s="242">
        <v>850</v>
      </c>
      <c r="G22" s="242">
        <v>1000</v>
      </c>
      <c r="H22" s="242">
        <v>1050</v>
      </c>
      <c r="I22" s="171"/>
      <c r="J22" s="401"/>
      <c r="K22" s="401"/>
      <c r="L22" s="158"/>
    </row>
    <row r="23" spans="1:12" x14ac:dyDescent="0.25">
      <c r="A23" s="158" t="s">
        <v>428</v>
      </c>
      <c r="B23" s="258">
        <v>99.4</v>
      </c>
      <c r="C23" s="179"/>
      <c r="D23" s="179"/>
      <c r="E23" s="179"/>
      <c r="F23" s="179"/>
      <c r="G23" s="179"/>
      <c r="H23" s="179"/>
      <c r="I23" s="158"/>
      <c r="J23" s="401"/>
      <c r="K23" s="401"/>
      <c r="L23" s="158"/>
    </row>
    <row r="24" spans="1:12" x14ac:dyDescent="0.25">
      <c r="A24" s="158" t="s">
        <v>429</v>
      </c>
      <c r="B24" s="259">
        <v>99.2</v>
      </c>
      <c r="C24" s="179"/>
      <c r="D24" s="179"/>
      <c r="E24" s="179"/>
      <c r="F24" s="179"/>
      <c r="G24" s="179"/>
      <c r="H24" s="179"/>
      <c r="I24" s="158"/>
      <c r="J24" s="158"/>
      <c r="K24" s="158"/>
      <c r="L24" s="158"/>
    </row>
    <row r="25" spans="1:12" x14ac:dyDescent="0.25">
      <c r="A25" s="158" t="s">
        <v>430</v>
      </c>
      <c r="B25" s="260">
        <f>+B22/$B$23*$B$24</f>
        <v>124.74849094567404</v>
      </c>
      <c r="C25" s="173">
        <f t="shared" ref="C25:H25" si="0">+C22/$B$23*$B$24</f>
        <v>349.2957746478873</v>
      </c>
      <c r="D25" s="173">
        <f t="shared" si="0"/>
        <v>498.99396378269614</v>
      </c>
      <c r="E25" s="173">
        <f t="shared" si="0"/>
        <v>598.79275653923537</v>
      </c>
      <c r="F25" s="173">
        <f t="shared" si="0"/>
        <v>848.2897384305835</v>
      </c>
      <c r="G25" s="173">
        <f t="shared" si="0"/>
        <v>997.98792756539228</v>
      </c>
      <c r="H25" s="173">
        <f t="shared" si="0"/>
        <v>1047.8873239436618</v>
      </c>
      <c r="I25" s="158"/>
      <c r="J25" s="158"/>
      <c r="K25" s="158"/>
      <c r="L25" s="158"/>
    </row>
    <row r="27" spans="1:12" ht="21" x14ac:dyDescent="0.35">
      <c r="A27" s="175" t="s">
        <v>447</v>
      </c>
    </row>
    <row r="28" spans="1:12" x14ac:dyDescent="0.25">
      <c r="A28" s="156" t="s">
        <v>481</v>
      </c>
      <c r="B28" s="185">
        <v>0.27</v>
      </c>
    </row>
    <row r="30" spans="1:12" ht="21" x14ac:dyDescent="0.35">
      <c r="A30" s="175" t="s">
        <v>448</v>
      </c>
    </row>
    <row r="31" spans="1:12" x14ac:dyDescent="0.25">
      <c r="A31" s="156" t="s">
        <v>366</v>
      </c>
      <c r="C31" s="161"/>
    </row>
    <row r="32" spans="1:12" x14ac:dyDescent="0.25">
      <c r="A32" s="156" t="s">
        <v>404</v>
      </c>
      <c r="B32" s="234">
        <v>7544004.9469441446</v>
      </c>
      <c r="C32" s="99">
        <f>Synthèse!L314-Synthèse!F314</f>
        <v>450000.00000071526</v>
      </c>
      <c r="D32" s="183">
        <f>+'J) Plafonnement effort'!J314+'K) Plafonnement aide'!J314+'L) Plafonnement taux'!Q315</f>
        <v>7544004.9469443308</v>
      </c>
      <c r="L32" s="163"/>
    </row>
    <row r="33" spans="1:12" x14ac:dyDescent="0.25">
      <c r="A33" s="156" t="s">
        <v>482</v>
      </c>
      <c r="B33" s="234">
        <v>-450000</v>
      </c>
      <c r="C33" s="162"/>
      <c r="D33" s="163"/>
      <c r="L33" s="163"/>
    </row>
    <row r="34" spans="1:12" x14ac:dyDescent="0.25">
      <c r="G34" s="163"/>
      <c r="H34" s="164"/>
      <c r="L34" s="163"/>
    </row>
    <row r="35" spans="1:12" ht="21" x14ac:dyDescent="0.35">
      <c r="A35" s="175" t="s">
        <v>449</v>
      </c>
      <c r="G35" s="163"/>
      <c r="H35" s="164"/>
      <c r="L35" s="163"/>
    </row>
    <row r="36" spans="1:12" x14ac:dyDescent="0.25">
      <c r="A36" s="174"/>
      <c r="B36" s="187" t="s">
        <v>367</v>
      </c>
      <c r="C36" s="187" t="s">
        <v>365</v>
      </c>
      <c r="E36" s="172" t="s">
        <v>507</v>
      </c>
      <c r="F36" s="172"/>
      <c r="G36" s="189">
        <f>+'D) Ecrêtage'!C314</f>
        <v>39865815.115802124</v>
      </c>
      <c r="H36" s="191"/>
      <c r="I36" s="190" t="s">
        <v>426</v>
      </c>
      <c r="J36" s="172"/>
      <c r="K36" s="99">
        <f>+'I) Dépenses thématiques'!L314</f>
        <v>222375662.16407165</v>
      </c>
    </row>
    <row r="37" spans="1:12" x14ac:dyDescent="0.25">
      <c r="A37" s="156" t="s">
        <v>450</v>
      </c>
      <c r="B37" s="186">
        <v>8</v>
      </c>
      <c r="C37" s="168">
        <f>+H38</f>
        <v>0.75</v>
      </c>
      <c r="E37" s="172" t="s">
        <v>554</v>
      </c>
      <c r="F37" s="172"/>
      <c r="G37" s="312">
        <v>4.5</v>
      </c>
      <c r="H37" s="282">
        <v>0.75</v>
      </c>
      <c r="I37" s="190" t="s">
        <v>209</v>
      </c>
      <c r="J37" s="172"/>
      <c r="K37" s="99">
        <f>+'I) Dépenses thématiques'!R314</f>
        <v>8418838.7416149974</v>
      </c>
    </row>
    <row r="38" spans="1:12" x14ac:dyDescent="0.25">
      <c r="A38" s="156" t="s">
        <v>485</v>
      </c>
      <c r="B38" s="186">
        <v>1</v>
      </c>
      <c r="C38" s="168">
        <f>+H38</f>
        <v>0.75</v>
      </c>
      <c r="E38" s="172" t="s">
        <v>451</v>
      </c>
      <c r="F38" s="172"/>
      <c r="G38" s="188">
        <f>+G36*G37</f>
        <v>179396168.02110955</v>
      </c>
      <c r="H38" s="257">
        <f>IF((G38/K38)&gt;H37,H37,(G38/K38))</f>
        <v>0.75</v>
      </c>
      <c r="I38" s="172" t="s">
        <v>136</v>
      </c>
      <c r="J38" s="172"/>
      <c r="K38" s="99">
        <f>SUM(K36:K37)</f>
        <v>230794500.90568665</v>
      </c>
    </row>
    <row r="40" spans="1:12" ht="21" x14ac:dyDescent="0.35">
      <c r="A40" s="175" t="s">
        <v>452</v>
      </c>
      <c r="H40" s="283"/>
      <c r="K40" s="370"/>
    </row>
    <row r="41" spans="1:12" x14ac:dyDescent="0.25">
      <c r="A41" s="156" t="s">
        <v>498</v>
      </c>
      <c r="B41" s="440">
        <v>48</v>
      </c>
      <c r="H41" s="347"/>
    </row>
    <row r="42" spans="1:12" x14ac:dyDescent="0.25">
      <c r="A42" s="156" t="s">
        <v>486</v>
      </c>
      <c r="B42" s="388">
        <v>48</v>
      </c>
      <c r="C42" s="266" t="s">
        <v>494</v>
      </c>
      <c r="D42" s="313">
        <v>45</v>
      </c>
      <c r="E42" s="266" t="s">
        <v>497</v>
      </c>
      <c r="F42" s="313">
        <v>45</v>
      </c>
      <c r="G42" s="266" t="s">
        <v>512</v>
      </c>
      <c r="H42" s="313">
        <v>48</v>
      </c>
    </row>
    <row r="43" spans="1:12" x14ac:dyDescent="0.25">
      <c r="A43" s="156" t="s">
        <v>487</v>
      </c>
      <c r="B43" s="389">
        <v>-8</v>
      </c>
      <c r="C43" s="266" t="s">
        <v>494</v>
      </c>
      <c r="D43" s="313">
        <v>-6.5</v>
      </c>
      <c r="E43" s="266" t="s">
        <v>495</v>
      </c>
      <c r="F43" s="313">
        <v>8</v>
      </c>
      <c r="G43" s="266" t="s">
        <v>513</v>
      </c>
      <c r="H43" s="313">
        <v>8</v>
      </c>
    </row>
    <row r="44" spans="1:12" x14ac:dyDescent="0.25">
      <c r="A44" s="156" t="s">
        <v>499</v>
      </c>
      <c r="B44" s="441">
        <v>93.882000000000005</v>
      </c>
      <c r="C44" s="375"/>
      <c r="E44" s="310"/>
    </row>
    <row r="45" spans="1:12" x14ac:dyDescent="0.25">
      <c r="A45" s="156" t="s">
        <v>503</v>
      </c>
      <c r="B45" s="483">
        <f>IF(B55&gt;B56,B44+B57,B44)</f>
        <v>93.882000000000005</v>
      </c>
    </row>
    <row r="46" spans="1:12" x14ac:dyDescent="0.25">
      <c r="A46" s="156" t="s">
        <v>491</v>
      </c>
      <c r="B46" s="264">
        <v>48</v>
      </c>
      <c r="I46" s="162"/>
    </row>
    <row r="47" spans="1:12" x14ac:dyDescent="0.25">
      <c r="A47" s="156" t="s">
        <v>492</v>
      </c>
      <c r="B47" s="264">
        <v>85</v>
      </c>
    </row>
    <row r="49" spans="1:9" x14ac:dyDescent="0.25">
      <c r="A49" s="165"/>
      <c r="B49" s="157"/>
    </row>
    <row r="50" spans="1:9" ht="21" x14ac:dyDescent="0.35">
      <c r="A50" s="196" t="s">
        <v>540</v>
      </c>
      <c r="B50" s="158"/>
      <c r="E50" s="374"/>
    </row>
    <row r="51" spans="1:9" x14ac:dyDescent="0.25">
      <c r="A51" s="158" t="s">
        <v>547</v>
      </c>
      <c r="B51" s="182">
        <v>844273246</v>
      </c>
      <c r="D51" s="545" t="s">
        <v>553</v>
      </c>
      <c r="E51" s="546"/>
      <c r="F51" s="546"/>
      <c r="G51" s="546"/>
      <c r="H51" s="547"/>
      <c r="I51" s="182">
        <v>845342044</v>
      </c>
    </row>
    <row r="52" spans="1:9" x14ac:dyDescent="0.25">
      <c r="A52" s="401" t="s">
        <v>548</v>
      </c>
      <c r="B52" s="183">
        <f>I51+I52+I53</f>
        <v>795342044</v>
      </c>
      <c r="D52" s="542" t="s">
        <v>549</v>
      </c>
      <c r="E52" s="543"/>
      <c r="F52" s="543"/>
      <c r="G52" s="543"/>
      <c r="H52" s="544"/>
      <c r="I52" s="182">
        <v>-25000000</v>
      </c>
    </row>
    <row r="53" spans="1:9" x14ac:dyDescent="0.25">
      <c r="A53" s="158" t="s">
        <v>517</v>
      </c>
      <c r="B53" s="182">
        <v>39272474</v>
      </c>
      <c r="D53" s="545" t="s">
        <v>550</v>
      </c>
      <c r="E53" s="546"/>
      <c r="F53" s="546"/>
      <c r="G53" s="546"/>
      <c r="H53" s="547"/>
      <c r="I53" s="182">
        <v>-25000000</v>
      </c>
    </row>
    <row r="54" spans="1:9" x14ac:dyDescent="0.25">
      <c r="A54" s="158" t="s">
        <v>545</v>
      </c>
      <c r="B54" s="182">
        <f>+'B) D RI'!U315</f>
        <v>39865815.115802124</v>
      </c>
      <c r="C54" s="400"/>
      <c r="D54" s="400"/>
      <c r="E54" s="158"/>
    </row>
    <row r="55" spans="1:9" x14ac:dyDescent="0.25">
      <c r="A55" s="158" t="s">
        <v>546</v>
      </c>
      <c r="B55" s="193">
        <f>(B52-B51)*100/B51</f>
        <v>-5.79565943038304</v>
      </c>
      <c r="C55" s="158"/>
      <c r="D55" s="158"/>
      <c r="E55" s="158"/>
    </row>
    <row r="56" spans="1:9" x14ac:dyDescent="0.25">
      <c r="A56" s="158" t="s">
        <v>420</v>
      </c>
      <c r="B56" s="193">
        <f>(B54-B53)*100/B53</f>
        <v>1.5108320290749295</v>
      </c>
      <c r="C56" s="170"/>
      <c r="D56" s="158"/>
      <c r="E56" s="158"/>
    </row>
    <row r="57" spans="1:9" x14ac:dyDescent="0.25">
      <c r="A57" s="158" t="s">
        <v>421</v>
      </c>
      <c r="B57" s="194">
        <f>(B52-B51)/B54</f>
        <v>-1.2273975048011627</v>
      </c>
      <c r="C57" s="192"/>
      <c r="D57" s="158"/>
      <c r="E57" s="158"/>
    </row>
    <row r="58" spans="1:9" x14ac:dyDescent="0.25">
      <c r="A58" s="158"/>
      <c r="B58" s="158"/>
      <c r="C58" s="158"/>
      <c r="D58" s="158"/>
      <c r="E58" s="158"/>
    </row>
    <row r="59" spans="1:9" ht="21" x14ac:dyDescent="0.35">
      <c r="A59" s="196" t="s">
        <v>470</v>
      </c>
      <c r="B59" s="158"/>
      <c r="C59" s="158"/>
      <c r="D59" s="158"/>
      <c r="E59" s="158"/>
    </row>
    <row r="60" spans="1:9" x14ac:dyDescent="0.25">
      <c r="A60" s="158" t="s">
        <v>471</v>
      </c>
      <c r="B60" s="226">
        <v>2</v>
      </c>
      <c r="C60" s="158">
        <v>2013</v>
      </c>
      <c r="D60" s="241">
        <v>62118300</v>
      </c>
      <c r="E60" s="156">
        <v>2016</v>
      </c>
      <c r="F60" s="241">
        <f>D62*101.5%</f>
        <v>64955763.00176248</v>
      </c>
      <c r="G60" s="369" t="s">
        <v>506</v>
      </c>
      <c r="H60" s="200">
        <f>+F62*101.5/100</f>
        <v>67922836.702568099</v>
      </c>
    </row>
    <row r="61" spans="1:9" x14ac:dyDescent="0.25">
      <c r="A61" s="158" t="s">
        <v>474</v>
      </c>
      <c r="B61" s="234">
        <f>H62</f>
        <v>69975804.441903219</v>
      </c>
      <c r="C61" s="158">
        <v>2014</v>
      </c>
      <c r="D61" s="241">
        <f>D60*101.5%</f>
        <v>63050074.499999993</v>
      </c>
      <c r="E61" s="158">
        <v>2017</v>
      </c>
      <c r="F61" s="200">
        <f>+F60*1.015</f>
        <v>65930099.446788907</v>
      </c>
      <c r="G61" s="369" t="s">
        <v>516</v>
      </c>
      <c r="H61" s="200">
        <f>+H60*101.5/100</f>
        <v>68941679.253106624</v>
      </c>
    </row>
    <row r="62" spans="1:9" x14ac:dyDescent="0.25">
      <c r="A62" s="158"/>
      <c r="B62" s="158"/>
      <c r="C62" s="158">
        <v>2015</v>
      </c>
      <c r="D62" s="241">
        <f>D61*101.5%</f>
        <v>63995825.617499985</v>
      </c>
      <c r="E62" s="158">
        <v>2018</v>
      </c>
      <c r="F62" s="200">
        <f>+F61*101.5/100</f>
        <v>66919050.938490741</v>
      </c>
      <c r="G62" s="156">
        <v>2021</v>
      </c>
      <c r="H62" s="200">
        <f>+H61*101.5/100</f>
        <v>69975804.441903219</v>
      </c>
    </row>
    <row r="63" spans="1:9" ht="21" x14ac:dyDescent="0.35">
      <c r="A63" s="196" t="s">
        <v>456</v>
      </c>
    </row>
    <row r="64" spans="1:9" x14ac:dyDescent="0.25">
      <c r="A64" s="156" t="s">
        <v>391</v>
      </c>
      <c r="B64" s="156">
        <v>5621</v>
      </c>
    </row>
    <row r="65" spans="1:2" x14ac:dyDescent="0.25">
      <c r="A65" s="156" t="s">
        <v>319</v>
      </c>
      <c r="B65" s="156">
        <v>5742</v>
      </c>
    </row>
    <row r="66" spans="1:2" x14ac:dyDescent="0.25">
      <c r="A66" s="156" t="s">
        <v>253</v>
      </c>
      <c r="B66" s="156">
        <v>5401</v>
      </c>
    </row>
    <row r="67" spans="1:2" x14ac:dyDescent="0.25">
      <c r="A67" s="156" t="s">
        <v>16</v>
      </c>
      <c r="B67" s="156">
        <v>5851</v>
      </c>
    </row>
    <row r="68" spans="1:2" x14ac:dyDescent="0.25">
      <c r="A68" s="156" t="s">
        <v>72</v>
      </c>
      <c r="B68" s="156">
        <v>5421</v>
      </c>
    </row>
    <row r="69" spans="1:2" x14ac:dyDescent="0.25">
      <c r="A69" s="156" t="s">
        <v>108</v>
      </c>
      <c r="B69" s="156">
        <v>5701</v>
      </c>
    </row>
    <row r="70" spans="1:2" x14ac:dyDescent="0.25">
      <c r="A70" s="156" t="s">
        <v>257</v>
      </c>
      <c r="B70" s="156">
        <v>5743</v>
      </c>
    </row>
    <row r="71" spans="1:2" x14ac:dyDescent="0.25">
      <c r="A71" s="156" t="s">
        <v>424</v>
      </c>
      <c r="B71" s="156">
        <v>5702</v>
      </c>
    </row>
    <row r="72" spans="1:2" x14ac:dyDescent="0.25">
      <c r="A72" s="156" t="s">
        <v>172</v>
      </c>
      <c r="B72" s="156">
        <v>5511</v>
      </c>
    </row>
    <row r="73" spans="1:2" x14ac:dyDescent="0.25">
      <c r="A73" s="156" t="s">
        <v>73</v>
      </c>
      <c r="B73" s="156">
        <v>5422</v>
      </c>
    </row>
    <row r="74" spans="1:2" x14ac:dyDescent="0.25">
      <c r="A74" s="156" t="s">
        <v>337</v>
      </c>
      <c r="B74" s="156">
        <v>5451</v>
      </c>
    </row>
    <row r="75" spans="1:2" x14ac:dyDescent="0.25">
      <c r="A75" s="156" t="s">
        <v>258</v>
      </c>
      <c r="B75" s="156">
        <v>5744</v>
      </c>
    </row>
    <row r="76" spans="1:2" x14ac:dyDescent="0.25">
      <c r="A76" s="156" t="s">
        <v>74</v>
      </c>
      <c r="B76" s="156">
        <v>5423</v>
      </c>
    </row>
    <row r="77" spans="1:2" x14ac:dyDescent="0.25">
      <c r="A77" s="156" t="s">
        <v>109</v>
      </c>
      <c r="B77" s="156">
        <v>5703</v>
      </c>
    </row>
    <row r="78" spans="1:2" x14ac:dyDescent="0.25">
      <c r="A78" s="156" t="s">
        <v>259</v>
      </c>
      <c r="B78" s="156">
        <v>5745</v>
      </c>
    </row>
    <row r="79" spans="1:2" x14ac:dyDescent="0.25">
      <c r="A79" s="156" t="s">
        <v>260</v>
      </c>
      <c r="B79" s="156">
        <v>5746</v>
      </c>
    </row>
    <row r="80" spans="1:2" x14ac:dyDescent="0.25">
      <c r="A80" s="156" t="s">
        <v>214</v>
      </c>
      <c r="B80" s="156">
        <v>5704</v>
      </c>
    </row>
    <row r="81" spans="1:2" x14ac:dyDescent="0.25">
      <c r="A81" s="156" t="s">
        <v>375</v>
      </c>
      <c r="B81" s="156">
        <v>5581</v>
      </c>
    </row>
    <row r="82" spans="1:2" x14ac:dyDescent="0.25">
      <c r="A82" s="156" t="s">
        <v>55</v>
      </c>
      <c r="B82" s="156">
        <v>5902</v>
      </c>
    </row>
    <row r="83" spans="1:2" x14ac:dyDescent="0.25">
      <c r="A83" s="156" t="s">
        <v>173</v>
      </c>
      <c r="B83" s="156">
        <v>5512</v>
      </c>
    </row>
    <row r="84" spans="1:2" x14ac:dyDescent="0.25">
      <c r="A84" s="156" t="s">
        <v>75</v>
      </c>
      <c r="B84" s="156">
        <v>5424</v>
      </c>
    </row>
    <row r="85" spans="1:2" x14ac:dyDescent="0.25">
      <c r="A85" s="156" t="s">
        <v>340</v>
      </c>
      <c r="B85" s="156">
        <v>5471</v>
      </c>
    </row>
    <row r="86" spans="1:2" x14ac:dyDescent="0.25">
      <c r="A86" s="156" t="s">
        <v>254</v>
      </c>
      <c r="B86" s="156">
        <v>5402</v>
      </c>
    </row>
    <row r="87" spans="1:2" x14ac:dyDescent="0.25">
      <c r="A87" s="156" t="s">
        <v>76</v>
      </c>
      <c r="B87" s="156">
        <v>5425</v>
      </c>
    </row>
    <row r="88" spans="1:2" x14ac:dyDescent="0.25">
      <c r="A88" s="156" t="s">
        <v>56</v>
      </c>
      <c r="B88" s="156">
        <v>5903</v>
      </c>
    </row>
    <row r="89" spans="1:2" x14ac:dyDescent="0.25">
      <c r="A89" s="156" t="s">
        <v>174</v>
      </c>
      <c r="B89" s="156">
        <v>5513</v>
      </c>
    </row>
    <row r="90" spans="1:2" x14ac:dyDescent="0.25">
      <c r="A90" s="156" t="s">
        <v>202</v>
      </c>
      <c r="B90" s="156">
        <v>5881</v>
      </c>
    </row>
    <row r="91" spans="1:2" x14ac:dyDescent="0.25">
      <c r="A91" s="156" t="s">
        <v>261</v>
      </c>
      <c r="B91" s="156">
        <v>5747</v>
      </c>
    </row>
    <row r="92" spans="1:2" x14ac:dyDescent="0.25">
      <c r="A92" s="156" t="s">
        <v>215</v>
      </c>
      <c r="B92" s="156">
        <v>5705</v>
      </c>
    </row>
    <row r="93" spans="1:2" x14ac:dyDescent="0.25">
      <c r="A93" s="156" t="s">
        <v>33</v>
      </c>
      <c r="B93" s="156">
        <v>5551</v>
      </c>
    </row>
    <row r="94" spans="1:2" x14ac:dyDescent="0.25">
      <c r="A94" s="156" t="s">
        <v>216</v>
      </c>
      <c r="B94" s="156">
        <v>5706</v>
      </c>
    </row>
    <row r="95" spans="1:2" x14ac:dyDescent="0.25">
      <c r="A95" s="156" t="s">
        <v>175</v>
      </c>
      <c r="B95" s="156">
        <v>5514</v>
      </c>
    </row>
    <row r="96" spans="1:2" x14ac:dyDescent="0.25">
      <c r="A96" s="156" t="s">
        <v>70</v>
      </c>
      <c r="B96" s="156">
        <v>5426</v>
      </c>
    </row>
    <row r="97" spans="1:2" x14ac:dyDescent="0.25">
      <c r="A97" s="156" t="s">
        <v>198</v>
      </c>
      <c r="B97" s="156">
        <v>5661</v>
      </c>
    </row>
    <row r="98" spans="1:2" x14ac:dyDescent="0.25">
      <c r="A98" s="156" t="s">
        <v>411</v>
      </c>
      <c r="B98" s="156">
        <v>5613</v>
      </c>
    </row>
    <row r="99" spans="1:2" x14ac:dyDescent="0.25">
      <c r="A99" s="156" t="s">
        <v>341</v>
      </c>
      <c r="B99" s="156">
        <v>5472</v>
      </c>
    </row>
    <row r="100" spans="1:2" x14ac:dyDescent="0.25">
      <c r="A100" s="156" t="s">
        <v>205</v>
      </c>
      <c r="B100" s="156">
        <v>5473</v>
      </c>
    </row>
    <row r="101" spans="1:2" x14ac:dyDescent="0.25">
      <c r="A101" s="156" t="s">
        <v>143</v>
      </c>
      <c r="B101" s="156">
        <v>5622</v>
      </c>
    </row>
    <row r="102" spans="1:2" x14ac:dyDescent="0.25">
      <c r="A102" s="156" t="s">
        <v>176</v>
      </c>
      <c r="B102" s="156">
        <v>5515</v>
      </c>
    </row>
    <row r="103" spans="1:2" x14ac:dyDescent="0.25">
      <c r="A103" s="156" t="s">
        <v>262</v>
      </c>
      <c r="B103" s="156">
        <v>5748</v>
      </c>
    </row>
    <row r="104" spans="1:2" x14ac:dyDescent="0.25">
      <c r="A104" s="156" t="s">
        <v>144</v>
      </c>
      <c r="B104" s="156">
        <v>5623</v>
      </c>
    </row>
    <row r="105" spans="1:2" x14ac:dyDescent="0.25">
      <c r="A105" s="156" t="s">
        <v>34</v>
      </c>
      <c r="B105" s="156">
        <v>5552</v>
      </c>
    </row>
    <row r="106" spans="1:2" x14ac:dyDescent="0.25">
      <c r="A106" s="156" t="s">
        <v>17</v>
      </c>
      <c r="B106" s="156">
        <v>5852</v>
      </c>
    </row>
    <row r="107" spans="1:2" x14ac:dyDescent="0.25">
      <c r="A107" s="156" t="s">
        <v>18</v>
      </c>
      <c r="B107" s="156">
        <v>5853</v>
      </c>
    </row>
    <row r="108" spans="1:2" x14ac:dyDescent="0.25">
      <c r="A108" s="156" t="s">
        <v>19</v>
      </c>
      <c r="B108" s="156">
        <v>5854</v>
      </c>
    </row>
    <row r="109" spans="1:2" x14ac:dyDescent="0.25">
      <c r="A109" s="156" t="s">
        <v>423</v>
      </c>
      <c r="B109" s="156">
        <v>5624</v>
      </c>
    </row>
    <row r="110" spans="1:2" x14ac:dyDescent="0.25">
      <c r="A110" s="156" t="s">
        <v>293</v>
      </c>
      <c r="B110" s="156">
        <v>5625</v>
      </c>
    </row>
    <row r="111" spans="1:2" x14ac:dyDescent="0.25">
      <c r="A111" s="156" t="s">
        <v>199</v>
      </c>
      <c r="B111" s="156">
        <v>5663</v>
      </c>
    </row>
    <row r="112" spans="1:2" x14ac:dyDescent="0.25">
      <c r="A112" s="156" t="s">
        <v>57</v>
      </c>
      <c r="B112" s="156">
        <v>5904</v>
      </c>
    </row>
    <row r="113" spans="1:2" x14ac:dyDescent="0.25">
      <c r="A113" s="156" t="s">
        <v>35</v>
      </c>
      <c r="B113" s="156">
        <v>5553</v>
      </c>
    </row>
    <row r="114" spans="1:2" x14ac:dyDescent="0.25">
      <c r="A114" s="156" t="s">
        <v>373</v>
      </c>
      <c r="B114" s="156">
        <v>5812</v>
      </c>
    </row>
    <row r="115" spans="1:2" x14ac:dyDescent="0.25">
      <c r="A115" s="156" t="s">
        <v>58</v>
      </c>
      <c r="B115" s="156">
        <v>5905</v>
      </c>
    </row>
    <row r="116" spans="1:2" x14ac:dyDescent="0.25">
      <c r="A116" s="156" t="s">
        <v>203</v>
      </c>
      <c r="B116" s="156">
        <v>5882</v>
      </c>
    </row>
    <row r="117" spans="1:2" x14ac:dyDescent="0.25">
      <c r="A117" s="156" t="s">
        <v>13</v>
      </c>
      <c r="B117" s="156">
        <v>5841</v>
      </c>
    </row>
    <row r="118" spans="1:2" x14ac:dyDescent="0.25">
      <c r="A118" s="156" t="s">
        <v>217</v>
      </c>
      <c r="B118" s="156">
        <v>5707</v>
      </c>
    </row>
    <row r="119" spans="1:2" x14ac:dyDescent="0.25">
      <c r="A119" s="156" t="s">
        <v>218</v>
      </c>
      <c r="B119" s="156">
        <v>5708</v>
      </c>
    </row>
    <row r="120" spans="1:2" x14ac:dyDescent="0.25">
      <c r="A120" s="156" t="s">
        <v>59</v>
      </c>
      <c r="B120" s="156">
        <v>5907</v>
      </c>
    </row>
    <row r="121" spans="1:2" x14ac:dyDescent="0.25">
      <c r="A121" s="156" t="s">
        <v>359</v>
      </c>
      <c r="B121" s="156">
        <v>5475</v>
      </c>
    </row>
    <row r="122" spans="1:2" x14ac:dyDescent="0.25">
      <c r="A122" s="156" t="s">
        <v>247</v>
      </c>
      <c r="B122" s="156">
        <v>5627</v>
      </c>
    </row>
    <row r="123" spans="1:2" x14ac:dyDescent="0.25">
      <c r="A123" s="156" t="s">
        <v>95</v>
      </c>
      <c r="B123" s="156">
        <v>5665</v>
      </c>
    </row>
    <row r="124" spans="1:2" x14ac:dyDescent="0.25">
      <c r="A124" s="156" t="s">
        <v>263</v>
      </c>
      <c r="B124" s="156">
        <v>5749</v>
      </c>
    </row>
    <row r="125" spans="1:2" x14ac:dyDescent="0.25">
      <c r="A125" s="156" t="s">
        <v>60</v>
      </c>
      <c r="B125" s="156">
        <v>5908</v>
      </c>
    </row>
    <row r="126" spans="1:2" x14ac:dyDescent="0.25">
      <c r="A126" s="156" t="s">
        <v>61</v>
      </c>
      <c r="B126" s="156">
        <v>5909</v>
      </c>
    </row>
    <row r="127" spans="1:2" x14ac:dyDescent="0.25">
      <c r="A127" s="156" t="s">
        <v>376</v>
      </c>
      <c r="B127" s="156">
        <v>5582</v>
      </c>
    </row>
    <row r="128" spans="1:2" x14ac:dyDescent="0.25">
      <c r="A128" s="156" t="s">
        <v>219</v>
      </c>
      <c r="B128" s="156">
        <v>5709</v>
      </c>
    </row>
    <row r="129" spans="1:2" x14ac:dyDescent="0.25">
      <c r="A129" s="156" t="s">
        <v>110</v>
      </c>
      <c r="B129" s="156">
        <v>5403</v>
      </c>
    </row>
    <row r="130" spans="1:2" x14ac:dyDescent="0.25">
      <c r="A130" s="156" t="s">
        <v>360</v>
      </c>
      <c r="B130" s="156">
        <v>5476</v>
      </c>
    </row>
    <row r="131" spans="1:2" x14ac:dyDescent="0.25">
      <c r="A131" s="156" t="s">
        <v>374</v>
      </c>
      <c r="B131" s="156">
        <v>5813</v>
      </c>
    </row>
    <row r="132" spans="1:2" x14ac:dyDescent="0.25">
      <c r="A132" s="156" t="s">
        <v>290</v>
      </c>
      <c r="B132" s="156">
        <v>5601</v>
      </c>
    </row>
    <row r="133" spans="1:2" x14ac:dyDescent="0.25">
      <c r="A133" s="156" t="s">
        <v>248</v>
      </c>
      <c r="B133" s="156">
        <v>5628</v>
      </c>
    </row>
    <row r="134" spans="1:2" x14ac:dyDescent="0.25">
      <c r="A134" s="156" t="s">
        <v>147</v>
      </c>
      <c r="B134" s="156">
        <v>5629</v>
      </c>
    </row>
    <row r="135" spans="1:2" x14ac:dyDescent="0.25">
      <c r="A135" s="156" t="s">
        <v>220</v>
      </c>
      <c r="B135" s="156">
        <v>5710</v>
      </c>
    </row>
    <row r="136" spans="1:2" x14ac:dyDescent="0.25">
      <c r="A136" s="156" t="s">
        <v>221</v>
      </c>
      <c r="B136" s="156">
        <v>5711</v>
      </c>
    </row>
    <row r="137" spans="1:2" x14ac:dyDescent="0.25">
      <c r="A137" s="156" t="s">
        <v>36</v>
      </c>
      <c r="B137" s="156">
        <v>5554</v>
      </c>
    </row>
    <row r="138" spans="1:2" x14ac:dyDescent="0.25">
      <c r="A138" s="156" t="s">
        <v>222</v>
      </c>
      <c r="B138" s="156">
        <v>5712</v>
      </c>
    </row>
    <row r="139" spans="1:2" x14ac:dyDescent="0.25">
      <c r="A139" s="156" t="s">
        <v>111</v>
      </c>
      <c r="B139" s="156">
        <v>5404</v>
      </c>
    </row>
    <row r="140" spans="1:2" x14ac:dyDescent="0.25">
      <c r="A140" s="156" t="s">
        <v>271</v>
      </c>
      <c r="B140" s="156">
        <v>5785</v>
      </c>
    </row>
    <row r="141" spans="1:2" x14ac:dyDescent="0.25">
      <c r="A141" s="156" t="s">
        <v>37</v>
      </c>
      <c r="B141" s="156">
        <v>5555</v>
      </c>
    </row>
    <row r="142" spans="1:2" x14ac:dyDescent="0.25">
      <c r="A142" s="156" t="s">
        <v>6</v>
      </c>
      <c r="B142" s="156">
        <v>5816</v>
      </c>
    </row>
    <row r="143" spans="1:2" x14ac:dyDescent="0.25">
      <c r="A143" s="156" t="s">
        <v>204</v>
      </c>
      <c r="B143" s="156">
        <v>5883</v>
      </c>
    </row>
    <row r="144" spans="1:2" x14ac:dyDescent="0.25">
      <c r="A144" s="156" t="s">
        <v>49</v>
      </c>
      <c r="B144" s="156">
        <v>5884</v>
      </c>
    </row>
    <row r="145" spans="1:2" x14ac:dyDescent="0.25">
      <c r="A145" s="156" t="s">
        <v>361</v>
      </c>
      <c r="B145" s="156">
        <v>5477</v>
      </c>
    </row>
    <row r="146" spans="1:2" x14ac:dyDescent="0.25">
      <c r="A146" s="156" t="s">
        <v>233</v>
      </c>
      <c r="B146" s="156">
        <v>5478</v>
      </c>
    </row>
    <row r="147" spans="1:2" x14ac:dyDescent="0.25">
      <c r="A147" s="156" t="s">
        <v>604</v>
      </c>
      <c r="B147" s="156">
        <v>5713</v>
      </c>
    </row>
    <row r="148" spans="1:2" x14ac:dyDescent="0.25">
      <c r="A148" s="156" t="s">
        <v>223</v>
      </c>
      <c r="B148" s="156">
        <v>5714</v>
      </c>
    </row>
    <row r="149" spans="1:2" x14ac:dyDescent="0.25">
      <c r="A149" s="156" t="s">
        <v>377</v>
      </c>
      <c r="B149" s="156">
        <v>5583</v>
      </c>
    </row>
    <row r="150" spans="1:2" x14ac:dyDescent="0.25">
      <c r="A150" s="156" t="s">
        <v>62</v>
      </c>
      <c r="B150" s="156">
        <v>5910</v>
      </c>
    </row>
    <row r="151" spans="1:2" x14ac:dyDescent="0.25">
      <c r="A151" s="156" t="s">
        <v>323</v>
      </c>
      <c r="B151" s="156">
        <v>5752</v>
      </c>
    </row>
    <row r="152" spans="1:2" x14ac:dyDescent="0.25">
      <c r="A152" s="156" t="s">
        <v>234</v>
      </c>
      <c r="B152" s="156">
        <v>5479</v>
      </c>
    </row>
    <row r="153" spans="1:2" x14ac:dyDescent="0.25">
      <c r="A153" s="156" t="s">
        <v>63</v>
      </c>
      <c r="B153" s="156">
        <v>5911</v>
      </c>
    </row>
    <row r="154" spans="1:2" x14ac:dyDescent="0.25">
      <c r="A154" s="156" t="s">
        <v>338</v>
      </c>
      <c r="B154" s="156">
        <v>5456</v>
      </c>
    </row>
    <row r="155" spans="1:2" x14ac:dyDescent="0.25">
      <c r="A155" s="156" t="s">
        <v>177</v>
      </c>
      <c r="B155" s="156">
        <v>5516</v>
      </c>
    </row>
    <row r="156" spans="1:2" x14ac:dyDescent="0.25">
      <c r="A156" s="156" t="s">
        <v>96</v>
      </c>
      <c r="B156" s="156">
        <v>5669</v>
      </c>
    </row>
    <row r="157" spans="1:2" x14ac:dyDescent="0.25">
      <c r="A157" s="156" t="s">
        <v>235</v>
      </c>
      <c r="B157" s="156">
        <v>5480</v>
      </c>
    </row>
    <row r="158" spans="1:2" x14ac:dyDescent="0.25">
      <c r="A158" s="156" t="s">
        <v>64</v>
      </c>
      <c r="B158" s="156">
        <v>5912</v>
      </c>
    </row>
    <row r="159" spans="1:2" x14ac:dyDescent="0.25">
      <c r="A159" s="156" t="s">
        <v>148</v>
      </c>
      <c r="B159" s="156">
        <v>5631</v>
      </c>
    </row>
    <row r="160" spans="1:2" x14ac:dyDescent="0.25">
      <c r="A160" s="156" t="s">
        <v>149</v>
      </c>
      <c r="B160" s="156">
        <v>5632</v>
      </c>
    </row>
    <row r="161" spans="1:2" x14ac:dyDescent="0.25">
      <c r="A161" s="156" t="s">
        <v>236</v>
      </c>
      <c r="B161" s="156">
        <v>5481</v>
      </c>
    </row>
    <row r="162" spans="1:2" x14ac:dyDescent="0.25">
      <c r="A162" s="156" t="s">
        <v>97</v>
      </c>
      <c r="B162" s="156">
        <v>5671</v>
      </c>
    </row>
    <row r="163" spans="1:2" x14ac:dyDescent="0.25">
      <c r="A163" s="156" t="s">
        <v>65</v>
      </c>
      <c r="B163" s="156">
        <v>5913</v>
      </c>
    </row>
    <row r="164" spans="1:2" x14ac:dyDescent="0.25">
      <c r="A164" s="156" t="s">
        <v>224</v>
      </c>
      <c r="B164" s="156">
        <v>5715</v>
      </c>
    </row>
    <row r="165" spans="1:2" x14ac:dyDescent="0.25">
      <c r="A165" s="156" t="s">
        <v>20</v>
      </c>
      <c r="B165" s="156">
        <v>5855</v>
      </c>
    </row>
    <row r="166" spans="1:2" x14ac:dyDescent="0.25">
      <c r="A166" s="156" t="s">
        <v>178</v>
      </c>
      <c r="B166" s="156">
        <v>5518</v>
      </c>
    </row>
    <row r="167" spans="1:2" x14ac:dyDescent="0.25">
      <c r="A167" s="156" t="s">
        <v>150</v>
      </c>
      <c r="B167" s="156">
        <v>5633</v>
      </c>
    </row>
    <row r="168" spans="1:2" x14ac:dyDescent="0.25">
      <c r="A168" s="156" t="s">
        <v>151</v>
      </c>
      <c r="B168" s="156">
        <v>5634</v>
      </c>
    </row>
    <row r="169" spans="1:2" x14ac:dyDescent="0.25">
      <c r="A169" s="156" t="s">
        <v>237</v>
      </c>
      <c r="B169" s="156">
        <v>5482</v>
      </c>
    </row>
    <row r="170" spans="1:2" x14ac:dyDescent="0.25">
      <c r="A170" s="156" t="s">
        <v>152</v>
      </c>
      <c r="B170" s="156">
        <v>5635</v>
      </c>
    </row>
    <row r="171" spans="1:2" x14ac:dyDescent="0.25">
      <c r="A171" s="156" t="s">
        <v>378</v>
      </c>
      <c r="B171" s="156">
        <v>5584</v>
      </c>
    </row>
    <row r="172" spans="1:2" x14ac:dyDescent="0.25">
      <c r="A172" s="156" t="s">
        <v>66</v>
      </c>
      <c r="B172" s="156">
        <v>5914</v>
      </c>
    </row>
    <row r="173" spans="1:2" x14ac:dyDescent="0.25">
      <c r="A173" s="156" t="s">
        <v>272</v>
      </c>
      <c r="B173" s="156">
        <v>5788</v>
      </c>
    </row>
    <row r="174" spans="1:2" x14ac:dyDescent="0.25">
      <c r="A174" s="156" t="s">
        <v>21</v>
      </c>
      <c r="B174" s="156">
        <v>5856</v>
      </c>
    </row>
    <row r="175" spans="1:2" x14ac:dyDescent="0.25">
      <c r="A175" s="156" t="s">
        <v>179</v>
      </c>
      <c r="B175" s="156">
        <v>5520</v>
      </c>
    </row>
    <row r="176" spans="1:2" x14ac:dyDescent="0.25">
      <c r="A176" s="156" t="s">
        <v>180</v>
      </c>
      <c r="B176" s="156">
        <v>5521</v>
      </c>
    </row>
    <row r="177" spans="1:2" x14ac:dyDescent="0.25">
      <c r="A177" s="156" t="s">
        <v>153</v>
      </c>
      <c r="B177" s="156">
        <v>5636</v>
      </c>
    </row>
    <row r="178" spans="1:2" x14ac:dyDescent="0.25">
      <c r="A178" s="156" t="s">
        <v>225</v>
      </c>
      <c r="B178" s="156">
        <v>5716</v>
      </c>
    </row>
    <row r="179" spans="1:2" x14ac:dyDescent="0.25">
      <c r="A179" s="156" t="s">
        <v>339</v>
      </c>
      <c r="B179" s="156">
        <v>5458</v>
      </c>
    </row>
    <row r="180" spans="1:2" x14ac:dyDescent="0.25">
      <c r="A180" s="156" t="s">
        <v>332</v>
      </c>
      <c r="B180" s="156">
        <v>5427</v>
      </c>
    </row>
    <row r="181" spans="1:2" x14ac:dyDescent="0.25">
      <c r="A181" s="156" t="s">
        <v>138</v>
      </c>
      <c r="B181" s="156">
        <v>5483</v>
      </c>
    </row>
    <row r="182" spans="1:2" x14ac:dyDescent="0.25">
      <c r="A182" s="156" t="s">
        <v>181</v>
      </c>
      <c r="B182" s="156">
        <v>5522</v>
      </c>
    </row>
    <row r="183" spans="1:2" x14ac:dyDescent="0.25">
      <c r="A183" s="156" t="s">
        <v>38</v>
      </c>
      <c r="B183" s="156">
        <v>5556</v>
      </c>
    </row>
    <row r="184" spans="1:2" x14ac:dyDescent="0.25">
      <c r="A184" s="156" t="s">
        <v>39</v>
      </c>
      <c r="B184" s="156">
        <v>5557</v>
      </c>
    </row>
    <row r="185" spans="1:2" x14ac:dyDescent="0.25">
      <c r="A185" s="156" t="s">
        <v>141</v>
      </c>
      <c r="B185" s="156">
        <v>5604</v>
      </c>
    </row>
    <row r="186" spans="1:2" x14ac:dyDescent="0.25">
      <c r="A186" s="156" t="s">
        <v>226</v>
      </c>
      <c r="B186" s="156">
        <v>5717</v>
      </c>
    </row>
    <row r="187" spans="1:2" x14ac:dyDescent="0.25">
      <c r="A187" s="156" t="s">
        <v>182</v>
      </c>
      <c r="B187" s="156">
        <v>5523</v>
      </c>
    </row>
    <row r="188" spans="1:2" x14ac:dyDescent="0.25">
      <c r="A188" s="156" t="s">
        <v>227</v>
      </c>
      <c r="B188" s="156">
        <v>5718</v>
      </c>
    </row>
    <row r="189" spans="1:2" x14ac:dyDescent="0.25">
      <c r="A189" s="156" t="s">
        <v>40</v>
      </c>
      <c r="B189" s="156">
        <v>5559</v>
      </c>
    </row>
    <row r="190" spans="1:2" x14ac:dyDescent="0.25">
      <c r="A190" s="156" t="s">
        <v>22</v>
      </c>
      <c r="B190" s="156">
        <v>5857</v>
      </c>
    </row>
    <row r="191" spans="1:2" x14ac:dyDescent="0.25">
      <c r="A191" s="156" t="s">
        <v>333</v>
      </c>
      <c r="B191" s="156">
        <v>5428</v>
      </c>
    </row>
    <row r="192" spans="1:2" x14ac:dyDescent="0.25">
      <c r="A192" s="156" t="s">
        <v>228</v>
      </c>
      <c r="B192" s="156">
        <v>5719</v>
      </c>
    </row>
    <row r="193" spans="1:2" x14ac:dyDescent="0.25">
      <c r="A193" s="156" t="s">
        <v>229</v>
      </c>
      <c r="B193" s="156">
        <v>5720</v>
      </c>
    </row>
    <row r="194" spans="1:2" x14ac:dyDescent="0.25">
      <c r="A194" s="156" t="s">
        <v>230</v>
      </c>
      <c r="B194" s="156">
        <v>5721</v>
      </c>
    </row>
    <row r="195" spans="1:2" x14ac:dyDescent="0.25">
      <c r="A195" s="156" t="s">
        <v>139</v>
      </c>
      <c r="B195" s="156">
        <v>5484</v>
      </c>
    </row>
    <row r="196" spans="1:2" x14ac:dyDescent="0.25">
      <c r="A196" s="156" t="s">
        <v>414</v>
      </c>
      <c r="B196" s="156">
        <v>5541</v>
      </c>
    </row>
    <row r="197" spans="1:2" x14ac:dyDescent="0.25">
      <c r="A197" s="156" t="s">
        <v>140</v>
      </c>
      <c r="B197" s="156">
        <v>5485</v>
      </c>
    </row>
    <row r="198" spans="1:2" x14ac:dyDescent="0.25">
      <c r="A198" s="156" t="s">
        <v>7</v>
      </c>
      <c r="B198" s="156">
        <v>5817</v>
      </c>
    </row>
    <row r="199" spans="1:2" x14ac:dyDescent="0.25">
      <c r="A199" s="156" t="s">
        <v>41</v>
      </c>
      <c r="B199" s="156">
        <v>5560</v>
      </c>
    </row>
    <row r="200" spans="1:2" x14ac:dyDescent="0.25">
      <c r="A200" s="156" t="s">
        <v>42</v>
      </c>
      <c r="B200" s="156">
        <v>5561</v>
      </c>
    </row>
    <row r="201" spans="1:2" x14ac:dyDescent="0.25">
      <c r="A201" s="156" t="s">
        <v>231</v>
      </c>
      <c r="B201" s="156">
        <v>5722</v>
      </c>
    </row>
    <row r="202" spans="1:2" x14ac:dyDescent="0.25">
      <c r="A202" s="156" t="s">
        <v>112</v>
      </c>
      <c r="B202" s="156">
        <v>5405</v>
      </c>
    </row>
    <row r="203" spans="1:2" x14ac:dyDescent="0.25">
      <c r="A203" s="156" t="s">
        <v>8</v>
      </c>
      <c r="B203" s="156">
        <v>5819</v>
      </c>
    </row>
    <row r="204" spans="1:2" x14ac:dyDescent="0.25">
      <c r="A204" s="156" t="s">
        <v>98</v>
      </c>
      <c r="B204" s="156">
        <v>5673</v>
      </c>
    </row>
    <row r="205" spans="1:2" x14ac:dyDescent="0.25">
      <c r="A205" s="156" t="s">
        <v>50</v>
      </c>
      <c r="B205" s="156">
        <v>5885</v>
      </c>
    </row>
    <row r="206" spans="1:2" x14ac:dyDescent="0.25">
      <c r="A206" s="156" t="s">
        <v>416</v>
      </c>
      <c r="B206" s="156">
        <v>5804</v>
      </c>
    </row>
    <row r="207" spans="1:2" x14ac:dyDescent="0.25">
      <c r="A207" s="156" t="s">
        <v>493</v>
      </c>
      <c r="B207" s="156">
        <v>5806</v>
      </c>
    </row>
    <row r="208" spans="1:2" x14ac:dyDescent="0.25">
      <c r="A208" s="156" t="s">
        <v>379</v>
      </c>
      <c r="B208" s="156">
        <v>5585</v>
      </c>
    </row>
    <row r="209" spans="1:2" x14ac:dyDescent="0.25">
      <c r="A209" s="156" t="s">
        <v>324</v>
      </c>
      <c r="B209" s="156">
        <v>5754</v>
      </c>
    </row>
    <row r="210" spans="1:2" x14ac:dyDescent="0.25">
      <c r="A210" s="156" t="s">
        <v>206</v>
      </c>
      <c r="B210" s="156">
        <v>5474</v>
      </c>
    </row>
    <row r="211" spans="1:2" x14ac:dyDescent="0.25">
      <c r="A211" s="156" t="s">
        <v>211</v>
      </c>
      <c r="B211" s="156">
        <v>5758</v>
      </c>
    </row>
    <row r="212" spans="1:2" x14ac:dyDescent="0.25">
      <c r="A212" s="156" t="s">
        <v>311</v>
      </c>
      <c r="B212" s="156">
        <v>5726</v>
      </c>
    </row>
    <row r="213" spans="1:2" x14ac:dyDescent="0.25">
      <c r="A213" s="156" t="s">
        <v>167</v>
      </c>
      <c r="B213" s="156">
        <v>5498</v>
      </c>
    </row>
    <row r="214" spans="1:2" x14ac:dyDescent="0.25">
      <c r="A214" s="156" t="s">
        <v>52</v>
      </c>
      <c r="B214" s="156">
        <v>5889</v>
      </c>
    </row>
    <row r="215" spans="1:2" x14ac:dyDescent="0.25">
      <c r="A215" s="156" t="s">
        <v>29</v>
      </c>
      <c r="B215" s="156">
        <v>5871</v>
      </c>
    </row>
    <row r="216" spans="1:2" x14ac:dyDescent="0.25">
      <c r="A216" s="156" t="s">
        <v>318</v>
      </c>
      <c r="B216" s="156">
        <v>5741</v>
      </c>
    </row>
    <row r="217" spans="1:2" x14ac:dyDescent="0.25">
      <c r="A217" s="156" t="s">
        <v>118</v>
      </c>
      <c r="B217" s="156">
        <v>5586</v>
      </c>
    </row>
    <row r="218" spans="1:2" x14ac:dyDescent="0.25">
      <c r="A218" s="156" t="s">
        <v>113</v>
      </c>
      <c r="B218" s="156">
        <v>5406</v>
      </c>
    </row>
    <row r="219" spans="1:2" x14ac:dyDescent="0.25">
      <c r="A219" s="156" t="s">
        <v>154</v>
      </c>
      <c r="B219" s="156">
        <v>5637</v>
      </c>
    </row>
    <row r="220" spans="1:2" x14ac:dyDescent="0.25">
      <c r="A220" s="156" t="s">
        <v>200</v>
      </c>
      <c r="B220" s="156">
        <v>5872</v>
      </c>
    </row>
    <row r="221" spans="1:2" x14ac:dyDescent="0.25">
      <c r="A221" s="156" t="s">
        <v>201</v>
      </c>
      <c r="B221" s="156">
        <v>5873</v>
      </c>
    </row>
    <row r="222" spans="1:2" x14ac:dyDescent="0.25">
      <c r="A222" s="156" t="s">
        <v>119</v>
      </c>
      <c r="B222" s="156">
        <v>5587</v>
      </c>
    </row>
    <row r="223" spans="1:2" x14ac:dyDescent="0.25">
      <c r="A223" s="156" t="s">
        <v>316</v>
      </c>
      <c r="B223" s="156">
        <v>5731</v>
      </c>
    </row>
    <row r="224" spans="1:2" x14ac:dyDescent="0.25">
      <c r="A224" s="156" t="s">
        <v>264</v>
      </c>
      <c r="B224" s="156">
        <v>5750</v>
      </c>
    </row>
    <row r="225" spans="1:2" x14ac:dyDescent="0.25">
      <c r="A225" s="156" t="s">
        <v>114</v>
      </c>
      <c r="B225" s="156">
        <v>5407</v>
      </c>
    </row>
    <row r="226" spans="1:2" x14ac:dyDescent="0.25">
      <c r="A226" s="156" t="s">
        <v>325</v>
      </c>
      <c r="B226" s="156">
        <v>5755</v>
      </c>
    </row>
    <row r="227" spans="1:2" x14ac:dyDescent="0.25">
      <c r="A227" s="156" t="s">
        <v>1</v>
      </c>
      <c r="B227" s="156">
        <v>5486</v>
      </c>
    </row>
    <row r="228" spans="1:2" x14ac:dyDescent="0.25">
      <c r="A228" s="156" t="s">
        <v>155</v>
      </c>
      <c r="B228" s="156">
        <v>5638</v>
      </c>
    </row>
    <row r="229" spans="1:2" x14ac:dyDescent="0.25">
      <c r="A229" s="156" t="s">
        <v>351</v>
      </c>
      <c r="B229" s="156">
        <v>5429</v>
      </c>
    </row>
    <row r="230" spans="1:2" x14ac:dyDescent="0.25">
      <c r="A230" s="156" t="s">
        <v>99</v>
      </c>
      <c r="B230" s="156">
        <v>5674</v>
      </c>
    </row>
    <row r="231" spans="1:2" x14ac:dyDescent="0.25">
      <c r="A231" s="156" t="s">
        <v>100</v>
      </c>
      <c r="B231" s="156">
        <v>5675</v>
      </c>
    </row>
    <row r="232" spans="1:2" x14ac:dyDescent="0.25">
      <c r="A232" s="156" t="s">
        <v>23</v>
      </c>
      <c r="B232" s="156">
        <v>5858</v>
      </c>
    </row>
    <row r="233" spans="1:2" x14ac:dyDescent="0.25">
      <c r="A233" s="156" t="s">
        <v>156</v>
      </c>
      <c r="B233" s="156">
        <v>5639</v>
      </c>
    </row>
    <row r="234" spans="1:2" x14ac:dyDescent="0.25">
      <c r="A234" s="156" t="s">
        <v>2</v>
      </c>
      <c r="B234" s="156">
        <v>5487</v>
      </c>
    </row>
    <row r="235" spans="1:2" x14ac:dyDescent="0.25">
      <c r="A235" s="156" t="s">
        <v>157</v>
      </c>
      <c r="B235" s="156">
        <v>5640</v>
      </c>
    </row>
    <row r="236" spans="1:2" x14ac:dyDescent="0.25">
      <c r="A236" s="156" t="s">
        <v>142</v>
      </c>
      <c r="B236" s="156">
        <v>5606</v>
      </c>
    </row>
    <row r="237" spans="1:2" x14ac:dyDescent="0.25">
      <c r="A237" s="156" t="s">
        <v>273</v>
      </c>
      <c r="B237" s="156">
        <v>5790</v>
      </c>
    </row>
    <row r="238" spans="1:2" x14ac:dyDescent="0.25">
      <c r="A238" s="156" t="s">
        <v>352</v>
      </c>
      <c r="B238" s="156">
        <v>5430</v>
      </c>
    </row>
    <row r="239" spans="1:2" x14ac:dyDescent="0.25">
      <c r="A239" s="156" t="s">
        <v>380</v>
      </c>
      <c r="B239" s="156">
        <v>5919</v>
      </c>
    </row>
    <row r="240" spans="1:2" x14ac:dyDescent="0.25">
      <c r="A240" s="156" t="s">
        <v>43</v>
      </c>
      <c r="B240" s="156">
        <v>5562</v>
      </c>
    </row>
    <row r="241" spans="1:2" x14ac:dyDescent="0.25">
      <c r="A241" s="156" t="s">
        <v>3</v>
      </c>
      <c r="B241" s="156">
        <v>5488</v>
      </c>
    </row>
    <row r="242" spans="1:2" x14ac:dyDescent="0.25">
      <c r="A242" s="156" t="s">
        <v>4</v>
      </c>
      <c r="B242" s="156">
        <v>5489</v>
      </c>
    </row>
    <row r="243" spans="1:2" x14ac:dyDescent="0.25">
      <c r="A243" s="156" t="s">
        <v>232</v>
      </c>
      <c r="B243" s="156">
        <v>5723</v>
      </c>
    </row>
    <row r="244" spans="1:2" x14ac:dyDescent="0.25">
      <c r="A244" s="156" t="s">
        <v>9</v>
      </c>
      <c r="B244" s="156">
        <v>5821</v>
      </c>
    </row>
    <row r="245" spans="1:2" x14ac:dyDescent="0.25">
      <c r="A245" s="156" t="s">
        <v>5</v>
      </c>
      <c r="B245" s="156">
        <v>5490</v>
      </c>
    </row>
    <row r="246" spans="1:2" x14ac:dyDescent="0.25">
      <c r="A246" s="156" t="s">
        <v>353</v>
      </c>
      <c r="B246" s="156">
        <v>5431</v>
      </c>
    </row>
    <row r="247" spans="1:2" x14ac:dyDescent="0.25">
      <c r="A247" s="156" t="s">
        <v>381</v>
      </c>
      <c r="B247" s="156">
        <v>5921</v>
      </c>
    </row>
    <row r="248" spans="1:2" x14ac:dyDescent="0.25">
      <c r="A248" s="156" t="s">
        <v>265</v>
      </c>
      <c r="B248" s="156">
        <v>5922</v>
      </c>
    </row>
    <row r="249" spans="1:2" x14ac:dyDescent="0.25">
      <c r="A249" s="156" t="s">
        <v>425</v>
      </c>
      <c r="B249" s="156">
        <v>5693</v>
      </c>
    </row>
    <row r="250" spans="1:2" x14ac:dyDescent="0.25">
      <c r="A250" s="156" t="s">
        <v>326</v>
      </c>
      <c r="B250" s="156">
        <v>5756</v>
      </c>
    </row>
    <row r="251" spans="1:2" x14ac:dyDescent="0.25">
      <c r="A251" s="156" t="s">
        <v>415</v>
      </c>
      <c r="B251" s="156">
        <v>5540</v>
      </c>
    </row>
    <row r="252" spans="1:2" x14ac:dyDescent="0.25">
      <c r="A252" s="156" t="s">
        <v>160</v>
      </c>
      <c r="B252" s="156">
        <v>5491</v>
      </c>
    </row>
    <row r="253" spans="1:2" x14ac:dyDescent="0.25">
      <c r="A253" s="156" t="s">
        <v>274</v>
      </c>
      <c r="B253" s="156">
        <v>5792</v>
      </c>
    </row>
    <row r="254" spans="1:2" x14ac:dyDescent="0.25">
      <c r="A254" s="156" t="s">
        <v>51</v>
      </c>
      <c r="B254" s="156">
        <v>5886</v>
      </c>
    </row>
    <row r="255" spans="1:2" x14ac:dyDescent="0.25">
      <c r="A255" s="156" t="s">
        <v>161</v>
      </c>
      <c r="B255" s="156">
        <v>5492</v>
      </c>
    </row>
    <row r="256" spans="1:2" x14ac:dyDescent="0.25">
      <c r="A256" s="156" t="s">
        <v>24</v>
      </c>
      <c r="B256" s="156">
        <v>5859</v>
      </c>
    </row>
    <row r="257" spans="1:2" x14ac:dyDescent="0.25">
      <c r="A257" s="156" t="s">
        <v>158</v>
      </c>
      <c r="B257" s="156">
        <v>5642</v>
      </c>
    </row>
    <row r="258" spans="1:2" x14ac:dyDescent="0.25">
      <c r="A258" s="156" t="s">
        <v>183</v>
      </c>
      <c r="B258" s="156">
        <v>5527</v>
      </c>
    </row>
    <row r="259" spans="1:2" x14ac:dyDescent="0.25">
      <c r="A259" s="156" t="s">
        <v>101</v>
      </c>
      <c r="B259" s="156">
        <v>5678</v>
      </c>
    </row>
    <row r="260" spans="1:2" x14ac:dyDescent="0.25">
      <c r="A260" s="156" t="s">
        <v>277</v>
      </c>
      <c r="B260" s="156">
        <v>5563</v>
      </c>
    </row>
    <row r="261" spans="1:2" x14ac:dyDescent="0.25">
      <c r="A261" s="156" t="s">
        <v>278</v>
      </c>
      <c r="B261" s="156">
        <v>5564</v>
      </c>
    </row>
    <row r="262" spans="1:2" x14ac:dyDescent="0.25">
      <c r="A262" s="156" t="s">
        <v>115</v>
      </c>
      <c r="B262" s="156">
        <v>5408</v>
      </c>
    </row>
    <row r="263" spans="1:2" x14ac:dyDescent="0.25">
      <c r="A263" s="156" t="s">
        <v>68</v>
      </c>
      <c r="B263" s="156">
        <v>5724</v>
      </c>
    </row>
    <row r="264" spans="1:2" x14ac:dyDescent="0.25">
      <c r="A264" s="156" t="s">
        <v>102</v>
      </c>
      <c r="B264" s="156">
        <v>5680</v>
      </c>
    </row>
    <row r="265" spans="1:2" x14ac:dyDescent="0.25">
      <c r="A265" s="156" t="s">
        <v>116</v>
      </c>
      <c r="B265" s="156">
        <v>5409</v>
      </c>
    </row>
    <row r="266" spans="1:2" x14ac:dyDescent="0.25">
      <c r="A266" s="156" t="s">
        <v>279</v>
      </c>
      <c r="B266" s="156">
        <v>5565</v>
      </c>
    </row>
    <row r="267" spans="1:2" x14ac:dyDescent="0.25">
      <c r="A267" s="156" t="s">
        <v>266</v>
      </c>
      <c r="B267" s="156">
        <v>5923</v>
      </c>
    </row>
    <row r="268" spans="1:2" x14ac:dyDescent="0.25">
      <c r="A268" s="156" t="s">
        <v>327</v>
      </c>
      <c r="B268" s="156">
        <v>5757</v>
      </c>
    </row>
    <row r="269" spans="1:2" x14ac:dyDescent="0.25">
      <c r="A269" s="156" t="s">
        <v>267</v>
      </c>
      <c r="B269" s="156">
        <v>5924</v>
      </c>
    </row>
    <row r="270" spans="1:2" x14ac:dyDescent="0.25">
      <c r="A270" s="156" t="s">
        <v>128</v>
      </c>
      <c r="B270" s="156">
        <v>5410</v>
      </c>
    </row>
    <row r="271" spans="1:2" x14ac:dyDescent="0.25">
      <c r="A271" s="156" t="s">
        <v>129</v>
      </c>
      <c r="B271" s="156">
        <v>5411</v>
      </c>
    </row>
    <row r="272" spans="1:2" x14ac:dyDescent="0.25">
      <c r="A272" s="156" t="s">
        <v>162</v>
      </c>
      <c r="B272" s="156">
        <v>5493</v>
      </c>
    </row>
    <row r="273" spans="1:2" x14ac:dyDescent="0.25">
      <c r="A273" s="156" t="s">
        <v>418</v>
      </c>
      <c r="B273" s="156">
        <v>5805</v>
      </c>
    </row>
    <row r="274" spans="1:2" x14ac:dyDescent="0.25">
      <c r="A274" s="156" t="s">
        <v>385</v>
      </c>
      <c r="B274" s="156">
        <v>5925</v>
      </c>
    </row>
    <row r="275" spans="1:2" x14ac:dyDescent="0.25">
      <c r="A275" s="156" t="s">
        <v>184</v>
      </c>
      <c r="B275" s="156">
        <v>5529</v>
      </c>
    </row>
    <row r="276" spans="1:2" x14ac:dyDescent="0.25">
      <c r="A276" s="156" t="s">
        <v>185</v>
      </c>
      <c r="B276" s="156">
        <v>5530</v>
      </c>
    </row>
    <row r="277" spans="1:2" x14ac:dyDescent="0.25">
      <c r="A277" s="156" t="s">
        <v>163</v>
      </c>
      <c r="B277" s="156">
        <v>5494</v>
      </c>
    </row>
    <row r="278" spans="1:2" x14ac:dyDescent="0.25">
      <c r="A278" s="156" t="s">
        <v>120</v>
      </c>
      <c r="B278" s="156">
        <v>5588</v>
      </c>
    </row>
    <row r="279" spans="1:2" x14ac:dyDescent="0.25">
      <c r="A279" s="156" t="s">
        <v>10</v>
      </c>
      <c r="B279" s="156">
        <v>5822</v>
      </c>
    </row>
    <row r="280" spans="1:2" x14ac:dyDescent="0.25">
      <c r="A280" s="156" t="s">
        <v>164</v>
      </c>
      <c r="B280" s="156">
        <v>5495</v>
      </c>
    </row>
    <row r="281" spans="1:2" x14ac:dyDescent="0.25">
      <c r="A281" s="156" t="s">
        <v>165</v>
      </c>
      <c r="B281" s="156">
        <v>5496</v>
      </c>
    </row>
    <row r="282" spans="1:2" x14ac:dyDescent="0.25">
      <c r="A282" s="156" t="s">
        <v>186</v>
      </c>
      <c r="B282" s="156">
        <v>5531</v>
      </c>
    </row>
    <row r="283" spans="1:2" x14ac:dyDescent="0.25">
      <c r="A283" s="156" t="s">
        <v>25</v>
      </c>
      <c r="B283" s="156">
        <v>5860</v>
      </c>
    </row>
    <row r="284" spans="1:2" x14ac:dyDescent="0.25">
      <c r="A284" s="156" t="s">
        <v>187</v>
      </c>
      <c r="B284" s="156">
        <v>5533</v>
      </c>
    </row>
    <row r="285" spans="1:2" x14ac:dyDescent="0.25">
      <c r="A285" s="156" t="s">
        <v>166</v>
      </c>
      <c r="B285" s="156">
        <v>5497</v>
      </c>
    </row>
    <row r="286" spans="1:2" x14ac:dyDescent="0.25">
      <c r="A286" s="156" t="s">
        <v>386</v>
      </c>
      <c r="B286" s="156">
        <v>5926</v>
      </c>
    </row>
    <row r="287" spans="1:2" x14ac:dyDescent="0.25">
      <c r="A287" s="156" t="s">
        <v>69</v>
      </c>
      <c r="B287" s="156">
        <v>5725</v>
      </c>
    </row>
    <row r="288" spans="1:2" x14ac:dyDescent="0.25">
      <c r="A288" s="156" t="s">
        <v>212</v>
      </c>
      <c r="B288" s="156">
        <v>5759</v>
      </c>
    </row>
    <row r="289" spans="1:2" x14ac:dyDescent="0.25">
      <c r="A289" s="156" t="s">
        <v>159</v>
      </c>
      <c r="B289" s="156">
        <v>5643</v>
      </c>
    </row>
    <row r="290" spans="1:2" x14ac:dyDescent="0.25">
      <c r="A290" s="156" t="s">
        <v>103</v>
      </c>
      <c r="B290" s="156">
        <v>5683</v>
      </c>
    </row>
    <row r="291" spans="1:2" x14ac:dyDescent="0.25">
      <c r="A291" s="156" t="s">
        <v>121</v>
      </c>
      <c r="B291" s="156">
        <v>5589</v>
      </c>
    </row>
    <row r="292" spans="1:2" x14ac:dyDescent="0.25">
      <c r="A292" s="156" t="s">
        <v>280</v>
      </c>
      <c r="B292" s="156">
        <v>5566</v>
      </c>
    </row>
    <row r="293" spans="1:2" x14ac:dyDescent="0.25">
      <c r="A293" s="156" t="s">
        <v>292</v>
      </c>
      <c r="B293" s="156">
        <v>5607</v>
      </c>
    </row>
    <row r="294" spans="1:2" x14ac:dyDescent="0.25">
      <c r="A294" s="156" t="s">
        <v>122</v>
      </c>
      <c r="B294" s="156">
        <v>5590</v>
      </c>
    </row>
    <row r="295" spans="1:2" x14ac:dyDescent="0.25">
      <c r="A295" s="156" t="s">
        <v>213</v>
      </c>
      <c r="B295" s="156">
        <v>5760</v>
      </c>
    </row>
    <row r="296" spans="1:2" x14ac:dyDescent="0.25">
      <c r="A296" s="156" t="s">
        <v>382</v>
      </c>
      <c r="B296" s="156">
        <v>5591</v>
      </c>
    </row>
    <row r="297" spans="1:2" x14ac:dyDescent="0.25">
      <c r="A297" s="156" t="s">
        <v>130</v>
      </c>
      <c r="B297" s="156">
        <v>5412</v>
      </c>
    </row>
    <row r="298" spans="1:2" x14ac:dyDescent="0.25">
      <c r="A298" s="156" t="s">
        <v>304</v>
      </c>
      <c r="B298" s="156">
        <v>5644</v>
      </c>
    </row>
    <row r="299" spans="1:2" x14ac:dyDescent="0.25">
      <c r="A299" s="156" t="s">
        <v>126</v>
      </c>
      <c r="B299" s="156">
        <v>5609</v>
      </c>
    </row>
    <row r="300" spans="1:2" x14ac:dyDescent="0.25">
      <c r="A300" s="156" t="s">
        <v>131</v>
      </c>
      <c r="B300" s="156">
        <v>5413</v>
      </c>
    </row>
    <row r="301" spans="1:2" x14ac:dyDescent="0.25">
      <c r="A301" s="156" t="s">
        <v>26</v>
      </c>
      <c r="B301" s="156">
        <v>5861</v>
      </c>
    </row>
    <row r="302" spans="1:2" x14ac:dyDescent="0.25">
      <c r="A302" s="156" t="s">
        <v>133</v>
      </c>
      <c r="B302" s="156">
        <v>5761</v>
      </c>
    </row>
    <row r="303" spans="1:2" x14ac:dyDescent="0.25">
      <c r="A303" s="156" t="s">
        <v>210</v>
      </c>
      <c r="B303" s="156">
        <v>5592</v>
      </c>
    </row>
    <row r="304" spans="1:2" x14ac:dyDescent="0.25">
      <c r="A304" s="156" t="s">
        <v>305</v>
      </c>
      <c r="B304" s="156">
        <v>5645</v>
      </c>
    </row>
    <row r="305" spans="1:2" x14ac:dyDescent="0.25">
      <c r="A305" s="156" t="s">
        <v>275</v>
      </c>
      <c r="B305" s="156">
        <v>5798</v>
      </c>
    </row>
    <row r="306" spans="1:2" x14ac:dyDescent="0.25">
      <c r="A306" s="156" t="s">
        <v>104</v>
      </c>
      <c r="B306" s="156">
        <v>5684</v>
      </c>
    </row>
    <row r="307" spans="1:2" x14ac:dyDescent="0.25">
      <c r="A307" s="156" t="s">
        <v>14</v>
      </c>
      <c r="B307" s="156">
        <v>5842</v>
      </c>
    </row>
    <row r="308" spans="1:2" x14ac:dyDescent="0.25">
      <c r="A308" s="156" t="s">
        <v>15</v>
      </c>
      <c r="B308" s="156">
        <v>5843</v>
      </c>
    </row>
    <row r="309" spans="1:2" x14ac:dyDescent="0.25">
      <c r="A309" s="156" t="s">
        <v>387</v>
      </c>
      <c r="B309" s="156">
        <v>5928</v>
      </c>
    </row>
    <row r="310" spans="1:2" x14ac:dyDescent="0.25">
      <c r="A310" s="156" t="s">
        <v>188</v>
      </c>
      <c r="B310" s="156">
        <v>5534</v>
      </c>
    </row>
    <row r="311" spans="1:2" x14ac:dyDescent="0.25">
      <c r="A311" s="156" t="s">
        <v>30</v>
      </c>
      <c r="B311" s="156">
        <v>5535</v>
      </c>
    </row>
    <row r="312" spans="1:2" x14ac:dyDescent="0.25">
      <c r="A312" s="156" t="s">
        <v>312</v>
      </c>
      <c r="B312" s="156">
        <v>5727</v>
      </c>
    </row>
    <row r="313" spans="1:2" x14ac:dyDescent="0.25">
      <c r="A313" s="156" t="s">
        <v>117</v>
      </c>
      <c r="B313" s="156">
        <v>5568</v>
      </c>
    </row>
    <row r="314" spans="1:2" x14ac:dyDescent="0.25">
      <c r="A314" s="156" t="s">
        <v>354</v>
      </c>
      <c r="B314" s="156">
        <v>5434</v>
      </c>
    </row>
    <row r="315" spans="1:2" x14ac:dyDescent="0.25">
      <c r="A315" s="156" t="s">
        <v>490</v>
      </c>
      <c r="B315" s="156">
        <v>5888</v>
      </c>
    </row>
    <row r="316" spans="1:2" x14ac:dyDescent="0.25">
      <c r="A316" s="156" t="s">
        <v>334</v>
      </c>
      <c r="B316" s="156">
        <v>5435</v>
      </c>
    </row>
    <row r="317" spans="1:2" x14ac:dyDescent="0.25">
      <c r="A317" s="156" t="s">
        <v>335</v>
      </c>
      <c r="B317" s="156">
        <v>5436</v>
      </c>
    </row>
    <row r="318" spans="1:2" x14ac:dyDescent="0.25">
      <c r="A318" s="156" t="s">
        <v>306</v>
      </c>
      <c r="B318" s="156">
        <v>5646</v>
      </c>
    </row>
    <row r="319" spans="1:2" x14ac:dyDescent="0.25">
      <c r="A319" s="156" t="s">
        <v>307</v>
      </c>
      <c r="B319" s="156">
        <v>5648</v>
      </c>
    </row>
    <row r="320" spans="1:2" x14ac:dyDescent="0.25">
      <c r="A320" s="156" t="s">
        <v>336</v>
      </c>
      <c r="B320" s="156">
        <v>5437</v>
      </c>
    </row>
    <row r="321" spans="1:2" x14ac:dyDescent="0.25">
      <c r="A321" s="156" t="s">
        <v>289</v>
      </c>
      <c r="B321" s="156">
        <v>5611</v>
      </c>
    </row>
    <row r="322" spans="1:2" x14ac:dyDescent="0.25">
      <c r="A322" s="156" t="s">
        <v>168</v>
      </c>
      <c r="B322" s="156">
        <v>5499</v>
      </c>
    </row>
    <row r="323" spans="1:2" x14ac:dyDescent="0.25">
      <c r="A323" s="156" t="s">
        <v>134</v>
      </c>
      <c r="B323" s="156">
        <v>5762</v>
      </c>
    </row>
    <row r="324" spans="1:2" x14ac:dyDescent="0.25">
      <c r="A324" s="156" t="s">
        <v>276</v>
      </c>
      <c r="B324" s="156">
        <v>5799</v>
      </c>
    </row>
    <row r="325" spans="1:2" x14ac:dyDescent="0.25">
      <c r="A325" s="156" t="s">
        <v>169</v>
      </c>
      <c r="B325" s="156">
        <v>5500</v>
      </c>
    </row>
    <row r="326" spans="1:2" x14ac:dyDescent="0.25">
      <c r="A326" s="156" t="s">
        <v>313</v>
      </c>
      <c r="B326" s="156">
        <v>5728</v>
      </c>
    </row>
    <row r="327" spans="1:2" x14ac:dyDescent="0.25">
      <c r="A327" s="156" t="s">
        <v>127</v>
      </c>
      <c r="B327" s="156">
        <v>5610</v>
      </c>
    </row>
    <row r="328" spans="1:2" x14ac:dyDescent="0.25">
      <c r="A328" s="156" t="s">
        <v>388</v>
      </c>
      <c r="B328" s="156">
        <v>5929</v>
      </c>
    </row>
    <row r="329" spans="1:2" x14ac:dyDescent="0.25">
      <c r="A329" s="156" t="s">
        <v>170</v>
      </c>
      <c r="B329" s="156">
        <v>5501</v>
      </c>
    </row>
    <row r="330" spans="1:2" x14ac:dyDescent="0.25">
      <c r="A330" s="156" t="s">
        <v>389</v>
      </c>
      <c r="B330" s="156">
        <v>5930</v>
      </c>
    </row>
    <row r="331" spans="1:2" x14ac:dyDescent="0.25">
      <c r="A331" s="156" t="s">
        <v>105</v>
      </c>
      <c r="B331" s="156">
        <v>5688</v>
      </c>
    </row>
    <row r="332" spans="1:2" x14ac:dyDescent="0.25">
      <c r="A332" s="156" t="s">
        <v>314</v>
      </c>
      <c r="B332" s="156">
        <v>5729</v>
      </c>
    </row>
    <row r="333" spans="1:2" x14ac:dyDescent="0.25">
      <c r="A333" s="156" t="s">
        <v>27</v>
      </c>
      <c r="B333" s="156">
        <v>5862</v>
      </c>
    </row>
    <row r="334" spans="1:2" x14ac:dyDescent="0.25">
      <c r="A334" s="156" t="s">
        <v>412</v>
      </c>
      <c r="B334" s="156">
        <v>5571</v>
      </c>
    </row>
    <row r="335" spans="1:2" x14ac:dyDescent="0.25">
      <c r="A335" s="156" t="s">
        <v>308</v>
      </c>
      <c r="B335" s="156">
        <v>5649</v>
      </c>
    </row>
    <row r="336" spans="1:2" x14ac:dyDescent="0.25">
      <c r="A336" s="156" t="s">
        <v>315</v>
      </c>
      <c r="B336" s="156">
        <v>5730</v>
      </c>
    </row>
    <row r="337" spans="1:2" x14ac:dyDescent="0.25">
      <c r="A337" s="156" t="s">
        <v>11</v>
      </c>
      <c r="B337" s="156">
        <v>5827</v>
      </c>
    </row>
    <row r="338" spans="1:2" x14ac:dyDescent="0.25">
      <c r="A338" s="156" t="s">
        <v>390</v>
      </c>
      <c r="B338" s="156">
        <v>5931</v>
      </c>
    </row>
    <row r="339" spans="1:2" x14ac:dyDescent="0.25">
      <c r="A339" s="156" t="s">
        <v>489</v>
      </c>
      <c r="B339" s="156">
        <v>5828</v>
      </c>
    </row>
    <row r="340" spans="1:2" x14ac:dyDescent="0.25">
      <c r="A340" s="156" t="s">
        <v>268</v>
      </c>
      <c r="B340" s="156">
        <v>5932</v>
      </c>
    </row>
    <row r="341" spans="1:2" x14ac:dyDescent="0.25">
      <c r="A341" s="156" t="s">
        <v>417</v>
      </c>
      <c r="B341" s="156">
        <v>5831</v>
      </c>
    </row>
    <row r="342" spans="1:2" x14ac:dyDescent="0.25">
      <c r="A342" s="156" t="s">
        <v>383</v>
      </c>
      <c r="B342" s="156">
        <v>5933</v>
      </c>
    </row>
    <row r="343" spans="1:2" x14ac:dyDescent="0.25">
      <c r="A343" s="156" t="s">
        <v>135</v>
      </c>
      <c r="B343" s="156">
        <v>5763</v>
      </c>
    </row>
    <row r="344" spans="1:2" x14ac:dyDescent="0.25">
      <c r="A344" s="156" t="s">
        <v>384</v>
      </c>
      <c r="B344" s="156">
        <v>5934</v>
      </c>
    </row>
    <row r="345" spans="1:2" x14ac:dyDescent="0.25">
      <c r="A345" s="156" t="s">
        <v>328</v>
      </c>
      <c r="B345" s="156">
        <v>5764</v>
      </c>
    </row>
    <row r="346" spans="1:2" x14ac:dyDescent="0.25">
      <c r="A346" s="156" t="s">
        <v>329</v>
      </c>
      <c r="B346" s="156">
        <v>5765</v>
      </c>
    </row>
    <row r="347" spans="1:2" x14ac:dyDescent="0.25">
      <c r="A347" s="156" t="s">
        <v>309</v>
      </c>
      <c r="B347" s="156">
        <v>5650</v>
      </c>
    </row>
    <row r="348" spans="1:2" x14ac:dyDescent="0.25">
      <c r="A348" s="156" t="s">
        <v>53</v>
      </c>
      <c r="B348" s="156">
        <v>5890</v>
      </c>
    </row>
    <row r="349" spans="1:2" x14ac:dyDescent="0.25">
      <c r="A349" s="156" t="s">
        <v>54</v>
      </c>
      <c r="B349" s="156">
        <v>5891</v>
      </c>
    </row>
    <row r="350" spans="1:2" x14ac:dyDescent="0.25">
      <c r="A350" s="156" t="s">
        <v>317</v>
      </c>
      <c r="B350" s="156">
        <v>5732</v>
      </c>
    </row>
    <row r="351" spans="1:2" x14ac:dyDescent="0.25">
      <c r="A351" s="156" t="s">
        <v>291</v>
      </c>
      <c r="B351" s="156">
        <v>5935</v>
      </c>
    </row>
    <row r="352" spans="1:2" x14ac:dyDescent="0.25">
      <c r="A352" s="156" t="s">
        <v>106</v>
      </c>
      <c r="B352" s="156">
        <v>5690</v>
      </c>
    </row>
    <row r="353" spans="1:2" x14ac:dyDescent="0.25">
      <c r="A353" s="156" t="s">
        <v>31</v>
      </c>
      <c r="B353" s="156">
        <v>5537</v>
      </c>
    </row>
    <row r="354" spans="1:2" x14ac:dyDescent="0.25">
      <c r="A354" s="156" t="s">
        <v>310</v>
      </c>
      <c r="B354" s="156">
        <v>5651</v>
      </c>
    </row>
    <row r="355" spans="1:2" x14ac:dyDescent="0.25">
      <c r="A355" s="156" t="s">
        <v>194</v>
      </c>
      <c r="B355" s="156">
        <v>5652</v>
      </c>
    </row>
    <row r="356" spans="1:2" x14ac:dyDescent="0.25">
      <c r="A356" s="156" t="s">
        <v>12</v>
      </c>
      <c r="B356" s="156">
        <v>5830</v>
      </c>
    </row>
    <row r="357" spans="1:2" x14ac:dyDescent="0.25">
      <c r="A357" s="156" t="s">
        <v>132</v>
      </c>
      <c r="B357" s="156">
        <v>5414</v>
      </c>
    </row>
    <row r="358" spans="1:2" x14ac:dyDescent="0.25">
      <c r="A358" s="156" t="s">
        <v>28</v>
      </c>
      <c r="B358" s="156">
        <v>5863</v>
      </c>
    </row>
    <row r="359" spans="1:2" x14ac:dyDescent="0.25">
      <c r="A359" s="156" t="s">
        <v>32</v>
      </c>
      <c r="B359" s="156">
        <v>5539</v>
      </c>
    </row>
    <row r="360" spans="1:2" x14ac:dyDescent="0.25">
      <c r="A360" s="156" t="s">
        <v>107</v>
      </c>
      <c r="B360" s="156">
        <v>5692</v>
      </c>
    </row>
    <row r="361" spans="1:2" x14ac:dyDescent="0.25">
      <c r="A361" s="156" t="s">
        <v>171</v>
      </c>
      <c r="B361" s="156">
        <v>5503</v>
      </c>
    </row>
    <row r="362" spans="1:2" x14ac:dyDescent="0.25">
      <c r="A362" s="156" t="s">
        <v>195</v>
      </c>
      <c r="B362" s="156">
        <v>5653</v>
      </c>
    </row>
    <row r="363" spans="1:2" x14ac:dyDescent="0.25">
      <c r="A363" s="156" t="s">
        <v>269</v>
      </c>
      <c r="B363" s="156">
        <v>5937</v>
      </c>
    </row>
    <row r="364" spans="1:2" x14ac:dyDescent="0.25">
      <c r="A364" s="156" t="s">
        <v>330</v>
      </c>
      <c r="B364" s="156">
        <v>5766</v>
      </c>
    </row>
    <row r="365" spans="1:2" x14ac:dyDescent="0.25">
      <c r="A365" s="156" t="s">
        <v>372</v>
      </c>
      <c r="B365" s="156">
        <v>5803</v>
      </c>
    </row>
    <row r="366" spans="1:2" x14ac:dyDescent="0.25">
      <c r="A366" s="156" t="s">
        <v>196</v>
      </c>
      <c r="B366" s="156">
        <v>5654</v>
      </c>
    </row>
    <row r="367" spans="1:2" x14ac:dyDescent="0.25">
      <c r="A367" s="156" t="s">
        <v>413</v>
      </c>
      <c r="B367" s="156">
        <v>5464</v>
      </c>
    </row>
    <row r="368" spans="1:2" x14ac:dyDescent="0.25">
      <c r="A368" s="156" t="s">
        <v>197</v>
      </c>
      <c r="B368" s="156">
        <v>5655</v>
      </c>
    </row>
    <row r="369" spans="1:2" x14ac:dyDescent="0.25">
      <c r="A369" s="156" t="s">
        <v>146</v>
      </c>
      <c r="B369" s="156">
        <v>5938</v>
      </c>
    </row>
    <row r="370" spans="1:2" x14ac:dyDescent="0.25">
      <c r="A370" s="156" t="s">
        <v>145</v>
      </c>
      <c r="B370" s="156">
        <v>5939</v>
      </c>
    </row>
    <row r="371" spans="1:2" x14ac:dyDescent="0.25">
      <c r="A371" s="156" t="s">
        <v>71</v>
      </c>
      <c r="B371" s="156">
        <v>5415</v>
      </c>
    </row>
    <row r="372" spans="1:2" x14ac:dyDescent="0.25">
      <c r="B372" s="158"/>
    </row>
    <row r="373" spans="1:2" x14ac:dyDescent="0.25">
      <c r="B373" s="158"/>
    </row>
    <row r="374" spans="1:2" x14ac:dyDescent="0.25">
      <c r="B374" s="158"/>
    </row>
    <row r="375" spans="1:2" x14ac:dyDescent="0.25">
      <c r="B375" s="158"/>
    </row>
    <row r="376" spans="1:2" x14ac:dyDescent="0.25">
      <c r="B376" s="158"/>
    </row>
    <row r="377" spans="1:2" x14ac:dyDescent="0.25">
      <c r="B377" s="158"/>
    </row>
    <row r="378" spans="1:2" x14ac:dyDescent="0.25">
      <c r="B378" s="158"/>
    </row>
    <row r="379" spans="1:2" x14ac:dyDescent="0.25">
      <c r="B379" s="158"/>
    </row>
    <row r="380" spans="1:2" x14ac:dyDescent="0.25">
      <c r="B380" s="158"/>
    </row>
    <row r="381" spans="1:2" x14ac:dyDescent="0.25">
      <c r="B381" s="158"/>
    </row>
    <row r="382" spans="1:2" x14ac:dyDescent="0.25">
      <c r="B382" s="158"/>
    </row>
    <row r="383" spans="1:2" x14ac:dyDescent="0.25">
      <c r="B383" s="158"/>
    </row>
    <row r="384" spans="1:2" x14ac:dyDescent="0.25">
      <c r="B384" s="158"/>
    </row>
    <row r="385" spans="2:2" x14ac:dyDescent="0.25">
      <c r="B385" s="158"/>
    </row>
    <row r="386" spans="2:2" x14ac:dyDescent="0.25">
      <c r="B386" s="158"/>
    </row>
    <row r="387" spans="2:2" x14ac:dyDescent="0.25">
      <c r="B387" s="158"/>
    </row>
    <row r="388" spans="2:2" x14ac:dyDescent="0.25">
      <c r="B388" s="158"/>
    </row>
    <row r="389" spans="2:2" x14ac:dyDescent="0.25">
      <c r="B389" s="158"/>
    </row>
    <row r="390" spans="2:2" x14ac:dyDescent="0.25">
      <c r="B390" s="158"/>
    </row>
    <row r="391" spans="2:2" x14ac:dyDescent="0.25">
      <c r="B391" s="158"/>
    </row>
    <row r="392" spans="2:2" x14ac:dyDescent="0.25">
      <c r="B392" s="158"/>
    </row>
    <row r="393" spans="2:2" x14ac:dyDescent="0.25">
      <c r="B393" s="158"/>
    </row>
    <row r="394" spans="2:2" x14ac:dyDescent="0.25">
      <c r="B394" s="158"/>
    </row>
    <row r="395" spans="2:2" x14ac:dyDescent="0.25">
      <c r="B395" s="158"/>
    </row>
    <row r="396" spans="2:2" x14ac:dyDescent="0.25">
      <c r="B396" s="158"/>
    </row>
    <row r="397" spans="2:2" x14ac:dyDescent="0.25">
      <c r="B397" s="158"/>
    </row>
    <row r="398" spans="2:2" x14ac:dyDescent="0.25">
      <c r="B398" s="158"/>
    </row>
    <row r="399" spans="2:2" x14ac:dyDescent="0.25">
      <c r="B399" s="158"/>
    </row>
    <row r="400" spans="2:2" x14ac:dyDescent="0.25">
      <c r="B400" s="158"/>
    </row>
    <row r="401" spans="2:2" x14ac:dyDescent="0.25">
      <c r="B401" s="158"/>
    </row>
    <row r="402" spans="2:2" x14ac:dyDescent="0.25">
      <c r="B402" s="158"/>
    </row>
    <row r="403" spans="2:2" x14ac:dyDescent="0.25">
      <c r="B403" s="158"/>
    </row>
    <row r="404" spans="2:2" x14ac:dyDescent="0.25">
      <c r="B404" s="158"/>
    </row>
    <row r="405" spans="2:2" x14ac:dyDescent="0.25">
      <c r="B405" s="158"/>
    </row>
    <row r="406" spans="2:2" x14ac:dyDescent="0.25">
      <c r="B406" s="158"/>
    </row>
    <row r="407" spans="2:2" x14ac:dyDescent="0.25">
      <c r="B407" s="158"/>
    </row>
    <row r="408" spans="2:2" x14ac:dyDescent="0.25">
      <c r="B408" s="158"/>
    </row>
    <row r="409" spans="2:2" x14ac:dyDescent="0.25">
      <c r="B409" s="158"/>
    </row>
    <row r="410" spans="2:2" x14ac:dyDescent="0.25">
      <c r="B410" s="158"/>
    </row>
    <row r="411" spans="2:2" x14ac:dyDescent="0.25">
      <c r="B411" s="158"/>
    </row>
    <row r="412" spans="2:2" x14ac:dyDescent="0.25">
      <c r="B412" s="158"/>
    </row>
    <row r="413" spans="2:2" x14ac:dyDescent="0.25">
      <c r="B413" s="158"/>
    </row>
    <row r="414" spans="2:2" x14ac:dyDescent="0.25">
      <c r="B414" s="158"/>
    </row>
    <row r="415" spans="2:2" x14ac:dyDescent="0.25">
      <c r="B415" s="158"/>
    </row>
    <row r="416" spans="2:2" x14ac:dyDescent="0.25">
      <c r="B416" s="158"/>
    </row>
    <row r="417" spans="2:2" x14ac:dyDescent="0.25">
      <c r="B417" s="158"/>
    </row>
    <row r="418" spans="2:2" x14ac:dyDescent="0.25">
      <c r="B418" s="158"/>
    </row>
    <row r="419" spans="2:2" x14ac:dyDescent="0.25">
      <c r="B419" s="158"/>
    </row>
    <row r="420" spans="2:2" x14ac:dyDescent="0.25">
      <c r="B420" s="158"/>
    </row>
    <row r="421" spans="2:2" x14ac:dyDescent="0.25">
      <c r="B421" s="158"/>
    </row>
    <row r="422" spans="2:2" x14ac:dyDescent="0.25">
      <c r="B422" s="158"/>
    </row>
    <row r="423" spans="2:2" x14ac:dyDescent="0.25">
      <c r="B423" s="158"/>
    </row>
    <row r="424" spans="2:2" x14ac:dyDescent="0.25">
      <c r="B424" s="158"/>
    </row>
    <row r="425" spans="2:2" x14ac:dyDescent="0.25">
      <c r="B425" s="158"/>
    </row>
    <row r="426" spans="2:2" x14ac:dyDescent="0.25">
      <c r="B426" s="158"/>
    </row>
    <row r="427" spans="2:2" x14ac:dyDescent="0.25">
      <c r="B427" s="158"/>
    </row>
    <row r="428" spans="2:2" x14ac:dyDescent="0.25">
      <c r="B428" s="158"/>
    </row>
    <row r="429" spans="2:2" x14ac:dyDescent="0.25">
      <c r="B429" s="158"/>
    </row>
    <row r="430" spans="2:2" x14ac:dyDescent="0.25">
      <c r="B430" s="158"/>
    </row>
    <row r="431" spans="2:2" x14ac:dyDescent="0.25">
      <c r="B431" s="158"/>
    </row>
    <row r="432" spans="2:2" x14ac:dyDescent="0.25">
      <c r="B432" s="158"/>
    </row>
    <row r="433" spans="2:2" x14ac:dyDescent="0.25">
      <c r="B433" s="158"/>
    </row>
    <row r="434" spans="2:2" x14ac:dyDescent="0.25">
      <c r="B434" s="158"/>
    </row>
    <row r="435" spans="2:2" x14ac:dyDescent="0.25">
      <c r="B435" s="158"/>
    </row>
    <row r="436" spans="2:2" x14ac:dyDescent="0.25">
      <c r="B436" s="158"/>
    </row>
    <row r="437" spans="2:2" x14ac:dyDescent="0.25">
      <c r="B437" s="158"/>
    </row>
    <row r="438" spans="2:2" x14ac:dyDescent="0.25">
      <c r="B438" s="158"/>
    </row>
    <row r="439" spans="2:2" x14ac:dyDescent="0.25">
      <c r="B439" s="158"/>
    </row>
    <row r="440" spans="2:2" x14ac:dyDescent="0.25">
      <c r="B440" s="158"/>
    </row>
    <row r="441" spans="2:2" x14ac:dyDescent="0.25">
      <c r="B441" s="158"/>
    </row>
    <row r="442" spans="2:2" x14ac:dyDescent="0.25">
      <c r="B442" s="158"/>
    </row>
    <row r="443" spans="2:2" x14ac:dyDescent="0.25">
      <c r="B443" s="158"/>
    </row>
    <row r="444" spans="2:2" x14ac:dyDescent="0.25">
      <c r="B444" s="158"/>
    </row>
    <row r="445" spans="2:2" x14ac:dyDescent="0.25">
      <c r="B445" s="158"/>
    </row>
    <row r="446" spans="2:2" x14ac:dyDescent="0.25">
      <c r="B446" s="158"/>
    </row>
    <row r="447" spans="2:2" x14ac:dyDescent="0.25">
      <c r="B447" s="158"/>
    </row>
    <row r="448" spans="2:2" x14ac:dyDescent="0.25">
      <c r="B448" s="158"/>
    </row>
    <row r="449" spans="2:2" x14ac:dyDescent="0.25">
      <c r="B449" s="158"/>
    </row>
    <row r="450" spans="2:2" x14ac:dyDescent="0.25">
      <c r="B450" s="158"/>
    </row>
    <row r="451" spans="2:2" x14ac:dyDescent="0.25">
      <c r="B451" s="158"/>
    </row>
    <row r="452" spans="2:2" x14ac:dyDescent="0.25">
      <c r="B452" s="158"/>
    </row>
    <row r="453" spans="2:2" x14ac:dyDescent="0.25">
      <c r="B453" s="158"/>
    </row>
    <row r="454" spans="2:2" x14ac:dyDescent="0.25">
      <c r="B454" s="158"/>
    </row>
    <row r="455" spans="2:2" x14ac:dyDescent="0.25">
      <c r="B455" s="158"/>
    </row>
    <row r="456" spans="2:2" x14ac:dyDescent="0.25">
      <c r="B456" s="158"/>
    </row>
    <row r="457" spans="2:2" x14ac:dyDescent="0.25">
      <c r="B457" s="158"/>
    </row>
    <row r="458" spans="2:2" x14ac:dyDescent="0.25">
      <c r="B458" s="158"/>
    </row>
    <row r="459" spans="2:2" x14ac:dyDescent="0.25">
      <c r="B459" s="158"/>
    </row>
    <row r="460" spans="2:2" x14ac:dyDescent="0.25">
      <c r="B460" s="158"/>
    </row>
    <row r="461" spans="2:2" x14ac:dyDescent="0.25">
      <c r="B461" s="158"/>
    </row>
    <row r="462" spans="2:2" x14ac:dyDescent="0.25">
      <c r="B462" s="158"/>
    </row>
    <row r="463" spans="2:2" x14ac:dyDescent="0.25">
      <c r="B463" s="158"/>
    </row>
    <row r="464" spans="2:2" x14ac:dyDescent="0.25">
      <c r="B464" s="158"/>
    </row>
    <row r="465" spans="2:2" x14ac:dyDescent="0.25">
      <c r="B465" s="158"/>
    </row>
    <row r="466" spans="2:2" x14ac:dyDescent="0.25">
      <c r="B466" s="158"/>
    </row>
    <row r="467" spans="2:2" x14ac:dyDescent="0.25">
      <c r="B467" s="158"/>
    </row>
    <row r="468" spans="2:2" x14ac:dyDescent="0.25">
      <c r="B468" s="158"/>
    </row>
    <row r="469" spans="2:2" x14ac:dyDescent="0.25">
      <c r="B469" s="158"/>
    </row>
    <row r="470" spans="2:2" x14ac:dyDescent="0.25">
      <c r="B470" s="158"/>
    </row>
    <row r="471" spans="2:2" x14ac:dyDescent="0.25">
      <c r="B471" s="158"/>
    </row>
    <row r="472" spans="2:2" x14ac:dyDescent="0.25">
      <c r="B472" s="158"/>
    </row>
    <row r="473" spans="2:2" x14ac:dyDescent="0.25">
      <c r="B473" s="158"/>
    </row>
    <row r="474" spans="2:2" x14ac:dyDescent="0.25">
      <c r="B474" s="158"/>
    </row>
    <row r="475" spans="2:2" x14ac:dyDescent="0.25">
      <c r="B475" s="158"/>
    </row>
    <row r="476" spans="2:2" x14ac:dyDescent="0.25">
      <c r="B476" s="158"/>
    </row>
    <row r="477" spans="2:2" x14ac:dyDescent="0.25">
      <c r="B477" s="158"/>
    </row>
    <row r="478" spans="2:2" x14ac:dyDescent="0.25">
      <c r="B478" s="158"/>
    </row>
    <row r="479" spans="2:2" x14ac:dyDescent="0.25">
      <c r="B479" s="158"/>
    </row>
    <row r="480" spans="2:2" x14ac:dyDescent="0.25">
      <c r="B480" s="158"/>
    </row>
    <row r="481" spans="2:2" x14ac:dyDescent="0.25">
      <c r="B481" s="158"/>
    </row>
    <row r="482" spans="2:2" x14ac:dyDescent="0.25">
      <c r="B482" s="158"/>
    </row>
    <row r="483" spans="2:2" x14ac:dyDescent="0.25">
      <c r="B483" s="158"/>
    </row>
    <row r="484" spans="2:2" x14ac:dyDescent="0.25">
      <c r="B484" s="158"/>
    </row>
    <row r="485" spans="2:2" x14ac:dyDescent="0.25">
      <c r="B485" s="158"/>
    </row>
    <row r="486" spans="2:2" x14ac:dyDescent="0.25">
      <c r="B486" s="158"/>
    </row>
    <row r="487" spans="2:2" x14ac:dyDescent="0.25">
      <c r="B487" s="158"/>
    </row>
    <row r="488" spans="2:2" x14ac:dyDescent="0.25">
      <c r="B488" s="158"/>
    </row>
    <row r="489" spans="2:2" x14ac:dyDescent="0.25">
      <c r="B489" s="158"/>
    </row>
    <row r="490" spans="2:2" x14ac:dyDescent="0.25">
      <c r="B490" s="158"/>
    </row>
    <row r="491" spans="2:2" x14ac:dyDescent="0.25">
      <c r="B491" s="158"/>
    </row>
    <row r="492" spans="2:2" x14ac:dyDescent="0.25">
      <c r="B492" s="158"/>
    </row>
    <row r="493" spans="2:2" x14ac:dyDescent="0.25">
      <c r="B493" s="158"/>
    </row>
    <row r="494" spans="2:2" x14ac:dyDescent="0.25">
      <c r="B494" s="158"/>
    </row>
    <row r="495" spans="2:2" x14ac:dyDescent="0.25">
      <c r="B495" s="158"/>
    </row>
    <row r="496" spans="2:2" x14ac:dyDescent="0.25">
      <c r="B496" s="158"/>
    </row>
    <row r="497" spans="2:2" x14ac:dyDescent="0.25">
      <c r="B497" s="158"/>
    </row>
    <row r="498" spans="2:2" x14ac:dyDescent="0.25">
      <c r="B498" s="158"/>
    </row>
    <row r="499" spans="2:2" x14ac:dyDescent="0.25">
      <c r="B499" s="158"/>
    </row>
    <row r="500" spans="2:2" x14ac:dyDescent="0.25">
      <c r="B500" s="158"/>
    </row>
    <row r="501" spans="2:2" x14ac:dyDescent="0.25">
      <c r="B501" s="158"/>
    </row>
    <row r="502" spans="2:2" x14ac:dyDescent="0.25">
      <c r="B502" s="158"/>
    </row>
    <row r="503" spans="2:2" x14ac:dyDescent="0.25">
      <c r="B503" s="158"/>
    </row>
    <row r="504" spans="2:2" x14ac:dyDescent="0.25">
      <c r="B504" s="158"/>
    </row>
    <row r="505" spans="2:2" x14ac:dyDescent="0.25">
      <c r="B505" s="158"/>
    </row>
    <row r="506" spans="2:2" x14ac:dyDescent="0.25">
      <c r="B506" s="158"/>
    </row>
    <row r="507" spans="2:2" x14ac:dyDescent="0.25">
      <c r="B507" s="158"/>
    </row>
    <row r="508" spans="2:2" x14ac:dyDescent="0.25">
      <c r="B508" s="158"/>
    </row>
    <row r="509" spans="2:2" x14ac:dyDescent="0.25">
      <c r="B509" s="158"/>
    </row>
    <row r="510" spans="2:2" x14ac:dyDescent="0.25">
      <c r="B510" s="158"/>
    </row>
    <row r="511" spans="2:2" x14ac:dyDescent="0.25">
      <c r="B511" s="158"/>
    </row>
    <row r="512" spans="2:2" x14ac:dyDescent="0.25">
      <c r="B512" s="158"/>
    </row>
    <row r="513" spans="2:2" x14ac:dyDescent="0.25">
      <c r="B513" s="158"/>
    </row>
    <row r="514" spans="2:2" x14ac:dyDescent="0.25">
      <c r="B514" s="158"/>
    </row>
    <row r="515" spans="2:2" x14ac:dyDescent="0.25">
      <c r="B515" s="158"/>
    </row>
    <row r="516" spans="2:2" x14ac:dyDescent="0.25">
      <c r="B516" s="158"/>
    </row>
    <row r="517" spans="2:2" x14ac:dyDescent="0.25">
      <c r="B517" s="158"/>
    </row>
    <row r="518" spans="2:2" x14ac:dyDescent="0.25">
      <c r="B518" s="158"/>
    </row>
    <row r="519" spans="2:2" x14ac:dyDescent="0.25">
      <c r="B519" s="158"/>
    </row>
    <row r="520" spans="2:2" x14ac:dyDescent="0.25">
      <c r="B520" s="158"/>
    </row>
    <row r="521" spans="2:2" x14ac:dyDescent="0.25">
      <c r="B521" s="158"/>
    </row>
    <row r="522" spans="2:2" x14ac:dyDescent="0.25">
      <c r="B522" s="158"/>
    </row>
    <row r="523" spans="2:2" x14ac:dyDescent="0.25">
      <c r="B523" s="158"/>
    </row>
    <row r="524" spans="2:2" x14ac:dyDescent="0.25">
      <c r="B524" s="158"/>
    </row>
    <row r="525" spans="2:2" x14ac:dyDescent="0.25">
      <c r="B525" s="158"/>
    </row>
    <row r="526" spans="2:2" x14ac:dyDescent="0.25">
      <c r="B526" s="158"/>
    </row>
    <row r="527" spans="2:2" x14ac:dyDescent="0.25">
      <c r="B527" s="158"/>
    </row>
    <row r="528" spans="2:2" x14ac:dyDescent="0.25">
      <c r="B528" s="158"/>
    </row>
    <row r="529" spans="2:2" x14ac:dyDescent="0.25">
      <c r="B529" s="158"/>
    </row>
    <row r="530" spans="2:2" x14ac:dyDescent="0.25">
      <c r="B530" s="158"/>
    </row>
    <row r="531" spans="2:2" x14ac:dyDescent="0.25">
      <c r="B531" s="158"/>
    </row>
    <row r="532" spans="2:2" x14ac:dyDescent="0.25">
      <c r="B532" s="158"/>
    </row>
    <row r="533" spans="2:2" x14ac:dyDescent="0.25">
      <c r="B533" s="158"/>
    </row>
    <row r="534" spans="2:2" x14ac:dyDescent="0.25">
      <c r="B534" s="158"/>
    </row>
    <row r="535" spans="2:2" x14ac:dyDescent="0.25">
      <c r="B535" s="158"/>
    </row>
    <row r="536" spans="2:2" x14ac:dyDescent="0.25">
      <c r="B536" s="158"/>
    </row>
    <row r="537" spans="2:2" x14ac:dyDescent="0.25">
      <c r="B537" s="158"/>
    </row>
    <row r="538" spans="2:2" x14ac:dyDescent="0.25">
      <c r="B538" s="158"/>
    </row>
  </sheetData>
  <protectedRanges>
    <protectedRange sqref="B22:H22" name="Plage2"/>
    <protectedRange sqref="A372:A401 B11:B12 B24 B28 B32:B33 B37:B38 G37 B60:B61 B41 G42:H43 B42:F44 B16:F17" name="Plage1"/>
    <protectedRange sqref="A64:A371" name="Plage1_3"/>
    <protectedRange sqref="B64:B371" name="Plage1_4"/>
    <protectedRange sqref="B5:B8" name="Plage1_1"/>
    <protectedRange sqref="B51:B52" name="Plage1_2"/>
    <protectedRange sqref="B53" name="Plage1_5"/>
  </protectedRanges>
  <sortState xmlns:xlrd2="http://schemas.microsoft.com/office/spreadsheetml/2017/richdata2" ref="A64:B371">
    <sortCondition ref="A64:A371"/>
  </sortState>
  <mergeCells count="3">
    <mergeCell ref="D52:H52"/>
    <mergeCell ref="D53:H53"/>
    <mergeCell ref="D51:H51"/>
  </mergeCells>
  <phoneticPr fontId="21" type="noConversion"/>
  <printOptions horizontalCentered="1"/>
  <pageMargins left="0" right="0" top="0" bottom="0" header="0.51181102362204722" footer="0.51181102362204722"/>
  <pageSetup paperSize="9" orientation="landscape"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rgb="FF00B050"/>
  </sheetPr>
  <dimension ref="A1:I314"/>
  <sheetViews>
    <sheetView workbookViewId="0"/>
  </sheetViews>
  <sheetFormatPr baseColWidth="10" defaultColWidth="11" defaultRowHeight="15" x14ac:dyDescent="0.25"/>
  <cols>
    <col min="1" max="1" width="7.25" style="13" customWidth="1"/>
    <col min="2" max="2" width="25.375" style="13" customWidth="1"/>
    <col min="3" max="3" width="9.25" style="13" customWidth="1"/>
    <col min="4" max="4" width="12.125" style="13" customWidth="1"/>
    <col min="5" max="5" width="10.375" style="13" customWidth="1"/>
    <col min="6" max="6" width="13.25" style="14" customWidth="1"/>
    <col min="7" max="7" width="11" style="15"/>
    <col min="8" max="8" width="11" style="13"/>
    <col min="9" max="9" width="13.375" style="6" customWidth="1"/>
    <col min="10" max="16384" width="11" style="13"/>
  </cols>
  <sheetData>
    <row r="1" spans="1:9" ht="21" x14ac:dyDescent="0.25">
      <c r="A1" s="51" t="s">
        <v>436</v>
      </c>
      <c r="B1" s="42"/>
      <c r="C1" s="93"/>
      <c r="D1" s="93"/>
    </row>
    <row r="2" spans="1:9" s="393" customFormat="1" ht="21" x14ac:dyDescent="0.25">
      <c r="A2" s="199">
        <f>Paramètres!B5</f>
        <v>2021</v>
      </c>
      <c r="B2" s="42"/>
      <c r="C2" s="93"/>
      <c r="D2" s="93"/>
      <c r="F2" s="423"/>
      <c r="G2" s="427"/>
      <c r="I2" s="6"/>
    </row>
    <row r="4" spans="1:9" ht="30" x14ac:dyDescent="0.25">
      <c r="A4" s="592" t="s">
        <v>46</v>
      </c>
      <c r="B4" s="592" t="s">
        <v>94</v>
      </c>
      <c r="C4" s="592" t="s">
        <v>296</v>
      </c>
      <c r="D4" s="592" t="s">
        <v>561</v>
      </c>
      <c r="E4" s="111" t="s">
        <v>344</v>
      </c>
      <c r="F4" s="589" t="s">
        <v>303</v>
      </c>
      <c r="G4" s="613" t="s">
        <v>77</v>
      </c>
      <c r="H4" s="592" t="s">
        <v>342</v>
      </c>
      <c r="I4" s="589" t="s">
        <v>343</v>
      </c>
    </row>
    <row r="5" spans="1:9" x14ac:dyDescent="0.25">
      <c r="A5" s="593"/>
      <c r="B5" s="593"/>
      <c r="C5" s="593"/>
      <c r="D5" s="594"/>
      <c r="E5" s="443">
        <f>+Paramètres!B28</f>
        <v>0.27</v>
      </c>
      <c r="F5" s="591"/>
      <c r="G5" s="614"/>
      <c r="H5" s="594"/>
      <c r="I5" s="590"/>
    </row>
    <row r="6" spans="1:9" x14ac:dyDescent="0.25">
      <c r="A6" s="46">
        <f>'A) Base RI'!A7</f>
        <v>5401</v>
      </c>
      <c r="B6" s="289" t="str">
        <f>'A) Base RI'!B7</f>
        <v>Aigle</v>
      </c>
      <c r="C6" s="94">
        <f>'A) Base RI'!V7</f>
        <v>10828</v>
      </c>
      <c r="D6" s="109">
        <f>'D) Ecrêtage'!E6</f>
        <v>25.950449314441048</v>
      </c>
      <c r="E6" s="34">
        <f t="shared" ref="E6" si="0">IF($D$314-D6&lt;0,0,$D$314-D6)</f>
        <v>22.437499784640398</v>
      </c>
      <c r="F6" s="271">
        <f t="shared" ref="F6" si="1">(C6*E6*G6)*$E$5</f>
        <v>4329426.8734452967</v>
      </c>
      <c r="G6" s="33">
        <f>+'A) Base RI'!U7</f>
        <v>66</v>
      </c>
      <c r="H6" s="272">
        <f t="shared" ref="H6" si="2">G6/$G$314</f>
        <v>0.97631188228946109</v>
      </c>
      <c r="I6" s="55">
        <f>F6*H6</f>
        <v>4226870.9000479542</v>
      </c>
    </row>
    <row r="7" spans="1:9" x14ac:dyDescent="0.25">
      <c r="A7" s="49">
        <f>'A) Base RI'!A8</f>
        <v>5402</v>
      </c>
      <c r="B7" s="32" t="str">
        <f>'A) Base RI'!B8</f>
        <v>Bex</v>
      </c>
      <c r="C7" s="95">
        <f>'A) Base RI'!V8</f>
        <v>8063</v>
      </c>
      <c r="D7" s="109">
        <f>'D) Ecrêtage'!E7</f>
        <v>23.900158854653409</v>
      </c>
      <c r="E7" s="34">
        <f t="shared" ref="E7:E70" si="3">IF($D$314-D7&lt;0,0,$D$314-D7)</f>
        <v>24.487790244428037</v>
      </c>
      <c r="F7" s="271">
        <f t="shared" ref="F7:F70" si="4">(C7*E7*G7)*$E$5</f>
        <v>3785021.6610415825</v>
      </c>
      <c r="G7" s="33">
        <f>+'A) Base RI'!U8</f>
        <v>71</v>
      </c>
      <c r="H7" s="272">
        <f t="shared" ref="H7:H70" si="5">G7/$G$314</f>
        <v>1.0502749036750263</v>
      </c>
      <c r="I7" s="55">
        <f t="shared" ref="I7:I70" si="6">F7*H7</f>
        <v>3975313.2604583362</v>
      </c>
    </row>
    <row r="8" spans="1:9" x14ac:dyDescent="0.25">
      <c r="A8" s="49">
        <f>'A) Base RI'!A9</f>
        <v>5403</v>
      </c>
      <c r="B8" s="32" t="str">
        <f>'A) Base RI'!B9</f>
        <v>Chessel</v>
      </c>
      <c r="C8" s="95">
        <f>'A) Base RI'!V9</f>
        <v>497</v>
      </c>
      <c r="D8" s="109">
        <f>'D) Ecrêtage'!E8</f>
        <v>24.326625156343464</v>
      </c>
      <c r="E8" s="34">
        <f t="shared" si="3"/>
        <v>24.061323942737982</v>
      </c>
      <c r="F8" s="271">
        <f t="shared" si="4"/>
        <v>238930.39043082474</v>
      </c>
      <c r="G8" s="33">
        <f>+'A) Base RI'!U9</f>
        <v>74</v>
      </c>
      <c r="H8" s="272">
        <f t="shared" si="5"/>
        <v>1.0946527165063655</v>
      </c>
      <c r="I8" s="55">
        <f t="shared" si="6"/>
        <v>261545.80094102884</v>
      </c>
    </row>
    <row r="9" spans="1:9" x14ac:dyDescent="0.25">
      <c r="A9" s="49">
        <f>'A) Base RI'!A10</f>
        <v>5404</v>
      </c>
      <c r="B9" s="32" t="str">
        <f>'A) Base RI'!B10</f>
        <v>Corbeyrier</v>
      </c>
      <c r="C9" s="95">
        <f>'A) Base RI'!V10</f>
        <v>439</v>
      </c>
      <c r="D9" s="109">
        <f>'D) Ecrêtage'!E9</f>
        <v>26.380680600874225</v>
      </c>
      <c r="E9" s="34">
        <f t="shared" si="3"/>
        <v>22.007268498207221</v>
      </c>
      <c r="F9" s="271">
        <f t="shared" si="4"/>
        <v>193030.59359684514</v>
      </c>
      <c r="G9" s="33">
        <f>+'A) Base RI'!U10</f>
        <v>74</v>
      </c>
      <c r="H9" s="272">
        <f t="shared" si="5"/>
        <v>1.0946527165063655</v>
      </c>
      <c r="I9" s="55">
        <f t="shared" si="6"/>
        <v>211301.46364962278</v>
      </c>
    </row>
    <row r="10" spans="1:9" x14ac:dyDescent="0.25">
      <c r="A10" s="49">
        <f>'A) Base RI'!A11</f>
        <v>5405</v>
      </c>
      <c r="B10" s="32" t="str">
        <f>'A) Base RI'!B11</f>
        <v>Gryon</v>
      </c>
      <c r="C10" s="95">
        <f>'A) Base RI'!V11</f>
        <v>1382</v>
      </c>
      <c r="D10" s="109">
        <f>'D) Ecrêtage'!E10</f>
        <v>56.520358250391332</v>
      </c>
      <c r="E10" s="34">
        <f t="shared" si="3"/>
        <v>0</v>
      </c>
      <c r="F10" s="271">
        <f t="shared" si="4"/>
        <v>0</v>
      </c>
      <c r="G10" s="33">
        <f>+'A) Base RI'!U11</f>
        <v>73.5</v>
      </c>
      <c r="H10" s="272">
        <f t="shared" si="5"/>
        <v>1.087256414367809</v>
      </c>
      <c r="I10" s="55">
        <f t="shared" si="6"/>
        <v>0</v>
      </c>
    </row>
    <row r="11" spans="1:9" x14ac:dyDescent="0.25">
      <c r="A11" s="49">
        <f>'A) Base RI'!A12</f>
        <v>5406</v>
      </c>
      <c r="B11" s="32" t="str">
        <f>'A) Base RI'!B12</f>
        <v>Lavey-Morcles</v>
      </c>
      <c r="C11" s="95">
        <f>'A) Base RI'!V12</f>
        <v>966</v>
      </c>
      <c r="D11" s="109">
        <f>'D) Ecrêtage'!E11</f>
        <v>22.271037457525754</v>
      </c>
      <c r="E11" s="34">
        <f t="shared" si="3"/>
        <v>26.116911641555692</v>
      </c>
      <c r="F11" s="271">
        <f t="shared" si="4"/>
        <v>487044.6219460647</v>
      </c>
      <c r="G11" s="33">
        <f>+'A) Base RI'!U12</f>
        <v>71.5</v>
      </c>
      <c r="H11" s="272">
        <f t="shared" si="5"/>
        <v>1.0576712058135829</v>
      </c>
      <c r="I11" s="55">
        <f t="shared" si="6"/>
        <v>515133.07257871487</v>
      </c>
    </row>
    <row r="12" spans="1:9" x14ac:dyDescent="0.25">
      <c r="A12" s="49">
        <f>'A) Base RI'!A13</f>
        <v>5407</v>
      </c>
      <c r="B12" s="32" t="str">
        <f>'A) Base RI'!B13</f>
        <v>Leysin</v>
      </c>
      <c r="C12" s="95">
        <f>'A) Base RI'!V13</f>
        <v>3637</v>
      </c>
      <c r="D12" s="109">
        <f>'D) Ecrêtage'!E12</f>
        <v>24.934683476331809</v>
      </c>
      <c r="E12" s="34">
        <f t="shared" si="3"/>
        <v>23.453265622749637</v>
      </c>
      <c r="F12" s="271">
        <f t="shared" si="4"/>
        <v>1796408.0400929456</v>
      </c>
      <c r="G12" s="33">
        <f>+'A) Base RI'!U13</f>
        <v>78</v>
      </c>
      <c r="H12" s="272">
        <f t="shared" si="5"/>
        <v>1.1538231336148177</v>
      </c>
      <c r="I12" s="55">
        <f t="shared" si="6"/>
        <v>2072737.1540708956</v>
      </c>
    </row>
    <row r="13" spans="1:9" x14ac:dyDescent="0.25">
      <c r="A13" s="49">
        <f>'A) Base RI'!A14</f>
        <v>5408</v>
      </c>
      <c r="B13" s="32" t="str">
        <f>'A) Base RI'!B14</f>
        <v>Noville</v>
      </c>
      <c r="C13" s="95">
        <f>'A) Base RI'!V14</f>
        <v>1169</v>
      </c>
      <c r="D13" s="109">
        <f>'D) Ecrêtage'!E13</f>
        <v>35.405853406925914</v>
      </c>
      <c r="E13" s="34">
        <f t="shared" si="3"/>
        <v>12.982095692155532</v>
      </c>
      <c r="F13" s="271">
        <f t="shared" si="4"/>
        <v>321656.80077023146</v>
      </c>
      <c r="G13" s="33">
        <f>+'A) Base RI'!U14</f>
        <v>78.5</v>
      </c>
      <c r="H13" s="272">
        <f t="shared" si="5"/>
        <v>1.1612194357533743</v>
      </c>
      <c r="I13" s="55">
        <f t="shared" si="6"/>
        <v>373514.12869664369</v>
      </c>
    </row>
    <row r="14" spans="1:9" x14ac:dyDescent="0.25">
      <c r="A14" s="49">
        <f>'A) Base RI'!A15</f>
        <v>5409</v>
      </c>
      <c r="B14" s="32" t="str">
        <f>'A) Base RI'!B15</f>
        <v>Ollon</v>
      </c>
      <c r="C14" s="95">
        <f>'A) Base RI'!V15</f>
        <v>7904</v>
      </c>
      <c r="D14" s="109">
        <f>'D) Ecrêtage'!E14</f>
        <v>54.183066896078735</v>
      </c>
      <c r="E14" s="34">
        <f t="shared" si="3"/>
        <v>0</v>
      </c>
      <c r="F14" s="271">
        <f t="shared" si="4"/>
        <v>0</v>
      </c>
      <c r="G14" s="33">
        <f>+'A) Base RI'!U15</f>
        <v>68</v>
      </c>
      <c r="H14" s="272">
        <f t="shared" si="5"/>
        <v>1.0058970908436873</v>
      </c>
      <c r="I14" s="55">
        <f t="shared" si="6"/>
        <v>0</v>
      </c>
    </row>
    <row r="15" spans="1:9" x14ac:dyDescent="0.25">
      <c r="A15" s="49">
        <f>'A) Base RI'!A16</f>
        <v>5410</v>
      </c>
      <c r="B15" s="32" t="str">
        <f>'A) Base RI'!B16</f>
        <v>Ormont-Dessous</v>
      </c>
      <c r="C15" s="95">
        <f>'A) Base RI'!V16</f>
        <v>1162</v>
      </c>
      <c r="D15" s="109">
        <f>'D) Ecrêtage'!E15</f>
        <v>33.230936361401078</v>
      </c>
      <c r="E15" s="34">
        <f t="shared" si="3"/>
        <v>15.157012737680368</v>
      </c>
      <c r="F15" s="271">
        <f t="shared" si="4"/>
        <v>366162.81057662767</v>
      </c>
      <c r="G15" s="33">
        <f>+'A) Base RI'!U16</f>
        <v>77</v>
      </c>
      <c r="H15" s="272">
        <f t="shared" si="5"/>
        <v>1.1390305293377045</v>
      </c>
      <c r="I15" s="55">
        <f t="shared" si="6"/>
        <v>417070.61995487788</v>
      </c>
    </row>
    <row r="16" spans="1:9" x14ac:dyDescent="0.25">
      <c r="A16" s="49">
        <f>'A) Base RI'!A17</f>
        <v>5411</v>
      </c>
      <c r="B16" s="32" t="str">
        <f>'A) Base RI'!B17</f>
        <v>Ormont-Dessus</v>
      </c>
      <c r="C16" s="95">
        <f>'A) Base RI'!V17</f>
        <v>1451</v>
      </c>
      <c r="D16" s="109">
        <f>'D) Ecrêtage'!E16</f>
        <v>53.350386787091786</v>
      </c>
      <c r="E16" s="34">
        <f t="shared" si="3"/>
        <v>0</v>
      </c>
      <c r="F16" s="271">
        <f t="shared" si="4"/>
        <v>0</v>
      </c>
      <c r="G16" s="33">
        <f>+'A) Base RI'!U17</f>
        <v>76</v>
      </c>
      <c r="H16" s="272">
        <f t="shared" si="5"/>
        <v>1.1242379250605916</v>
      </c>
      <c r="I16" s="55">
        <f t="shared" si="6"/>
        <v>0</v>
      </c>
    </row>
    <row r="17" spans="1:9" x14ac:dyDescent="0.25">
      <c r="A17" s="49">
        <f>'A) Base RI'!A18</f>
        <v>5412</v>
      </c>
      <c r="B17" s="32" t="str">
        <f>'A) Base RI'!B18</f>
        <v>Rennaz</v>
      </c>
      <c r="C17" s="95">
        <f>'A) Base RI'!V18</f>
        <v>883</v>
      </c>
      <c r="D17" s="109">
        <f>'D) Ecrêtage'!E17</f>
        <v>32.702151098856007</v>
      </c>
      <c r="E17" s="34">
        <f t="shared" si="3"/>
        <v>15.685798000225439</v>
      </c>
      <c r="F17" s="271">
        <f t="shared" si="4"/>
        <v>258035.92598512856</v>
      </c>
      <c r="G17" s="33">
        <f>+'A) Base RI'!U18</f>
        <v>69</v>
      </c>
      <c r="H17" s="272">
        <f t="shared" si="5"/>
        <v>1.0206896951208002</v>
      </c>
      <c r="I17" s="55">
        <f t="shared" si="6"/>
        <v>263374.61062397424</v>
      </c>
    </row>
    <row r="18" spans="1:9" x14ac:dyDescent="0.25">
      <c r="A18" s="49">
        <f>'A) Base RI'!A19</f>
        <v>5413</v>
      </c>
      <c r="B18" s="32" t="str">
        <f>'A) Base RI'!B19</f>
        <v>Roche</v>
      </c>
      <c r="C18" s="95">
        <f>'A) Base RI'!V19</f>
        <v>1874</v>
      </c>
      <c r="D18" s="109">
        <f>'D) Ecrêtage'!E18</f>
        <v>23.024835245464242</v>
      </c>
      <c r="E18" s="34">
        <f t="shared" si="3"/>
        <v>25.363113853617204</v>
      </c>
      <c r="F18" s="271">
        <f t="shared" si="4"/>
        <v>872659.5276404199</v>
      </c>
      <c r="G18" s="33">
        <f>+'A) Base RI'!U19</f>
        <v>68</v>
      </c>
      <c r="H18" s="272">
        <f t="shared" si="5"/>
        <v>1.0058970908436873</v>
      </c>
      <c r="I18" s="55">
        <f t="shared" si="6"/>
        <v>877805.68015052471</v>
      </c>
    </row>
    <row r="19" spans="1:9" x14ac:dyDescent="0.25">
      <c r="A19" s="49">
        <f>'A) Base RI'!A20</f>
        <v>5414</v>
      </c>
      <c r="B19" s="32" t="str">
        <f>'A) Base RI'!B20</f>
        <v>Villeneuve</v>
      </c>
      <c r="C19" s="95">
        <f>'A) Base RI'!V20</f>
        <v>5921</v>
      </c>
      <c r="D19" s="109">
        <f>'D) Ecrêtage'!E19</f>
        <v>31.365007112161987</v>
      </c>
      <c r="E19" s="34">
        <f t="shared" si="3"/>
        <v>17.022941986919459</v>
      </c>
      <c r="F19" s="271">
        <f t="shared" si="4"/>
        <v>1836949.4999704261</v>
      </c>
      <c r="G19" s="33">
        <f>+'A) Base RI'!U20</f>
        <v>67.5</v>
      </c>
      <c r="H19" s="272">
        <f t="shared" si="5"/>
        <v>0.9985007887051307</v>
      </c>
      <c r="I19" s="55">
        <f t="shared" si="6"/>
        <v>1834195.5245319658</v>
      </c>
    </row>
    <row r="20" spans="1:9" x14ac:dyDescent="0.25">
      <c r="A20" s="49">
        <f>'A) Base RI'!A21</f>
        <v>5415</v>
      </c>
      <c r="B20" s="32" t="str">
        <f>'A) Base RI'!B21</f>
        <v>Yvorne</v>
      </c>
      <c r="C20" s="95">
        <f>'A) Base RI'!V21</f>
        <v>1038</v>
      </c>
      <c r="D20" s="109">
        <f>'D) Ecrêtage'!E20</f>
        <v>34.59564030702758</v>
      </c>
      <c r="E20" s="34">
        <f t="shared" si="3"/>
        <v>13.792308792053866</v>
      </c>
      <c r="F20" s="271">
        <f t="shared" si="4"/>
        <v>276378.42103736271</v>
      </c>
      <c r="G20" s="33">
        <f>+'A) Base RI'!U21</f>
        <v>71.5</v>
      </c>
      <c r="H20" s="272">
        <f t="shared" si="5"/>
        <v>1.0576712058135829</v>
      </c>
      <c r="I20" s="55">
        <f t="shared" si="6"/>
        <v>292317.49783944152</v>
      </c>
    </row>
    <row r="21" spans="1:9" x14ac:dyDescent="0.25">
      <c r="A21" s="49">
        <f>'A) Base RI'!A22</f>
        <v>5421</v>
      </c>
      <c r="B21" s="32" t="str">
        <f>'A) Base RI'!B22</f>
        <v>Apples</v>
      </c>
      <c r="C21" s="95">
        <f>'A) Base RI'!V22</f>
        <v>1469</v>
      </c>
      <c r="D21" s="109">
        <f>'D) Ecrêtage'!E21</f>
        <v>46.651904862657084</v>
      </c>
      <c r="E21" s="34">
        <f t="shared" si="3"/>
        <v>1.7360442364243625</v>
      </c>
      <c r="F21" s="271">
        <f t="shared" si="4"/>
        <v>50953.974686481626</v>
      </c>
      <c r="G21" s="33">
        <f>+'A) Base RI'!U22</f>
        <v>74</v>
      </c>
      <c r="H21" s="272">
        <f t="shared" si="5"/>
        <v>1.0946527165063655</v>
      </c>
      <c r="I21" s="55">
        <f t="shared" si="6"/>
        <v>55776.906807353698</v>
      </c>
    </row>
    <row r="22" spans="1:9" x14ac:dyDescent="0.25">
      <c r="A22" s="49">
        <f>'A) Base RI'!A23</f>
        <v>5422</v>
      </c>
      <c r="B22" s="32" t="str">
        <f>'A) Base RI'!B23</f>
        <v>Aubonne</v>
      </c>
      <c r="C22" s="95">
        <f>'A) Base RI'!V23</f>
        <v>3781</v>
      </c>
      <c r="D22" s="109">
        <f>'D) Ecrêtage'!E22</f>
        <v>96.457679185400679</v>
      </c>
      <c r="E22" s="34">
        <f t="shared" si="3"/>
        <v>0</v>
      </c>
      <c r="F22" s="271">
        <f t="shared" si="4"/>
        <v>0</v>
      </c>
      <c r="G22" s="33">
        <f>+'A) Base RI'!U23</f>
        <v>70</v>
      </c>
      <c r="H22" s="272">
        <f t="shared" si="5"/>
        <v>1.0354822993979134</v>
      </c>
      <c r="I22" s="55">
        <f t="shared" si="6"/>
        <v>0</v>
      </c>
    </row>
    <row r="23" spans="1:9" x14ac:dyDescent="0.25">
      <c r="A23" s="49">
        <f>'A) Base RI'!A24</f>
        <v>5423</v>
      </c>
      <c r="B23" s="32" t="str">
        <f>'A) Base RI'!B24</f>
        <v>Ballens</v>
      </c>
      <c r="C23" s="95">
        <f>'A) Base RI'!V24</f>
        <v>567</v>
      </c>
      <c r="D23" s="109">
        <f>'D) Ecrêtage'!E23</f>
        <v>28.561623058152737</v>
      </c>
      <c r="E23" s="34">
        <f t="shared" si="3"/>
        <v>19.826326040928709</v>
      </c>
      <c r="F23" s="271">
        <f t="shared" si="4"/>
        <v>221570.4945132217</v>
      </c>
      <c r="G23" s="33">
        <f>+'A) Base RI'!U24</f>
        <v>73</v>
      </c>
      <c r="H23" s="272">
        <f t="shared" si="5"/>
        <v>1.0798601122292524</v>
      </c>
      <c r="I23" s="55">
        <f t="shared" si="6"/>
        <v>239265.13907173852</v>
      </c>
    </row>
    <row r="24" spans="1:9" x14ac:dyDescent="0.25">
      <c r="A24" s="49">
        <f>'A) Base RI'!A25</f>
        <v>5424</v>
      </c>
      <c r="B24" s="32" t="str">
        <f>'A) Base RI'!B25</f>
        <v>Berolle</v>
      </c>
      <c r="C24" s="95">
        <f>'A) Base RI'!V25</f>
        <v>308</v>
      </c>
      <c r="D24" s="109">
        <f>'D) Ecrêtage'!E24</f>
        <v>26.954118431237635</v>
      </c>
      <c r="E24" s="34">
        <f t="shared" si="3"/>
        <v>21.433830667843811</v>
      </c>
      <c r="F24" s="271">
        <f t="shared" si="4"/>
        <v>134574.02055451082</v>
      </c>
      <c r="G24" s="33">
        <f>+'A) Base RI'!U25</f>
        <v>75.5</v>
      </c>
      <c r="H24" s="272">
        <f t="shared" si="5"/>
        <v>1.116841622922035</v>
      </c>
      <c r="I24" s="55">
        <f t="shared" si="6"/>
        <v>150297.86751924315</v>
      </c>
    </row>
    <row r="25" spans="1:9" x14ac:dyDescent="0.25">
      <c r="A25" s="49">
        <f>'A) Base RI'!A26</f>
        <v>5425</v>
      </c>
      <c r="B25" s="32" t="str">
        <f>'A) Base RI'!B26</f>
        <v>Bière</v>
      </c>
      <c r="C25" s="95">
        <f>'A) Base RI'!V26</f>
        <v>1634</v>
      </c>
      <c r="D25" s="109">
        <f>'D) Ecrêtage'!E25</f>
        <v>27.06884830534549</v>
      </c>
      <c r="E25" s="34">
        <f t="shared" si="3"/>
        <v>21.319100793735956</v>
      </c>
      <c r="F25" s="271">
        <f t="shared" si="4"/>
        <v>648983.70128444955</v>
      </c>
      <c r="G25" s="33">
        <f>+'A) Base RI'!U26</f>
        <v>69</v>
      </c>
      <c r="H25" s="272">
        <f t="shared" si="5"/>
        <v>1.0206896951208002</v>
      </c>
      <c r="I25" s="55">
        <f t="shared" si="6"/>
        <v>662410.9762023933</v>
      </c>
    </row>
    <row r="26" spans="1:9" x14ac:dyDescent="0.25">
      <c r="A26" s="49">
        <f>'A) Base RI'!A27</f>
        <v>5426</v>
      </c>
      <c r="B26" s="32" t="str">
        <f>'A) Base RI'!B27</f>
        <v>Bougy-Villars</v>
      </c>
      <c r="C26" s="95">
        <f>'A) Base RI'!V27</f>
        <v>497</v>
      </c>
      <c r="D26" s="109">
        <f>'D) Ecrêtage'!E26</f>
        <v>106.72780366956259</v>
      </c>
      <c r="E26" s="34">
        <f t="shared" si="3"/>
        <v>0</v>
      </c>
      <c r="F26" s="271">
        <f t="shared" si="4"/>
        <v>0</v>
      </c>
      <c r="G26" s="33">
        <f>+'A) Base RI'!U27</f>
        <v>64.5</v>
      </c>
      <c r="H26" s="272">
        <f t="shared" si="5"/>
        <v>0.95412297587379158</v>
      </c>
      <c r="I26" s="55">
        <f t="shared" si="6"/>
        <v>0</v>
      </c>
    </row>
    <row r="27" spans="1:9" x14ac:dyDescent="0.25">
      <c r="A27" s="49">
        <f>'A) Base RI'!A28</f>
        <v>5427</v>
      </c>
      <c r="B27" s="32" t="str">
        <f>'A) Base RI'!B28</f>
        <v>Féchy</v>
      </c>
      <c r="C27" s="95">
        <f>'A) Base RI'!V28</f>
        <v>893</v>
      </c>
      <c r="D27" s="109">
        <f>'D) Ecrêtage'!E27</f>
        <v>98.785356740998367</v>
      </c>
      <c r="E27" s="34">
        <f t="shared" si="3"/>
        <v>0</v>
      </c>
      <c r="F27" s="271">
        <f t="shared" si="4"/>
        <v>0</v>
      </c>
      <c r="G27" s="33">
        <f>+'A) Base RI'!U28</f>
        <v>64</v>
      </c>
      <c r="H27" s="272">
        <f t="shared" si="5"/>
        <v>0.946726673735235</v>
      </c>
      <c r="I27" s="55">
        <f t="shared" si="6"/>
        <v>0</v>
      </c>
    </row>
    <row r="28" spans="1:9" x14ac:dyDescent="0.25">
      <c r="A28" s="49">
        <f>'A) Base RI'!A29</f>
        <v>5428</v>
      </c>
      <c r="B28" s="32" t="str">
        <f>'A) Base RI'!B29</f>
        <v>Gimel</v>
      </c>
      <c r="C28" s="95">
        <f>'A) Base RI'!V29</f>
        <v>2402</v>
      </c>
      <c r="D28" s="109">
        <f>'D) Ecrêtage'!E28</f>
        <v>29.374978718331292</v>
      </c>
      <c r="E28" s="34">
        <f t="shared" si="3"/>
        <v>19.012970380750154</v>
      </c>
      <c r="F28" s="271">
        <f t="shared" si="4"/>
        <v>918635.04989951209</v>
      </c>
      <c r="G28" s="33">
        <f>+'A) Base RI'!U29</f>
        <v>74.5</v>
      </c>
      <c r="H28" s="272">
        <f t="shared" si="5"/>
        <v>1.1020490186449221</v>
      </c>
      <c r="I28" s="55">
        <f t="shared" si="6"/>
        <v>1012380.8552345864</v>
      </c>
    </row>
    <row r="29" spans="1:9" x14ac:dyDescent="0.25">
      <c r="A29" s="49">
        <f>'A) Base RI'!A30</f>
        <v>5429</v>
      </c>
      <c r="B29" s="32" t="str">
        <f>'A) Base RI'!B30</f>
        <v>Longirod</v>
      </c>
      <c r="C29" s="95">
        <f>'A) Base RI'!V30</f>
        <v>520</v>
      </c>
      <c r="D29" s="109">
        <f>'D) Ecrêtage'!E29</f>
        <v>35.720100744416868</v>
      </c>
      <c r="E29" s="34">
        <f t="shared" si="3"/>
        <v>12.667848354664578</v>
      </c>
      <c r="F29" s="271">
        <f t="shared" si="4"/>
        <v>137838.85794710528</v>
      </c>
      <c r="G29" s="33">
        <f>+'A) Base RI'!U30</f>
        <v>77.5</v>
      </c>
      <c r="H29" s="272">
        <f t="shared" si="5"/>
        <v>1.1464268314762611</v>
      </c>
      <c r="I29" s="55">
        <f t="shared" si="6"/>
        <v>158022.16517060637</v>
      </c>
    </row>
    <row r="30" spans="1:9" x14ac:dyDescent="0.25">
      <c r="A30" s="49">
        <f>'A) Base RI'!A31</f>
        <v>5430</v>
      </c>
      <c r="B30" s="32" t="str">
        <f>'A) Base RI'!B31</f>
        <v>Marchissy</v>
      </c>
      <c r="C30" s="95">
        <f>'A) Base RI'!V31</f>
        <v>485</v>
      </c>
      <c r="D30" s="109">
        <f>'D) Ecrêtage'!E30</f>
        <v>32.125735151313613</v>
      </c>
      <c r="E30" s="34">
        <f t="shared" si="3"/>
        <v>16.262213947767833</v>
      </c>
      <c r="F30" s="271">
        <f t="shared" si="4"/>
        <v>165039.11102566533</v>
      </c>
      <c r="G30" s="33">
        <f>+'A) Base RI'!U31</f>
        <v>77.5</v>
      </c>
      <c r="H30" s="272">
        <f t="shared" si="5"/>
        <v>1.1464268314762611</v>
      </c>
      <c r="I30" s="55">
        <f t="shared" si="6"/>
        <v>189205.26512281239</v>
      </c>
    </row>
    <row r="31" spans="1:9" x14ac:dyDescent="0.25">
      <c r="A31" s="49">
        <f>'A) Base RI'!A32</f>
        <v>5431</v>
      </c>
      <c r="B31" s="32" t="str">
        <f>'A) Base RI'!B32</f>
        <v>Mollens</v>
      </c>
      <c r="C31" s="95">
        <f>'A) Base RI'!V32</f>
        <v>319</v>
      </c>
      <c r="D31" s="109">
        <f>'D) Ecrêtage'!E31</f>
        <v>32.805556638142846</v>
      </c>
      <c r="E31" s="34">
        <f t="shared" si="3"/>
        <v>15.5823924609386</v>
      </c>
      <c r="F31" s="271">
        <f t="shared" si="4"/>
        <v>99316.248236887477</v>
      </c>
      <c r="G31" s="33">
        <f>+'A) Base RI'!U32</f>
        <v>74</v>
      </c>
      <c r="H31" s="272">
        <f t="shared" si="5"/>
        <v>1.0946527165063655</v>
      </c>
      <c r="I31" s="55">
        <f t="shared" si="6"/>
        <v>108716.80092572942</v>
      </c>
    </row>
    <row r="32" spans="1:9" x14ac:dyDescent="0.25">
      <c r="A32" s="49">
        <f>'A) Base RI'!A33</f>
        <v>5434</v>
      </c>
      <c r="B32" s="32" t="str">
        <f>'A) Base RI'!B33</f>
        <v>Saint-George</v>
      </c>
      <c r="C32" s="95">
        <f>'A) Base RI'!V33</f>
        <v>1072</v>
      </c>
      <c r="D32" s="109">
        <f>'D) Ecrêtage'!E32</f>
        <v>40.620101224990151</v>
      </c>
      <c r="E32" s="34">
        <f t="shared" si="3"/>
        <v>7.7678478740912951</v>
      </c>
      <c r="F32" s="271">
        <f t="shared" si="4"/>
        <v>156258.64926305044</v>
      </c>
      <c r="G32" s="33">
        <f>+'A) Base RI'!U33</f>
        <v>69.5</v>
      </c>
      <c r="H32" s="272">
        <f t="shared" si="5"/>
        <v>1.0280859972593568</v>
      </c>
      <c r="I32" s="55">
        <f t="shared" si="6"/>
        <v>160647.32925800327</v>
      </c>
    </row>
    <row r="33" spans="1:9" x14ac:dyDescent="0.25">
      <c r="A33" s="49">
        <f>'A) Base RI'!A34</f>
        <v>5435</v>
      </c>
      <c r="B33" s="32" t="str">
        <f>'A) Base RI'!B34</f>
        <v>Saint-Livres</v>
      </c>
      <c r="C33" s="95">
        <f>'A) Base RI'!V34</f>
        <v>674</v>
      </c>
      <c r="D33" s="109">
        <f>'D) Ecrêtage'!E33</f>
        <v>38.359510170730665</v>
      </c>
      <c r="E33" s="34">
        <f t="shared" si="3"/>
        <v>10.028438928350781</v>
      </c>
      <c r="F33" s="271">
        <f t="shared" si="4"/>
        <v>125923.29681650799</v>
      </c>
      <c r="G33" s="33">
        <f>+'A) Base RI'!U34</f>
        <v>69</v>
      </c>
      <c r="H33" s="272">
        <f t="shared" si="5"/>
        <v>1.0206896951208002</v>
      </c>
      <c r="I33" s="55">
        <f t="shared" si="6"/>
        <v>128528.61143624758</v>
      </c>
    </row>
    <row r="34" spans="1:9" x14ac:dyDescent="0.25">
      <c r="A34" s="49">
        <f>'A) Base RI'!A35</f>
        <v>5436</v>
      </c>
      <c r="B34" s="32" t="str">
        <f>'A) Base RI'!B35</f>
        <v>Saint-Oyens</v>
      </c>
      <c r="C34" s="95">
        <f>'A) Base RI'!V35</f>
        <v>458</v>
      </c>
      <c r="D34" s="109">
        <f>'D) Ecrêtage'!E34</f>
        <v>36.830435872553778</v>
      </c>
      <c r="E34" s="34">
        <f t="shared" si="3"/>
        <v>11.557513226527668</v>
      </c>
      <c r="F34" s="271">
        <f t="shared" si="4"/>
        <v>115765.36893298532</v>
      </c>
      <c r="G34" s="33">
        <f>+'A) Base RI'!U35</f>
        <v>81</v>
      </c>
      <c r="H34" s="272">
        <f t="shared" si="5"/>
        <v>1.1982009464461567</v>
      </c>
      <c r="I34" s="55">
        <f t="shared" si="6"/>
        <v>138710.17462119152</v>
      </c>
    </row>
    <row r="35" spans="1:9" x14ac:dyDescent="0.25">
      <c r="A35" s="49">
        <f>'A) Base RI'!A36</f>
        <v>5437</v>
      </c>
      <c r="B35" s="32" t="str">
        <f>'A) Base RI'!B36</f>
        <v>Saubraz</v>
      </c>
      <c r="C35" s="95">
        <f>'A) Base RI'!V36</f>
        <v>444</v>
      </c>
      <c r="D35" s="109">
        <f>'D) Ecrêtage'!E35</f>
        <v>30.521976069819814</v>
      </c>
      <c r="E35" s="34">
        <f t="shared" si="3"/>
        <v>17.865973029261632</v>
      </c>
      <c r="F35" s="271">
        <f t="shared" si="4"/>
        <v>171341.82773983077</v>
      </c>
      <c r="G35" s="33">
        <f>+'A) Base RI'!U36</f>
        <v>80</v>
      </c>
      <c r="H35" s="272">
        <f t="shared" si="5"/>
        <v>1.1834083421690438</v>
      </c>
      <c r="I35" s="55">
        <f t="shared" si="6"/>
        <v>202767.34830980701</v>
      </c>
    </row>
    <row r="36" spans="1:9" x14ac:dyDescent="0.25">
      <c r="A36" s="49">
        <f>'A) Base RI'!A37</f>
        <v>5451</v>
      </c>
      <c r="B36" s="32" t="str">
        <f>'A) Base RI'!B37</f>
        <v>Avenches</v>
      </c>
      <c r="C36" s="95">
        <f>'A) Base RI'!V37</f>
        <v>4616</v>
      </c>
      <c r="D36" s="109">
        <f>'D) Ecrêtage'!E36</f>
        <v>29.872368138717679</v>
      </c>
      <c r="E36" s="34">
        <f t="shared" si="3"/>
        <v>18.515580960363767</v>
      </c>
      <c r="F36" s="271">
        <f t="shared" si="4"/>
        <v>1534576.5343576181</v>
      </c>
      <c r="G36" s="33">
        <f>+'A) Base RI'!U37</f>
        <v>66.5</v>
      </c>
      <c r="H36" s="272">
        <f t="shared" si="5"/>
        <v>0.98370818442801766</v>
      </c>
      <c r="I36" s="55">
        <f t="shared" si="6"/>
        <v>1509575.496478772</v>
      </c>
    </row>
    <row r="37" spans="1:9" x14ac:dyDescent="0.25">
      <c r="A37" s="49">
        <f>'A) Base RI'!A38</f>
        <v>5456</v>
      </c>
      <c r="B37" s="32" t="str">
        <f>'A) Base RI'!B38</f>
        <v>Cudrefin</v>
      </c>
      <c r="C37" s="95">
        <f>'A) Base RI'!V38</f>
        <v>1836</v>
      </c>
      <c r="D37" s="109">
        <f>'D) Ecrêtage'!E37</f>
        <v>34.937337524463643</v>
      </c>
      <c r="E37" s="34">
        <f t="shared" si="3"/>
        <v>13.450611574617803</v>
      </c>
      <c r="F37" s="271">
        <f t="shared" si="4"/>
        <v>393396.49301640264</v>
      </c>
      <c r="G37" s="33">
        <f>+'A) Base RI'!U38</f>
        <v>59</v>
      </c>
      <c r="H37" s="272">
        <f t="shared" si="5"/>
        <v>0.87276365234966979</v>
      </c>
      <c r="I37" s="55">
        <f t="shared" si="6"/>
        <v>343342.16006654693</v>
      </c>
    </row>
    <row r="38" spans="1:9" x14ac:dyDescent="0.25">
      <c r="A38" s="49">
        <f>'A) Base RI'!A39</f>
        <v>5458</v>
      </c>
      <c r="B38" s="32" t="str">
        <f>'A) Base RI'!B39</f>
        <v>Faoug</v>
      </c>
      <c r="C38" s="95">
        <f>'A) Base RI'!V39</f>
        <v>866</v>
      </c>
      <c r="D38" s="109">
        <f>'D) Ecrêtage'!E38</f>
        <v>40.093940842067852</v>
      </c>
      <c r="E38" s="34">
        <f t="shared" si="3"/>
        <v>8.2940082570135942</v>
      </c>
      <c r="F38" s="271">
        <f t="shared" si="4"/>
        <v>126054.82569256972</v>
      </c>
      <c r="G38" s="33">
        <f>+'A) Base RI'!U39</f>
        <v>65</v>
      </c>
      <c r="H38" s="272">
        <f t="shared" si="5"/>
        <v>0.96151927801234804</v>
      </c>
      <c r="I38" s="55">
        <f t="shared" si="6"/>
        <v>121204.14498989203</v>
      </c>
    </row>
    <row r="39" spans="1:9" x14ac:dyDescent="0.25">
      <c r="A39" s="49">
        <f>'A) Base RI'!A40</f>
        <v>5464</v>
      </c>
      <c r="B39" s="32" t="str">
        <f>'A) Base RI'!B40</f>
        <v>Vully-les-Lacs</v>
      </c>
      <c r="C39" s="95">
        <f>'A) Base RI'!V40</f>
        <v>3465</v>
      </c>
      <c r="D39" s="109">
        <f>'D) Ecrêtage'!E39</f>
        <v>34.392296267579852</v>
      </c>
      <c r="E39" s="34">
        <f t="shared" si="3"/>
        <v>13.995652831501594</v>
      </c>
      <c r="F39" s="271">
        <f t="shared" si="4"/>
        <v>877273.41143625823</v>
      </c>
      <c r="G39" s="33">
        <f>+'A) Base RI'!U40</f>
        <v>67</v>
      </c>
      <c r="H39" s="272">
        <f t="shared" si="5"/>
        <v>0.99110448656657413</v>
      </c>
      <c r="I39" s="55">
        <f t="shared" si="6"/>
        <v>869469.61402003968</v>
      </c>
    </row>
    <row r="40" spans="1:9" x14ac:dyDescent="0.25">
      <c r="A40" s="49">
        <f>'A) Base RI'!A41</f>
        <v>5471</v>
      </c>
      <c r="B40" s="32" t="str">
        <f>'A) Base RI'!B41</f>
        <v>Bettens</v>
      </c>
      <c r="C40" s="95">
        <f>'A) Base RI'!V41</f>
        <v>626</v>
      </c>
      <c r="D40" s="109">
        <f>'D) Ecrêtage'!E40</f>
        <v>36.570325396825389</v>
      </c>
      <c r="E40" s="34">
        <f t="shared" si="3"/>
        <v>11.817623702256057</v>
      </c>
      <c r="F40" s="271">
        <f t="shared" si="4"/>
        <v>139819.03307087233</v>
      </c>
      <c r="G40" s="33">
        <f>+'A) Base RI'!U41</f>
        <v>70</v>
      </c>
      <c r="H40" s="272">
        <f t="shared" si="5"/>
        <v>1.0354822993979134</v>
      </c>
      <c r="I40" s="55">
        <f t="shared" si="6"/>
        <v>144780.13386381976</v>
      </c>
    </row>
    <row r="41" spans="1:9" x14ac:dyDescent="0.25">
      <c r="A41" s="49">
        <f>'A) Base RI'!A42</f>
        <v>5472</v>
      </c>
      <c r="B41" s="32" t="str">
        <f>'A) Base RI'!B42</f>
        <v>Bournens</v>
      </c>
      <c r="C41" s="95">
        <f>'A) Base RI'!V42</f>
        <v>507</v>
      </c>
      <c r="D41" s="109">
        <f>'D) Ecrêtage'!E41</f>
        <v>43.744461428884513</v>
      </c>
      <c r="E41" s="34">
        <f t="shared" si="3"/>
        <v>4.643487670196933</v>
      </c>
      <c r="F41" s="271">
        <f t="shared" si="4"/>
        <v>45766.585956474592</v>
      </c>
      <c r="G41" s="33">
        <f>+'A) Base RI'!U42</f>
        <v>72</v>
      </c>
      <c r="H41" s="272">
        <f t="shared" si="5"/>
        <v>1.0650675079521394</v>
      </c>
      <c r="I41" s="55">
        <f t="shared" si="6"/>
        <v>48744.503652139778</v>
      </c>
    </row>
    <row r="42" spans="1:9" x14ac:dyDescent="0.25">
      <c r="A42" s="49">
        <f>'A) Base RI'!A43</f>
        <v>5473</v>
      </c>
      <c r="B42" s="32" t="str">
        <f>'A) Base RI'!B43</f>
        <v>Boussens</v>
      </c>
      <c r="C42" s="95">
        <f>'A) Base RI'!V43</f>
        <v>1001</v>
      </c>
      <c r="D42" s="109">
        <f>'D) Ecrêtage'!E42</f>
        <v>37.021990897990904</v>
      </c>
      <c r="E42" s="34">
        <f t="shared" si="3"/>
        <v>11.365958201090542</v>
      </c>
      <c r="F42" s="271">
        <f t="shared" si="4"/>
        <v>207351.73280309004</v>
      </c>
      <c r="G42" s="33">
        <f>+'A) Base RI'!U43</f>
        <v>67.5</v>
      </c>
      <c r="H42" s="272">
        <f t="shared" si="5"/>
        <v>0.9985007887051307</v>
      </c>
      <c r="I42" s="55">
        <f t="shared" si="6"/>
        <v>207040.86874326091</v>
      </c>
    </row>
    <row r="43" spans="1:9" x14ac:dyDescent="0.25">
      <c r="A43" s="49">
        <f>'A) Base RI'!A44</f>
        <v>5474</v>
      </c>
      <c r="B43" s="32" t="str">
        <f>'A) Base RI'!B44</f>
        <v>La Chaux (Cossonay)</v>
      </c>
      <c r="C43" s="95">
        <f>'A) Base RI'!V44</f>
        <v>398</v>
      </c>
      <c r="D43" s="109">
        <f>'D) Ecrêtage'!E43</f>
        <v>32.424665652825531</v>
      </c>
      <c r="E43" s="34">
        <f t="shared" si="3"/>
        <v>15.963283446255915</v>
      </c>
      <c r="F43" s="271">
        <f t="shared" si="4"/>
        <v>130371.49737423421</v>
      </c>
      <c r="G43" s="33">
        <f>+'A) Base RI'!U44</f>
        <v>76</v>
      </c>
      <c r="H43" s="272">
        <f t="shared" si="5"/>
        <v>1.1242379250605916</v>
      </c>
      <c r="I43" s="55">
        <f t="shared" si="6"/>
        <v>146568.58169505143</v>
      </c>
    </row>
    <row r="44" spans="1:9" x14ac:dyDescent="0.25">
      <c r="A44" s="49">
        <f>'A) Base RI'!A45</f>
        <v>5475</v>
      </c>
      <c r="B44" s="32" t="str">
        <f>'A) Base RI'!B45</f>
        <v>Chavannes-le-Veyron</v>
      </c>
      <c r="C44" s="95">
        <f>'A) Base RI'!V45</f>
        <v>155</v>
      </c>
      <c r="D44" s="109">
        <f>'D) Ecrêtage'!E44</f>
        <v>27.59530494623656</v>
      </c>
      <c r="E44" s="34">
        <f t="shared" si="3"/>
        <v>20.792644152844886</v>
      </c>
      <c r="F44" s="271">
        <f t="shared" si="4"/>
        <v>65262.911834741892</v>
      </c>
      <c r="G44" s="33">
        <f>+'A) Base RI'!U45</f>
        <v>75</v>
      </c>
      <c r="H44" s="272">
        <f t="shared" si="5"/>
        <v>1.1094453207834785</v>
      </c>
      <c r="I44" s="55">
        <f t="shared" si="6"/>
        <v>72405.632155759085</v>
      </c>
    </row>
    <row r="45" spans="1:9" x14ac:dyDescent="0.25">
      <c r="A45" s="49">
        <f>'A) Base RI'!A46</f>
        <v>5476</v>
      </c>
      <c r="B45" s="32" t="str">
        <f>'A) Base RI'!B46</f>
        <v>Chevilly</v>
      </c>
      <c r="C45" s="95">
        <f>'A) Base RI'!V46</f>
        <v>322</v>
      </c>
      <c r="D45" s="109">
        <f>'D) Ecrêtage'!E45</f>
        <v>37.500955236667387</v>
      </c>
      <c r="E45" s="34">
        <f t="shared" si="3"/>
        <v>10.886993862414059</v>
      </c>
      <c r="F45" s="271">
        <f t="shared" si="4"/>
        <v>68622.355363875176</v>
      </c>
      <c r="G45" s="33">
        <f>+'A) Base RI'!U46</f>
        <v>72.5</v>
      </c>
      <c r="H45" s="272">
        <f t="shared" si="5"/>
        <v>1.072463810090696</v>
      </c>
      <c r="I45" s="55">
        <f t="shared" si="6"/>
        <v>73594.992690939282</v>
      </c>
    </row>
    <row r="46" spans="1:9" x14ac:dyDescent="0.25">
      <c r="A46" s="49">
        <f>'A) Base RI'!A47</f>
        <v>5477</v>
      </c>
      <c r="B46" s="32" t="str">
        <f>'A) Base RI'!B47</f>
        <v>Cossonay</v>
      </c>
      <c r="C46" s="95">
        <f>'A) Base RI'!V47</f>
        <v>4326</v>
      </c>
      <c r="D46" s="109">
        <f>'D) Ecrêtage'!E46</f>
        <v>32.963010540250188</v>
      </c>
      <c r="E46" s="34">
        <f t="shared" si="3"/>
        <v>15.424938558831258</v>
      </c>
      <c r="F46" s="271">
        <f t="shared" si="4"/>
        <v>1252156.2531162831</v>
      </c>
      <c r="G46" s="33">
        <f>+'A) Base RI'!U47</f>
        <v>69.5</v>
      </c>
      <c r="H46" s="272">
        <f t="shared" si="5"/>
        <v>1.0280859972593568</v>
      </c>
      <c r="I46" s="55">
        <f t="shared" si="6"/>
        <v>1287324.3102095935</v>
      </c>
    </row>
    <row r="47" spans="1:9" x14ac:dyDescent="0.25">
      <c r="A47" s="49">
        <f>'A) Base RI'!A48</f>
        <v>5478</v>
      </c>
      <c r="B47" s="32" t="str">
        <f>'A) Base RI'!B48</f>
        <v>Cottens</v>
      </c>
      <c r="C47" s="95">
        <f>'A) Base RI'!V48</f>
        <v>484</v>
      </c>
      <c r="D47" s="109">
        <f>'D) Ecrêtage'!E47</f>
        <v>32.523200804109898</v>
      </c>
      <c r="E47" s="34">
        <f t="shared" si="3"/>
        <v>15.864748294971548</v>
      </c>
      <c r="F47" s="271">
        <f t="shared" si="4"/>
        <v>153417.19273182927</v>
      </c>
      <c r="G47" s="33">
        <f>+'A) Base RI'!U48</f>
        <v>74</v>
      </c>
      <c r="H47" s="272">
        <f t="shared" si="5"/>
        <v>1.0946527165063655</v>
      </c>
      <c r="I47" s="55">
        <f t="shared" si="6"/>
        <v>167938.54678267756</v>
      </c>
    </row>
    <row r="48" spans="1:9" x14ac:dyDescent="0.25">
      <c r="A48" s="49">
        <f>'A) Base RI'!A49</f>
        <v>5479</v>
      </c>
      <c r="B48" s="32" t="str">
        <f>'A) Base RI'!B49</f>
        <v>Cuarnens</v>
      </c>
      <c r="C48" s="95">
        <f>'A) Base RI'!V49</f>
        <v>531</v>
      </c>
      <c r="D48" s="109">
        <f>'D) Ecrêtage'!E48</f>
        <v>33.869823904908642</v>
      </c>
      <c r="E48" s="34">
        <f t="shared" si="3"/>
        <v>14.518125194172804</v>
      </c>
      <c r="F48" s="271">
        <f t="shared" si="4"/>
        <v>160272.69789981871</v>
      </c>
      <c r="G48" s="33">
        <f>+'A) Base RI'!U49</f>
        <v>77</v>
      </c>
      <c r="H48" s="272">
        <f t="shared" si="5"/>
        <v>1.1390305293377045</v>
      </c>
      <c r="I48" s="55">
        <f t="shared" si="6"/>
        <v>182555.49592721253</v>
      </c>
    </row>
    <row r="49" spans="1:9" x14ac:dyDescent="0.25">
      <c r="A49" s="49">
        <f>'A) Base RI'!A50</f>
        <v>5480</v>
      </c>
      <c r="B49" s="32" t="str">
        <f>'A) Base RI'!B50</f>
        <v>Daillens</v>
      </c>
      <c r="C49" s="95">
        <f>'A) Base RI'!V50</f>
        <v>1051</v>
      </c>
      <c r="D49" s="109">
        <f>'D) Ecrêtage'!E49</f>
        <v>39.281313948235926</v>
      </c>
      <c r="E49" s="34">
        <f t="shared" si="3"/>
        <v>9.1066351508455199</v>
      </c>
      <c r="F49" s="271">
        <f t="shared" si="4"/>
        <v>170556.53054585861</v>
      </c>
      <c r="G49" s="33">
        <f>+'A) Base RI'!U50</f>
        <v>66</v>
      </c>
      <c r="H49" s="272">
        <f t="shared" si="5"/>
        <v>0.97631188228946109</v>
      </c>
      <c r="I49" s="55">
        <f t="shared" si="6"/>
        <v>166516.36737398719</v>
      </c>
    </row>
    <row r="50" spans="1:9" x14ac:dyDescent="0.25">
      <c r="A50" s="49">
        <f>'A) Base RI'!A51</f>
        <v>5481</v>
      </c>
      <c r="B50" s="32" t="str">
        <f>'A) Base RI'!B51</f>
        <v>Dizy</v>
      </c>
      <c r="C50" s="95">
        <f>'A) Base RI'!V51</f>
        <v>225</v>
      </c>
      <c r="D50" s="109">
        <f>'D) Ecrêtage'!E50</f>
        <v>36.092832592592593</v>
      </c>
      <c r="E50" s="34">
        <f t="shared" si="3"/>
        <v>12.295116506488853</v>
      </c>
      <c r="F50" s="271">
        <f t="shared" si="4"/>
        <v>56019.624582689838</v>
      </c>
      <c r="G50" s="33">
        <f>+'A) Base RI'!U51</f>
        <v>75</v>
      </c>
      <c r="H50" s="272">
        <f t="shared" si="5"/>
        <v>1.1094453207834785</v>
      </c>
      <c r="I50" s="55">
        <f t="shared" si="6"/>
        <v>62150.710365312363</v>
      </c>
    </row>
    <row r="51" spans="1:9" x14ac:dyDescent="0.25">
      <c r="A51" s="49">
        <f>'A) Base RI'!A52</f>
        <v>5482</v>
      </c>
      <c r="B51" s="32" t="str">
        <f>'A) Base RI'!B52</f>
        <v>Eclépens</v>
      </c>
      <c r="C51" s="95">
        <f>'A) Base RI'!V52</f>
        <v>1198</v>
      </c>
      <c r="D51" s="109">
        <f>'D) Ecrêtage'!E51</f>
        <v>45.239011758728317</v>
      </c>
      <c r="E51" s="34">
        <f t="shared" si="3"/>
        <v>3.1489373403531289</v>
      </c>
      <c r="F51" s="271">
        <f t="shared" si="4"/>
        <v>46853.542517088659</v>
      </c>
      <c r="G51" s="33">
        <f>+'A) Base RI'!U52</f>
        <v>46</v>
      </c>
      <c r="H51" s="272">
        <f t="shared" si="5"/>
        <v>0.68045979674720014</v>
      </c>
      <c r="I51" s="55">
        <f t="shared" si="6"/>
        <v>31881.95201806445</v>
      </c>
    </row>
    <row r="52" spans="1:9" x14ac:dyDescent="0.25">
      <c r="A52" s="49">
        <f>'A) Base RI'!A53</f>
        <v>5483</v>
      </c>
      <c r="B52" s="32" t="str">
        <f>'A) Base RI'!B53</f>
        <v>Ferreyres</v>
      </c>
      <c r="C52" s="95">
        <f>'A) Base RI'!V53</f>
        <v>319</v>
      </c>
      <c r="D52" s="109">
        <f>'D) Ecrêtage'!E52</f>
        <v>33.031731974921634</v>
      </c>
      <c r="E52" s="34">
        <f t="shared" si="3"/>
        <v>15.356217124159812</v>
      </c>
      <c r="F52" s="271">
        <f t="shared" si="4"/>
        <v>100519.95454869523</v>
      </c>
      <c r="G52" s="33">
        <f>+'A) Base RI'!U53</f>
        <v>76</v>
      </c>
      <c r="H52" s="272">
        <f t="shared" si="5"/>
        <v>1.1242379250605916</v>
      </c>
      <c r="I52" s="55">
        <f t="shared" si="6"/>
        <v>113008.34512901009</v>
      </c>
    </row>
    <row r="53" spans="1:9" x14ac:dyDescent="0.25">
      <c r="A53" s="49">
        <f>'A) Base RI'!A54</f>
        <v>5484</v>
      </c>
      <c r="B53" s="32" t="str">
        <f>'A) Base RI'!B54</f>
        <v>Gollion</v>
      </c>
      <c r="C53" s="95">
        <f>'A) Base RI'!V54</f>
        <v>1018</v>
      </c>
      <c r="D53" s="109">
        <f>'D) Ecrêtage'!E53</f>
        <v>35.314996150374355</v>
      </c>
      <c r="E53" s="34">
        <f t="shared" si="3"/>
        <v>13.072952948707091</v>
      </c>
      <c r="F53" s="271">
        <f t="shared" si="4"/>
        <v>265899.15671364072</v>
      </c>
      <c r="G53" s="33">
        <f>+'A) Base RI'!U54</f>
        <v>74</v>
      </c>
      <c r="H53" s="272">
        <f t="shared" si="5"/>
        <v>1.0946527165063655</v>
      </c>
      <c r="I53" s="55">
        <f t="shared" si="6"/>
        <v>291067.23421333864</v>
      </c>
    </row>
    <row r="54" spans="1:9" x14ac:dyDescent="0.25">
      <c r="A54" s="49">
        <f>'A) Base RI'!A55</f>
        <v>5485</v>
      </c>
      <c r="B54" s="32" t="str">
        <f>'A) Base RI'!B55</f>
        <v>Grancy</v>
      </c>
      <c r="C54" s="95">
        <f>'A) Base RI'!V55</f>
        <v>445</v>
      </c>
      <c r="D54" s="109">
        <f>'D) Ecrêtage'!E54</f>
        <v>55.030695666131621</v>
      </c>
      <c r="E54" s="34">
        <f t="shared" si="3"/>
        <v>0</v>
      </c>
      <c r="F54" s="271">
        <f t="shared" si="4"/>
        <v>0</v>
      </c>
      <c r="G54" s="33">
        <f>+'A) Base RI'!U55</f>
        <v>70</v>
      </c>
      <c r="H54" s="272">
        <f t="shared" si="5"/>
        <v>1.0354822993979134</v>
      </c>
      <c r="I54" s="55">
        <f t="shared" si="6"/>
        <v>0</v>
      </c>
    </row>
    <row r="55" spans="1:9" x14ac:dyDescent="0.25">
      <c r="A55" s="49">
        <f>'A) Base RI'!A56</f>
        <v>5486</v>
      </c>
      <c r="B55" s="32" t="str">
        <f>'A) Base RI'!B56</f>
        <v>L'Isle</v>
      </c>
      <c r="C55" s="95">
        <f>'A) Base RI'!V56</f>
        <v>1079</v>
      </c>
      <c r="D55" s="109">
        <f>'D) Ecrêtage'!E55</f>
        <v>27.090257522397287</v>
      </c>
      <c r="E55" s="34">
        <f t="shared" si="3"/>
        <v>21.297691576684159</v>
      </c>
      <c r="F55" s="271">
        <f t="shared" si="4"/>
        <v>465349.23652765475</v>
      </c>
      <c r="G55" s="33">
        <f>+'A) Base RI'!U56</f>
        <v>75</v>
      </c>
      <c r="H55" s="272">
        <f t="shared" si="5"/>
        <v>1.1094453207834785</v>
      </c>
      <c r="I55" s="55">
        <f t="shared" si="6"/>
        <v>516279.53299577074</v>
      </c>
    </row>
    <row r="56" spans="1:9" x14ac:dyDescent="0.25">
      <c r="A56" s="49">
        <f>'A) Base RI'!A57</f>
        <v>5487</v>
      </c>
      <c r="B56" s="32" t="str">
        <f>'A) Base RI'!B57</f>
        <v>Lussery-Villars</v>
      </c>
      <c r="C56" s="95">
        <f>'A) Base RI'!V57</f>
        <v>475</v>
      </c>
      <c r="D56" s="109">
        <f>'D) Ecrêtage'!E56</f>
        <v>34.994614456140354</v>
      </c>
      <c r="E56" s="34">
        <f t="shared" si="3"/>
        <v>13.393334642941092</v>
      </c>
      <c r="F56" s="271">
        <f t="shared" si="4"/>
        <v>128827.13759678963</v>
      </c>
      <c r="G56" s="33">
        <f>+'A) Base RI'!U57</f>
        <v>75</v>
      </c>
      <c r="H56" s="272">
        <f t="shared" si="5"/>
        <v>1.1094453207834785</v>
      </c>
      <c r="I56" s="55">
        <f t="shared" si="6"/>
        <v>142926.66499668758</v>
      </c>
    </row>
    <row r="57" spans="1:9" x14ac:dyDescent="0.25">
      <c r="A57" s="49">
        <f>'A) Base RI'!A58</f>
        <v>5488</v>
      </c>
      <c r="B57" s="32" t="str">
        <f>'A) Base RI'!B58</f>
        <v>Mauraz</v>
      </c>
      <c r="C57" s="95">
        <f>'A) Base RI'!V58</f>
        <v>60</v>
      </c>
      <c r="D57" s="109">
        <f>'D) Ecrêtage'!E57</f>
        <v>28.819761904761901</v>
      </c>
      <c r="E57" s="34">
        <f t="shared" si="3"/>
        <v>19.568187194319545</v>
      </c>
      <c r="F57" s="271">
        <f t="shared" si="4"/>
        <v>24409.356706194201</v>
      </c>
      <c r="G57" s="33">
        <f>+'A) Base RI'!U58</f>
        <v>77</v>
      </c>
      <c r="H57" s="272">
        <f t="shared" si="5"/>
        <v>1.1390305293377045</v>
      </c>
      <c r="I57" s="55">
        <f t="shared" si="6"/>
        <v>27803.00248984923</v>
      </c>
    </row>
    <row r="58" spans="1:9" x14ac:dyDescent="0.25">
      <c r="A58" s="49">
        <f>'A) Base RI'!A59</f>
        <v>5489</v>
      </c>
      <c r="B58" s="32" t="str">
        <f>'A) Base RI'!B59</f>
        <v>Mex</v>
      </c>
      <c r="C58" s="95">
        <f>'A) Base RI'!V59</f>
        <v>795</v>
      </c>
      <c r="D58" s="109">
        <f>'D) Ecrêtage'!E58</f>
        <v>63.999911843982865</v>
      </c>
      <c r="E58" s="34">
        <f t="shared" si="3"/>
        <v>0</v>
      </c>
      <c r="F58" s="271">
        <f t="shared" si="4"/>
        <v>0</v>
      </c>
      <c r="G58" s="33">
        <f>+'A) Base RI'!U59</f>
        <v>59.5</v>
      </c>
      <c r="H58" s="272">
        <f t="shared" si="5"/>
        <v>0.88015995448822626</v>
      </c>
      <c r="I58" s="55">
        <f t="shared" si="6"/>
        <v>0</v>
      </c>
    </row>
    <row r="59" spans="1:9" x14ac:dyDescent="0.25">
      <c r="A59" s="49">
        <f>'A) Base RI'!A60</f>
        <v>5490</v>
      </c>
      <c r="B59" s="32" t="str">
        <f>'A) Base RI'!B60</f>
        <v>Moiry</v>
      </c>
      <c r="C59" s="95">
        <f>'A) Base RI'!V60</f>
        <v>301</v>
      </c>
      <c r="D59" s="109">
        <f>'D) Ecrêtage'!E59</f>
        <v>30.089368770764118</v>
      </c>
      <c r="E59" s="34">
        <f t="shared" si="3"/>
        <v>18.298580328317328</v>
      </c>
      <c r="F59" s="271">
        <f t="shared" si="4"/>
        <v>115252.23580438209</v>
      </c>
      <c r="G59" s="33">
        <f>+'A) Base RI'!U60</f>
        <v>77.5</v>
      </c>
      <c r="H59" s="272">
        <f t="shared" si="5"/>
        <v>1.1464268314762611</v>
      </c>
      <c r="I59" s="55">
        <f t="shared" si="6"/>
        <v>132128.25551377266</v>
      </c>
    </row>
    <row r="60" spans="1:9" x14ac:dyDescent="0.25">
      <c r="A60" s="49">
        <f>'A) Base RI'!A61</f>
        <v>5491</v>
      </c>
      <c r="B60" s="32" t="str">
        <f>'A) Base RI'!B61</f>
        <v>Mont-la-Ville</v>
      </c>
      <c r="C60" s="95">
        <f>'A) Base RI'!V61</f>
        <v>508</v>
      </c>
      <c r="D60" s="109">
        <f>'D) Ecrêtage'!E60</f>
        <v>26.86797399502694</v>
      </c>
      <c r="E60" s="34">
        <f t="shared" si="3"/>
        <v>21.519975104054506</v>
      </c>
      <c r="F60" s="271">
        <f t="shared" si="4"/>
        <v>224327.66368068082</v>
      </c>
      <c r="G60" s="33">
        <f>+'A) Base RI'!U61</f>
        <v>76</v>
      </c>
      <c r="H60" s="272">
        <f t="shared" si="5"/>
        <v>1.1242379250605916</v>
      </c>
      <c r="I60" s="55">
        <f t="shared" si="6"/>
        <v>252197.66715005884</v>
      </c>
    </row>
    <row r="61" spans="1:9" x14ac:dyDescent="0.25">
      <c r="A61" s="49">
        <f>'A) Base RI'!A62</f>
        <v>5492</v>
      </c>
      <c r="B61" s="32" t="str">
        <f>'A) Base RI'!B62</f>
        <v>Montricher</v>
      </c>
      <c r="C61" s="95">
        <f>'A) Base RI'!V62</f>
        <v>981</v>
      </c>
      <c r="D61" s="109">
        <f>'D) Ecrêtage'!E61</f>
        <v>178.66305332568808</v>
      </c>
      <c r="E61" s="34">
        <f t="shared" si="3"/>
        <v>0</v>
      </c>
      <c r="F61" s="271">
        <f t="shared" si="4"/>
        <v>0</v>
      </c>
      <c r="G61" s="33">
        <f>+'A) Base RI'!U62</f>
        <v>64</v>
      </c>
      <c r="H61" s="272">
        <f t="shared" si="5"/>
        <v>0.946726673735235</v>
      </c>
      <c r="I61" s="55">
        <f t="shared" si="6"/>
        <v>0</v>
      </c>
    </row>
    <row r="62" spans="1:9" x14ac:dyDescent="0.25">
      <c r="A62" s="49">
        <f>'A) Base RI'!A63</f>
        <v>5493</v>
      </c>
      <c r="B62" s="32" t="str">
        <f>'A) Base RI'!B63</f>
        <v>Orny</v>
      </c>
      <c r="C62" s="95">
        <f>'A) Base RI'!V63</f>
        <v>480</v>
      </c>
      <c r="D62" s="109">
        <f>'D) Ecrêtage'!E62</f>
        <v>28.104055101861611</v>
      </c>
      <c r="E62" s="34">
        <f t="shared" si="3"/>
        <v>20.283893997219835</v>
      </c>
      <c r="F62" s="271">
        <f t="shared" si="4"/>
        <v>191901.86432889744</v>
      </c>
      <c r="G62" s="33">
        <f>+'A) Base RI'!U63</f>
        <v>73</v>
      </c>
      <c r="H62" s="272">
        <f t="shared" si="5"/>
        <v>1.0798601122292524</v>
      </c>
      <c r="I62" s="55">
        <f t="shared" si="6"/>
        <v>207227.16875120596</v>
      </c>
    </row>
    <row r="63" spans="1:9" x14ac:dyDescent="0.25">
      <c r="A63" s="49">
        <f>'A) Base RI'!A64</f>
        <v>5494</v>
      </c>
      <c r="B63" s="32" t="str">
        <f>'A) Base RI'!B64</f>
        <v>Pampigny</v>
      </c>
      <c r="C63" s="95">
        <f>'A) Base RI'!V64</f>
        <v>1185</v>
      </c>
      <c r="D63" s="109">
        <f>'D) Ecrêtage'!E63</f>
        <v>36.46460671967764</v>
      </c>
      <c r="E63" s="34">
        <f t="shared" si="3"/>
        <v>11.923342379403806</v>
      </c>
      <c r="F63" s="271">
        <f t="shared" si="4"/>
        <v>278485.75778318808</v>
      </c>
      <c r="G63" s="33">
        <f>+'A) Base RI'!U64</f>
        <v>73</v>
      </c>
      <c r="H63" s="272">
        <f t="shared" si="5"/>
        <v>1.0798601122292524</v>
      </c>
      <c r="I63" s="55">
        <f t="shared" si="6"/>
        <v>300725.66165400186</v>
      </c>
    </row>
    <row r="64" spans="1:9" x14ac:dyDescent="0.25">
      <c r="A64" s="49">
        <f>'A) Base RI'!A65</f>
        <v>5495</v>
      </c>
      <c r="B64" s="32" t="str">
        <f>'A) Base RI'!B65</f>
        <v>Penthalaz</v>
      </c>
      <c r="C64" s="95">
        <f>'A) Base RI'!V65</f>
        <v>3210</v>
      </c>
      <c r="D64" s="109">
        <f>'D) Ecrêtage'!E64</f>
        <v>29.69299692683337</v>
      </c>
      <c r="E64" s="34">
        <f t="shared" si="3"/>
        <v>18.694952172248076</v>
      </c>
      <c r="F64" s="271">
        <f t="shared" si="4"/>
        <v>1199015.713528868</v>
      </c>
      <c r="G64" s="33">
        <f>+'A) Base RI'!U65</f>
        <v>74</v>
      </c>
      <c r="H64" s="272">
        <f t="shared" si="5"/>
        <v>1.0946527165063655</v>
      </c>
      <c r="I64" s="55">
        <f t="shared" si="6"/>
        <v>1312505.8079481935</v>
      </c>
    </row>
    <row r="65" spans="1:9" x14ac:dyDescent="0.25">
      <c r="A65" s="49">
        <f>'A) Base RI'!A66</f>
        <v>5496</v>
      </c>
      <c r="B65" s="32" t="str">
        <f>'A) Base RI'!B66</f>
        <v>Penthaz</v>
      </c>
      <c r="C65" s="95">
        <f>'A) Base RI'!V66</f>
        <v>1890</v>
      </c>
      <c r="D65" s="109">
        <f>'D) Ecrêtage'!E65</f>
        <v>29.771381827871039</v>
      </c>
      <c r="E65" s="34">
        <f t="shared" si="3"/>
        <v>18.616567271210407</v>
      </c>
      <c r="F65" s="271">
        <f t="shared" si="4"/>
        <v>660252.38235565764</v>
      </c>
      <c r="G65" s="33">
        <f>+'A) Base RI'!U66</f>
        <v>69.5</v>
      </c>
      <c r="H65" s="272">
        <f t="shared" si="5"/>
        <v>1.0280859972593568</v>
      </c>
      <c r="I65" s="55">
        <f t="shared" si="6"/>
        <v>678796.22895698238</v>
      </c>
    </row>
    <row r="66" spans="1:9" x14ac:dyDescent="0.25">
      <c r="A66" s="49">
        <f>'A) Base RI'!A67</f>
        <v>5497</v>
      </c>
      <c r="B66" s="32" t="str">
        <f>'A) Base RI'!B67</f>
        <v>Pompaples</v>
      </c>
      <c r="C66" s="95">
        <f>'A) Base RI'!V67</f>
        <v>849</v>
      </c>
      <c r="D66" s="109">
        <f>'D) Ecrêtage'!E66</f>
        <v>26.211424492272553</v>
      </c>
      <c r="E66" s="34">
        <f t="shared" si="3"/>
        <v>22.176524606808893</v>
      </c>
      <c r="F66" s="271">
        <f t="shared" si="4"/>
        <v>335512.63255084102</v>
      </c>
      <c r="G66" s="33">
        <f>+'A) Base RI'!U67</f>
        <v>66</v>
      </c>
      <c r="H66" s="272">
        <f t="shared" si="5"/>
        <v>0.97631188228946109</v>
      </c>
      <c r="I66" s="55">
        <f t="shared" si="6"/>
        <v>327564.96981760394</v>
      </c>
    </row>
    <row r="67" spans="1:9" x14ac:dyDescent="0.25">
      <c r="A67" s="49">
        <f>'A) Base RI'!A68</f>
        <v>5498</v>
      </c>
      <c r="B67" s="32" t="str">
        <f>'A) Base RI'!B68</f>
        <v>La Sarraz</v>
      </c>
      <c r="C67" s="95">
        <f>'A) Base RI'!V68</f>
        <v>2620</v>
      </c>
      <c r="D67" s="109">
        <f>'D) Ecrêtage'!E67</f>
        <v>28.504637057598895</v>
      </c>
      <c r="E67" s="34">
        <f t="shared" si="3"/>
        <v>19.883312041482551</v>
      </c>
      <c r="F67" s="271">
        <f t="shared" si="4"/>
        <v>928320.02591755392</v>
      </c>
      <c r="G67" s="33">
        <f>+'A) Base RI'!U68</f>
        <v>66</v>
      </c>
      <c r="H67" s="272">
        <f t="shared" si="5"/>
        <v>0.97631188228946109</v>
      </c>
      <c r="I67" s="55">
        <f t="shared" si="6"/>
        <v>906329.87187056837</v>
      </c>
    </row>
    <row r="68" spans="1:9" x14ac:dyDescent="0.25">
      <c r="A68" s="49">
        <f>'A) Base RI'!A69</f>
        <v>5499</v>
      </c>
      <c r="B68" s="32" t="str">
        <f>'A) Base RI'!B69</f>
        <v>Senarclens</v>
      </c>
      <c r="C68" s="95">
        <f>'A) Base RI'!V69</f>
        <v>491</v>
      </c>
      <c r="D68" s="109">
        <f>'D) Ecrêtage'!E68</f>
        <v>37.146444467569538</v>
      </c>
      <c r="E68" s="34">
        <f t="shared" si="3"/>
        <v>11.241504631511908</v>
      </c>
      <c r="F68" s="271">
        <f t="shared" si="4"/>
        <v>102084.60942646807</v>
      </c>
      <c r="G68" s="33">
        <f>+'A) Base RI'!U69</f>
        <v>68.5</v>
      </c>
      <c r="H68" s="272">
        <f t="shared" si="5"/>
        <v>1.0132933929822436</v>
      </c>
      <c r="I68" s="55">
        <f t="shared" si="6"/>
        <v>103441.66025701296</v>
      </c>
    </row>
    <row r="69" spans="1:9" x14ac:dyDescent="0.25">
      <c r="A69" s="49">
        <f>'A) Base RI'!A70</f>
        <v>5500</v>
      </c>
      <c r="B69" s="32" t="str">
        <f>'A) Base RI'!B70</f>
        <v>Sévery</v>
      </c>
      <c r="C69" s="95">
        <f>'A) Base RI'!V70</f>
        <v>220</v>
      </c>
      <c r="D69" s="109">
        <f>'D) Ecrêtage'!E69</f>
        <v>32.86528746367788</v>
      </c>
      <c r="E69" s="34">
        <f t="shared" si="3"/>
        <v>15.522661635403566</v>
      </c>
      <c r="F69" s="271">
        <f t="shared" si="4"/>
        <v>67309.365383436947</v>
      </c>
      <c r="G69" s="33">
        <f>+'A) Base RI'!U70</f>
        <v>73</v>
      </c>
      <c r="H69" s="272">
        <f t="shared" si="5"/>
        <v>1.0798601122292524</v>
      </c>
      <c r="I69" s="55">
        <f t="shared" si="6"/>
        <v>72684.698857037976</v>
      </c>
    </row>
    <row r="70" spans="1:9" x14ac:dyDescent="0.25">
      <c r="A70" s="49">
        <f>'A) Base RI'!A71</f>
        <v>5501</v>
      </c>
      <c r="B70" s="32" t="str">
        <f>'A) Base RI'!B71</f>
        <v>Sullens</v>
      </c>
      <c r="C70" s="95">
        <f>'A) Base RI'!V71</f>
        <v>1143</v>
      </c>
      <c r="D70" s="109">
        <f>'D) Ecrêtage'!E70</f>
        <v>37.791425177692204</v>
      </c>
      <c r="E70" s="34">
        <f t="shared" si="3"/>
        <v>10.596523921389242</v>
      </c>
      <c r="F70" s="271">
        <f t="shared" si="4"/>
        <v>224008.23744552548</v>
      </c>
      <c r="G70" s="33">
        <f>+'A) Base RI'!U71</f>
        <v>68.5</v>
      </c>
      <c r="H70" s="272">
        <f t="shared" si="5"/>
        <v>1.0132933929822436</v>
      </c>
      <c r="I70" s="55">
        <f t="shared" si="6"/>
        <v>226986.06697714858</v>
      </c>
    </row>
    <row r="71" spans="1:9" x14ac:dyDescent="0.25">
      <c r="A71" s="49">
        <f>'A) Base RI'!A72</f>
        <v>5503</v>
      </c>
      <c r="B71" s="32" t="str">
        <f>'A) Base RI'!B72</f>
        <v>Vufflens-la-Ville</v>
      </c>
      <c r="C71" s="95">
        <f>'A) Base RI'!V72</f>
        <v>1346</v>
      </c>
      <c r="D71" s="109">
        <f>'D) Ecrêtage'!E71</f>
        <v>58.714498421710161</v>
      </c>
      <c r="E71" s="34">
        <f t="shared" ref="E71:E134" si="7">IF($D$314-D71&lt;0,0,$D$314-D71)</f>
        <v>0</v>
      </c>
      <c r="F71" s="271">
        <f t="shared" ref="F71:F134" si="8">(C71*E71*G71)*$E$5</f>
        <v>0</v>
      </c>
      <c r="G71" s="33">
        <f>+'A) Base RI'!U72</f>
        <v>67</v>
      </c>
      <c r="H71" s="272">
        <f t="shared" ref="H71:H134" si="9">G71/$G$314</f>
        <v>0.99110448656657413</v>
      </c>
      <c r="I71" s="55">
        <f t="shared" ref="I71:I134" si="10">F71*H71</f>
        <v>0</v>
      </c>
    </row>
    <row r="72" spans="1:9" x14ac:dyDescent="0.25">
      <c r="A72" s="49">
        <f>'A) Base RI'!A73</f>
        <v>5511</v>
      </c>
      <c r="B72" s="32" t="str">
        <f>'A) Base RI'!B73</f>
        <v>Assens</v>
      </c>
      <c r="C72" s="95">
        <f>'A) Base RI'!V73</f>
        <v>1151</v>
      </c>
      <c r="D72" s="109">
        <f>'D) Ecrêtage'!E72</f>
        <v>41.123766414298125</v>
      </c>
      <c r="E72" s="34">
        <f t="shared" si="7"/>
        <v>7.2641826847833215</v>
      </c>
      <c r="F72" s="271">
        <f t="shared" si="8"/>
        <v>158024.30370650793</v>
      </c>
      <c r="G72" s="33">
        <f>+'A) Base RI'!U73</f>
        <v>70</v>
      </c>
      <c r="H72" s="272">
        <f t="shared" si="9"/>
        <v>1.0354822993979134</v>
      </c>
      <c r="I72" s="55">
        <f t="shared" si="10"/>
        <v>163631.36936276904</v>
      </c>
    </row>
    <row r="73" spans="1:9" x14ac:dyDescent="0.25">
      <c r="A73" s="49">
        <f>'A) Base RI'!A74</f>
        <v>5512</v>
      </c>
      <c r="B73" s="32" t="str">
        <f>'A) Base RI'!B74</f>
        <v>Bercher</v>
      </c>
      <c r="C73" s="95">
        <f>'A) Base RI'!V74</f>
        <v>1320</v>
      </c>
      <c r="D73" s="109">
        <f>'D) Ecrêtage'!E73</f>
        <v>30.881913214422706</v>
      </c>
      <c r="E73" s="34">
        <f t="shared" si="7"/>
        <v>17.50603588465874</v>
      </c>
      <c r="F73" s="271">
        <f t="shared" si="8"/>
        <v>492892.94395409769</v>
      </c>
      <c r="G73" s="33">
        <f>+'A) Base RI'!U74</f>
        <v>79</v>
      </c>
      <c r="H73" s="272">
        <f t="shared" si="9"/>
        <v>1.1686157378919306</v>
      </c>
      <c r="I73" s="55">
        <f t="shared" si="10"/>
        <v>576002.45140064391</v>
      </c>
    </row>
    <row r="74" spans="1:9" x14ac:dyDescent="0.25">
      <c r="A74" s="49">
        <f>'A) Base RI'!A75</f>
        <v>5513</v>
      </c>
      <c r="B74" s="32" t="str">
        <f>'A) Base RI'!B75</f>
        <v>Bioley-Orjulaz</v>
      </c>
      <c r="C74" s="95">
        <f>'A) Base RI'!V75</f>
        <v>518</v>
      </c>
      <c r="D74" s="109">
        <f>'D) Ecrêtage'!E74</f>
        <v>43.897727117874176</v>
      </c>
      <c r="E74" s="34">
        <f t="shared" si="7"/>
        <v>4.4902219812072701</v>
      </c>
      <c r="F74" s="271">
        <f t="shared" si="8"/>
        <v>42704.166347832121</v>
      </c>
      <c r="G74" s="33">
        <f>+'A) Base RI'!U75</f>
        <v>68</v>
      </c>
      <c r="H74" s="272">
        <f t="shared" si="9"/>
        <v>1.0058970908436873</v>
      </c>
      <c r="I74" s="55">
        <f t="shared" si="10"/>
        <v>42955.996696189221</v>
      </c>
    </row>
    <row r="75" spans="1:9" x14ac:dyDescent="0.25">
      <c r="A75" s="49">
        <f>'A) Base RI'!A76</f>
        <v>5514</v>
      </c>
      <c r="B75" s="32" t="str">
        <f>'A) Base RI'!B76</f>
        <v>Bottens</v>
      </c>
      <c r="C75" s="95">
        <f>'A) Base RI'!V76</f>
        <v>1357</v>
      </c>
      <c r="D75" s="109">
        <f>'D) Ecrêtage'!E75</f>
        <v>32.589104972937257</v>
      </c>
      <c r="E75" s="34">
        <f t="shared" si="7"/>
        <v>15.798844126144189</v>
      </c>
      <c r="F75" s="271">
        <f t="shared" si="8"/>
        <v>419669.04120490281</v>
      </c>
      <c r="G75" s="33">
        <f>+'A) Base RI'!U76</f>
        <v>72.5</v>
      </c>
      <c r="H75" s="272">
        <f t="shared" si="9"/>
        <v>1.072463810090696</v>
      </c>
      <c r="I75" s="55">
        <f t="shared" si="10"/>
        <v>450079.85890771938</v>
      </c>
    </row>
    <row r="76" spans="1:9" x14ac:dyDescent="0.25">
      <c r="A76" s="49">
        <f>'A) Base RI'!A77</f>
        <v>5515</v>
      </c>
      <c r="B76" s="32" t="str">
        <f>'A) Base RI'!B77</f>
        <v>Bretigny-sur-Morrens</v>
      </c>
      <c r="C76" s="95">
        <f>'A) Base RI'!V77</f>
        <v>882</v>
      </c>
      <c r="D76" s="109">
        <f>'D) Ecrêtage'!E76</f>
        <v>36.676615936973072</v>
      </c>
      <c r="E76" s="34">
        <f t="shared" si="7"/>
        <v>11.711333162108374</v>
      </c>
      <c r="F76" s="271">
        <f t="shared" si="8"/>
        <v>217537.07657951009</v>
      </c>
      <c r="G76" s="33">
        <f>+'A) Base RI'!U77</f>
        <v>78</v>
      </c>
      <c r="H76" s="272">
        <f t="shared" si="9"/>
        <v>1.1538231336148177</v>
      </c>
      <c r="I76" s="55">
        <f t="shared" si="10"/>
        <v>250999.31137637689</v>
      </c>
    </row>
    <row r="77" spans="1:9" x14ac:dyDescent="0.25">
      <c r="A77" s="49">
        <f>'A) Base RI'!A78</f>
        <v>5516</v>
      </c>
      <c r="B77" s="32" t="str">
        <f>'A) Base RI'!B78</f>
        <v>Cugy</v>
      </c>
      <c r="C77" s="95">
        <f>'A) Base RI'!V78</f>
        <v>2733</v>
      </c>
      <c r="D77" s="109">
        <f>'D) Ecrêtage'!E77</f>
        <v>40.836046914726936</v>
      </c>
      <c r="E77" s="34">
        <f t="shared" si="7"/>
        <v>7.5519021843545104</v>
      </c>
      <c r="F77" s="271">
        <f t="shared" si="8"/>
        <v>434664.68298684887</v>
      </c>
      <c r="G77" s="33">
        <f>+'A) Base RI'!U78</f>
        <v>78</v>
      </c>
      <c r="H77" s="272">
        <f t="shared" si="9"/>
        <v>1.1538231336148177</v>
      </c>
      <c r="I77" s="55">
        <f t="shared" si="10"/>
        <v>501526.16659557732</v>
      </c>
    </row>
    <row r="78" spans="1:9" x14ac:dyDescent="0.25">
      <c r="A78" s="49">
        <f>'A) Base RI'!A79</f>
        <v>5518</v>
      </c>
      <c r="B78" s="32" t="str">
        <f>'A) Base RI'!B79</f>
        <v>Echallens</v>
      </c>
      <c r="C78" s="95">
        <f>'A) Base RI'!V79</f>
        <v>5739</v>
      </c>
      <c r="D78" s="109">
        <f>'D) Ecrêtage'!E78</f>
        <v>31.892404876495362</v>
      </c>
      <c r="E78" s="34">
        <f t="shared" si="7"/>
        <v>16.495544222586084</v>
      </c>
      <c r="F78" s="271">
        <f t="shared" si="8"/>
        <v>1853124.6963437265</v>
      </c>
      <c r="G78" s="33">
        <f>+'A) Base RI'!U79</f>
        <v>72.5</v>
      </c>
      <c r="H78" s="272">
        <f t="shared" si="9"/>
        <v>1.072463810090696</v>
      </c>
      <c r="I78" s="55">
        <f t="shared" si="10"/>
        <v>1987409.1724139571</v>
      </c>
    </row>
    <row r="79" spans="1:9" x14ac:dyDescent="0.25">
      <c r="A79" s="49">
        <f>'A) Base RI'!A80</f>
        <v>5520</v>
      </c>
      <c r="B79" s="32" t="str">
        <f>'A) Base RI'!B80</f>
        <v>Essertines-sur-Yverdon</v>
      </c>
      <c r="C79" s="95">
        <f>'A) Base RI'!V80</f>
        <v>1059</v>
      </c>
      <c r="D79" s="109">
        <f>'D) Ecrêtage'!E79</f>
        <v>29.930782982136158</v>
      </c>
      <c r="E79" s="34">
        <f t="shared" si="7"/>
        <v>18.457166116945288</v>
      </c>
      <c r="F79" s="271">
        <f t="shared" si="8"/>
        <v>385254.39807072614</v>
      </c>
      <c r="G79" s="33">
        <f>+'A) Base RI'!U80</f>
        <v>73</v>
      </c>
      <c r="H79" s="272">
        <f t="shared" si="9"/>
        <v>1.0798601122292524</v>
      </c>
      <c r="I79" s="55">
        <f t="shared" si="10"/>
        <v>416020.85753746738</v>
      </c>
    </row>
    <row r="80" spans="1:9" x14ac:dyDescent="0.25">
      <c r="A80" s="49">
        <f>'A) Base RI'!A81</f>
        <v>5521</v>
      </c>
      <c r="B80" s="32" t="str">
        <f>'A) Base RI'!B81</f>
        <v>Etagnières</v>
      </c>
      <c r="C80" s="95">
        <f>'A) Base RI'!V81</f>
        <v>1148</v>
      </c>
      <c r="D80" s="109">
        <f>'D) Ecrêtage'!E80</f>
        <v>37.147521598014414</v>
      </c>
      <c r="E80" s="34">
        <f t="shared" si="7"/>
        <v>11.240427501067032</v>
      </c>
      <c r="F80" s="271">
        <f t="shared" si="8"/>
        <v>254338.05230084382</v>
      </c>
      <c r="G80" s="33">
        <f>+'A) Base RI'!U81</f>
        <v>73</v>
      </c>
      <c r="H80" s="272">
        <f t="shared" si="9"/>
        <v>1.0798601122292524</v>
      </c>
      <c r="I80" s="55">
        <f t="shared" si="10"/>
        <v>274649.51770175865</v>
      </c>
    </row>
    <row r="81" spans="1:9" x14ac:dyDescent="0.25">
      <c r="A81" s="49">
        <f>'A) Base RI'!A82</f>
        <v>5522</v>
      </c>
      <c r="B81" s="32" t="str">
        <f>'A) Base RI'!B82</f>
        <v>Fey</v>
      </c>
      <c r="C81" s="95">
        <f>'A) Base RI'!V82</f>
        <v>754</v>
      </c>
      <c r="D81" s="109">
        <f>'D) Ecrêtage'!E81</f>
        <v>31.729884350132625</v>
      </c>
      <c r="E81" s="34">
        <f t="shared" si="7"/>
        <v>16.658064748948821</v>
      </c>
      <c r="F81" s="271">
        <f t="shared" si="8"/>
        <v>254343.66161932508</v>
      </c>
      <c r="G81" s="33">
        <f>+'A) Base RI'!U82</f>
        <v>75</v>
      </c>
      <c r="H81" s="272">
        <f t="shared" si="9"/>
        <v>1.1094453207834785</v>
      </c>
      <c r="I81" s="55">
        <f t="shared" si="10"/>
        <v>282180.38525449659</v>
      </c>
    </row>
    <row r="82" spans="1:9" x14ac:dyDescent="0.25">
      <c r="A82" s="49">
        <f>'A) Base RI'!A83</f>
        <v>5523</v>
      </c>
      <c r="B82" s="32" t="str">
        <f>'A) Base RI'!B83</f>
        <v>Froideville</v>
      </c>
      <c r="C82" s="95">
        <f>'A) Base RI'!V83</f>
        <v>2673</v>
      </c>
      <c r="D82" s="109">
        <f>'D) Ecrêtage'!E82</f>
        <v>35.069616743567359</v>
      </c>
      <c r="E82" s="34">
        <f t="shared" si="7"/>
        <v>13.318332355514087</v>
      </c>
      <c r="F82" s="271">
        <f t="shared" si="8"/>
        <v>692062.10238946124</v>
      </c>
      <c r="G82" s="33">
        <f>+'A) Base RI'!U83</f>
        <v>72</v>
      </c>
      <c r="H82" s="272">
        <f t="shared" si="9"/>
        <v>1.0650675079521394</v>
      </c>
      <c r="I82" s="55">
        <f t="shared" si="10"/>
        <v>737092.85874006187</v>
      </c>
    </row>
    <row r="83" spans="1:9" x14ac:dyDescent="0.25">
      <c r="A83" s="49">
        <f>'A) Base RI'!A84</f>
        <v>5527</v>
      </c>
      <c r="B83" s="32" t="str">
        <f>'A) Base RI'!B84</f>
        <v>Morrens</v>
      </c>
      <c r="C83" s="95">
        <f>'A) Base RI'!V84</f>
        <v>1156</v>
      </c>
      <c r="D83" s="109">
        <f>'D) Ecrêtage'!E83</f>
        <v>34.005451580473206</v>
      </c>
      <c r="E83" s="34">
        <f t="shared" si="7"/>
        <v>14.38249751860824</v>
      </c>
      <c r="F83" s="271">
        <f t="shared" si="8"/>
        <v>332190.81928759225</v>
      </c>
      <c r="G83" s="33">
        <f>+'A) Base RI'!U84</f>
        <v>74</v>
      </c>
      <c r="H83" s="272">
        <f t="shared" si="9"/>
        <v>1.0946527165063655</v>
      </c>
      <c r="I83" s="55">
        <f t="shared" si="10"/>
        <v>363633.58273163805</v>
      </c>
    </row>
    <row r="84" spans="1:9" x14ac:dyDescent="0.25">
      <c r="A84" s="49">
        <f>'A) Base RI'!A85</f>
        <v>5529</v>
      </c>
      <c r="B84" s="32" t="str">
        <f>'A) Base RI'!B85</f>
        <v>Oulens-sous-Echallens</v>
      </c>
      <c r="C84" s="95">
        <f>'A) Base RI'!V85</f>
        <v>619</v>
      </c>
      <c r="D84" s="109">
        <f>'D) Ecrêtage'!E84</f>
        <v>34.187773597969077</v>
      </c>
      <c r="E84" s="34">
        <f t="shared" si="7"/>
        <v>14.200175501112369</v>
      </c>
      <c r="F84" s="271">
        <f t="shared" si="8"/>
        <v>166129.27320506371</v>
      </c>
      <c r="G84" s="33">
        <f>+'A) Base RI'!U85</f>
        <v>70</v>
      </c>
      <c r="H84" s="272">
        <f t="shared" si="9"/>
        <v>1.0354822993979134</v>
      </c>
      <c r="I84" s="55">
        <f t="shared" si="10"/>
        <v>172023.92181568354</v>
      </c>
    </row>
    <row r="85" spans="1:9" x14ac:dyDescent="0.25">
      <c r="A85" s="49">
        <f>'A) Base RI'!A86</f>
        <v>5530</v>
      </c>
      <c r="B85" s="32" t="str">
        <f>'A) Base RI'!B86</f>
        <v>Pailly</v>
      </c>
      <c r="C85" s="95">
        <f>'A) Base RI'!V86</f>
        <v>575</v>
      </c>
      <c r="D85" s="109">
        <f>'D) Ecrêtage'!E85</f>
        <v>33.575408504958041</v>
      </c>
      <c r="E85" s="34">
        <f t="shared" si="7"/>
        <v>14.812540594123405</v>
      </c>
      <c r="F85" s="271">
        <f t="shared" si="8"/>
        <v>174773.16647006207</v>
      </c>
      <c r="G85" s="33">
        <f>+'A) Base RI'!U86</f>
        <v>76</v>
      </c>
      <c r="H85" s="272">
        <f t="shared" si="9"/>
        <v>1.1242379250605916</v>
      </c>
      <c r="I85" s="55">
        <f t="shared" si="10"/>
        <v>196486.62202857196</v>
      </c>
    </row>
    <row r="86" spans="1:9" x14ac:dyDescent="0.25">
      <c r="A86" s="49">
        <f>'A) Base RI'!A87</f>
        <v>5531</v>
      </c>
      <c r="B86" s="32" t="str">
        <f>'A) Base RI'!B87</f>
        <v>Penthéréaz</v>
      </c>
      <c r="C86" s="95">
        <f>'A) Base RI'!V87</f>
        <v>417</v>
      </c>
      <c r="D86" s="109">
        <f>'D) Ecrêtage'!E86</f>
        <v>34.294526216864348</v>
      </c>
      <c r="E86" s="34">
        <f t="shared" si="7"/>
        <v>14.093422882217098</v>
      </c>
      <c r="F86" s="271">
        <f t="shared" si="8"/>
        <v>117421.60769085292</v>
      </c>
      <c r="G86" s="33">
        <f>+'A) Base RI'!U87</f>
        <v>74</v>
      </c>
      <c r="H86" s="272">
        <f t="shared" si="9"/>
        <v>1.0946527165063655</v>
      </c>
      <c r="I86" s="55">
        <f t="shared" si="10"/>
        <v>128535.8818353369</v>
      </c>
    </row>
    <row r="87" spans="1:9" x14ac:dyDescent="0.25">
      <c r="A87" s="49">
        <f>'A) Base RI'!A88</f>
        <v>5533</v>
      </c>
      <c r="B87" s="32" t="str">
        <f>'A) Base RI'!B88</f>
        <v>Poliez-Pittet</v>
      </c>
      <c r="C87" s="95">
        <f>'A) Base RI'!V88</f>
        <v>833</v>
      </c>
      <c r="D87" s="109">
        <f>'D) Ecrêtage'!E87</f>
        <v>33.015644559193532</v>
      </c>
      <c r="E87" s="34">
        <f t="shared" si="7"/>
        <v>15.372304539887914</v>
      </c>
      <c r="F87" s="271">
        <f t="shared" si="8"/>
        <v>252389.10602683193</v>
      </c>
      <c r="G87" s="33">
        <f>+'A) Base RI'!U88</f>
        <v>73</v>
      </c>
      <c r="H87" s="272">
        <f t="shared" si="9"/>
        <v>1.0798601122292524</v>
      </c>
      <c r="I87" s="55">
        <f t="shared" si="10"/>
        <v>272544.9283595754</v>
      </c>
    </row>
    <row r="88" spans="1:9" x14ac:dyDescent="0.25">
      <c r="A88" s="49">
        <f>'A) Base RI'!A89</f>
        <v>5534</v>
      </c>
      <c r="B88" s="32" t="str">
        <f>'A) Base RI'!B89</f>
        <v>Rueyres</v>
      </c>
      <c r="C88" s="95">
        <f>'A) Base RI'!V89</f>
        <v>304</v>
      </c>
      <c r="D88" s="109">
        <f>'D) Ecrêtage'!E88</f>
        <v>43.115104842585914</v>
      </c>
      <c r="E88" s="34">
        <f t="shared" si="7"/>
        <v>5.2728442564955316</v>
      </c>
      <c r="F88" s="271">
        <f t="shared" si="8"/>
        <v>31594.039129840188</v>
      </c>
      <c r="G88" s="33">
        <f>+'A) Base RI'!U89</f>
        <v>73</v>
      </c>
      <c r="H88" s="272">
        <f t="shared" si="9"/>
        <v>1.0798601122292524</v>
      </c>
      <c r="I88" s="55">
        <f t="shared" si="10"/>
        <v>34117.142640524617</v>
      </c>
    </row>
    <row r="89" spans="1:9" x14ac:dyDescent="0.25">
      <c r="A89" s="49">
        <f>'A) Base RI'!A90</f>
        <v>5535</v>
      </c>
      <c r="B89" s="32" t="str">
        <f>'A) Base RI'!B90</f>
        <v>Saint-Barthélemy</v>
      </c>
      <c r="C89" s="95">
        <f>'A) Base RI'!V90</f>
        <v>809</v>
      </c>
      <c r="D89" s="109">
        <f>'D) Ecrêtage'!E89</f>
        <v>31.001629831067152</v>
      </c>
      <c r="E89" s="34">
        <f t="shared" si="7"/>
        <v>17.386319268014294</v>
      </c>
      <c r="F89" s="271">
        <f t="shared" si="8"/>
        <v>284827.0288284272</v>
      </c>
      <c r="G89" s="33">
        <f>+'A) Base RI'!U90</f>
        <v>75</v>
      </c>
      <c r="H89" s="272">
        <f t="shared" si="9"/>
        <v>1.1094453207834785</v>
      </c>
      <c r="I89" s="55">
        <f t="shared" si="10"/>
        <v>316000.01436635945</v>
      </c>
    </row>
    <row r="90" spans="1:9" x14ac:dyDescent="0.25">
      <c r="A90" s="49">
        <f>'A) Base RI'!A91</f>
        <v>5537</v>
      </c>
      <c r="B90" s="32" t="str">
        <f>'A) Base RI'!B91</f>
        <v>Villars-le-Terroir</v>
      </c>
      <c r="C90" s="95">
        <f>'A) Base RI'!V91</f>
        <v>1316</v>
      </c>
      <c r="D90" s="109">
        <f>'D) Ecrêtage'!E90</f>
        <v>32.612322228443453</v>
      </c>
      <c r="E90" s="34">
        <f t="shared" si="7"/>
        <v>15.775626870637993</v>
      </c>
      <c r="F90" s="271">
        <f t="shared" si="8"/>
        <v>426010.076215307</v>
      </c>
      <c r="G90" s="33">
        <f>+'A) Base RI'!U91</f>
        <v>76</v>
      </c>
      <c r="H90" s="272">
        <f t="shared" si="9"/>
        <v>1.1242379250605916</v>
      </c>
      <c r="I90" s="55">
        <f t="shared" si="10"/>
        <v>478936.68413920124</v>
      </c>
    </row>
    <row r="91" spans="1:9" x14ac:dyDescent="0.25">
      <c r="A91" s="49">
        <f>'A) Base RI'!A92</f>
        <v>5539</v>
      </c>
      <c r="B91" s="32" t="str">
        <f>'A) Base RI'!B92</f>
        <v>Vuarrens</v>
      </c>
      <c r="C91" s="95">
        <f>'A) Base RI'!V92</f>
        <v>1097</v>
      </c>
      <c r="D91" s="109">
        <f>'D) Ecrêtage'!E91</f>
        <v>31.502322226976467</v>
      </c>
      <c r="E91" s="34">
        <f t="shared" si="7"/>
        <v>16.885626872104979</v>
      </c>
      <c r="F91" s="271">
        <f t="shared" si="8"/>
        <v>367599.50600878487</v>
      </c>
      <c r="G91" s="33">
        <f>+'A) Base RI'!U92</f>
        <v>73.5</v>
      </c>
      <c r="H91" s="272">
        <f t="shared" si="9"/>
        <v>1.087256414367809</v>
      </c>
      <c r="I91" s="55">
        <f t="shared" si="10"/>
        <v>399674.92082648928</v>
      </c>
    </row>
    <row r="92" spans="1:9" x14ac:dyDescent="0.25">
      <c r="A92" s="49">
        <f>'A) Base RI'!A93</f>
        <v>5540</v>
      </c>
      <c r="B92" s="32" t="str">
        <f>'A) Base RI'!B93</f>
        <v>Montilliez</v>
      </c>
      <c r="C92" s="95">
        <f>'A) Base RI'!V93</f>
        <v>1883</v>
      </c>
      <c r="D92" s="109">
        <f>'D) Ecrêtage'!E92</f>
        <v>33.62506142069698</v>
      </c>
      <c r="E92" s="34">
        <f t="shared" si="7"/>
        <v>14.762887678384466</v>
      </c>
      <c r="F92" s="271">
        <f t="shared" si="8"/>
        <v>544155.98003113992</v>
      </c>
      <c r="G92" s="33">
        <f>+'A) Base RI'!U93</f>
        <v>72.5</v>
      </c>
      <c r="H92" s="272">
        <f t="shared" si="9"/>
        <v>1.072463810090696</v>
      </c>
      <c r="I92" s="55">
        <f t="shared" si="10"/>
        <v>583587.59562783304</v>
      </c>
    </row>
    <row r="93" spans="1:9" x14ac:dyDescent="0.25">
      <c r="A93" s="49">
        <f>'A) Base RI'!A94</f>
        <v>5541</v>
      </c>
      <c r="B93" s="32" t="str">
        <f>'A) Base RI'!B94</f>
        <v>Goumoëns</v>
      </c>
      <c r="C93" s="95">
        <f>'A) Base RI'!V94</f>
        <v>1166</v>
      </c>
      <c r="D93" s="109">
        <f>'D) Ecrêtage'!E93</f>
        <v>35.402257903286262</v>
      </c>
      <c r="E93" s="34">
        <f t="shared" si="7"/>
        <v>12.985691195795184</v>
      </c>
      <c r="F93" s="271">
        <f t="shared" si="8"/>
        <v>308655.72532064811</v>
      </c>
      <c r="G93" s="33">
        <f>+'A) Base RI'!U94</f>
        <v>75.5</v>
      </c>
      <c r="H93" s="272">
        <f t="shared" si="9"/>
        <v>1.116841622922035</v>
      </c>
      <c r="I93" s="55">
        <f t="shared" si="10"/>
        <v>344719.5611912905</v>
      </c>
    </row>
    <row r="94" spans="1:9" x14ac:dyDescent="0.25">
      <c r="A94" s="49">
        <f>'A) Base RI'!A95</f>
        <v>5551</v>
      </c>
      <c r="B94" s="32" t="str">
        <f>'A) Base RI'!B95</f>
        <v>Bonvillars</v>
      </c>
      <c r="C94" s="95">
        <f>'A) Base RI'!V95</f>
        <v>481</v>
      </c>
      <c r="D94" s="109">
        <f>'D) Ecrêtage'!E94</f>
        <v>38.892748440748441</v>
      </c>
      <c r="E94" s="34">
        <f t="shared" si="7"/>
        <v>9.4952006583330046</v>
      </c>
      <c r="F94" s="271">
        <f t="shared" si="8"/>
        <v>67822.794022373899</v>
      </c>
      <c r="G94" s="33">
        <f>+'A) Base RI'!U95</f>
        <v>55</v>
      </c>
      <c r="H94" s="272">
        <f t="shared" si="9"/>
        <v>0.81359323524121763</v>
      </c>
      <c r="I94" s="55">
        <f t="shared" si="10"/>
        <v>55180.166411761893</v>
      </c>
    </row>
    <row r="95" spans="1:9" x14ac:dyDescent="0.25">
      <c r="A95" s="49">
        <f>'A) Base RI'!A96</f>
        <v>5552</v>
      </c>
      <c r="B95" s="32" t="str">
        <f>'A) Base RI'!B96</f>
        <v>Bullet</v>
      </c>
      <c r="C95" s="95">
        <f>'A) Base RI'!V96</f>
        <v>657</v>
      </c>
      <c r="D95" s="109">
        <f>'D) Ecrêtage'!E95</f>
        <v>29.831951762088753</v>
      </c>
      <c r="E95" s="34">
        <f t="shared" si="7"/>
        <v>18.555997336992693</v>
      </c>
      <c r="F95" s="271">
        <f t="shared" si="8"/>
        <v>235352.85828405307</v>
      </c>
      <c r="G95" s="33">
        <f>+'A) Base RI'!U96</f>
        <v>71.5</v>
      </c>
      <c r="H95" s="272">
        <f t="shared" si="9"/>
        <v>1.0576712058135829</v>
      </c>
      <c r="I95" s="55">
        <f t="shared" si="10"/>
        <v>248925.94141296769</v>
      </c>
    </row>
    <row r="96" spans="1:9" x14ac:dyDescent="0.25">
      <c r="A96" s="49">
        <f>'A) Base RI'!A97</f>
        <v>5553</v>
      </c>
      <c r="B96" s="32" t="str">
        <f>'A) Base RI'!B97</f>
        <v>Champagne</v>
      </c>
      <c r="C96" s="95">
        <f>'A) Base RI'!V97</f>
        <v>1085</v>
      </c>
      <c r="D96" s="109">
        <f>'D) Ecrêtage'!E96</f>
        <v>36.947028146047501</v>
      </c>
      <c r="E96" s="34">
        <f t="shared" si="7"/>
        <v>11.440920953033945</v>
      </c>
      <c r="F96" s="271">
        <f t="shared" si="8"/>
        <v>217855.15655743412</v>
      </c>
      <c r="G96" s="33">
        <f>+'A) Base RI'!U97</f>
        <v>65</v>
      </c>
      <c r="H96" s="272">
        <f t="shared" si="9"/>
        <v>0.96151927801234804</v>
      </c>
      <c r="I96" s="55">
        <f t="shared" si="10"/>
        <v>209471.9328443711</v>
      </c>
    </row>
    <row r="97" spans="1:9" x14ac:dyDescent="0.25">
      <c r="A97" s="49">
        <f>'A) Base RI'!A98</f>
        <v>5554</v>
      </c>
      <c r="B97" s="32" t="str">
        <f>'A) Base RI'!B98</f>
        <v>Concise</v>
      </c>
      <c r="C97" s="95">
        <f>'A) Base RI'!V98</f>
        <v>1004</v>
      </c>
      <c r="D97" s="109">
        <f>'D) Ecrêtage'!E97</f>
        <v>31.376278618857899</v>
      </c>
      <c r="E97" s="34">
        <f t="shared" si="7"/>
        <v>17.011670480223547</v>
      </c>
      <c r="F97" s="271">
        <f t="shared" si="8"/>
        <v>345864.2725334249</v>
      </c>
      <c r="G97" s="33">
        <f>+'A) Base RI'!U98</f>
        <v>75</v>
      </c>
      <c r="H97" s="272">
        <f t="shared" si="9"/>
        <v>1.1094453207834785</v>
      </c>
      <c r="I97" s="55">
        <f t="shared" si="10"/>
        <v>383717.49878839002</v>
      </c>
    </row>
    <row r="98" spans="1:9" x14ac:dyDescent="0.25">
      <c r="A98" s="49">
        <f>'A) Base RI'!A99</f>
        <v>5555</v>
      </c>
      <c r="B98" s="32" t="str">
        <f>'A) Base RI'!B99</f>
        <v>Corcelles-près-Concise</v>
      </c>
      <c r="C98" s="95">
        <f>'A) Base RI'!V99</f>
        <v>417</v>
      </c>
      <c r="D98" s="109">
        <f>'D) Ecrêtage'!E98</f>
        <v>33.281167761443015</v>
      </c>
      <c r="E98" s="34">
        <f t="shared" si="7"/>
        <v>15.106781337638431</v>
      </c>
      <c r="F98" s="271">
        <f t="shared" si="8"/>
        <v>117360.20324552507</v>
      </c>
      <c r="G98" s="33">
        <f>+'A) Base RI'!U99</f>
        <v>69</v>
      </c>
      <c r="H98" s="272">
        <f t="shared" si="9"/>
        <v>1.0206896951208002</v>
      </c>
      <c r="I98" s="55">
        <f t="shared" si="10"/>
        <v>119788.35006999013</v>
      </c>
    </row>
    <row r="99" spans="1:9" x14ac:dyDescent="0.25">
      <c r="A99" s="49">
        <f>'A) Base RI'!A100</f>
        <v>5556</v>
      </c>
      <c r="B99" s="32" t="str">
        <f>'A) Base RI'!B100</f>
        <v>Fiez</v>
      </c>
      <c r="C99" s="95">
        <f>'A) Base RI'!V100</f>
        <v>442</v>
      </c>
      <c r="D99" s="109">
        <f>'D) Ecrêtage'!E99</f>
        <v>32.981148873150161</v>
      </c>
      <c r="E99" s="34">
        <f t="shared" si="7"/>
        <v>15.406800225931285</v>
      </c>
      <c r="F99" s="271">
        <f t="shared" si="8"/>
        <v>126866.68018842213</v>
      </c>
      <c r="G99" s="33">
        <f>+'A) Base RI'!U100</f>
        <v>69</v>
      </c>
      <c r="H99" s="272">
        <f t="shared" si="9"/>
        <v>1.0206896951208002</v>
      </c>
      <c r="I99" s="55">
        <f t="shared" si="10"/>
        <v>129491.51312250865</v>
      </c>
    </row>
    <row r="100" spans="1:9" x14ac:dyDescent="0.25">
      <c r="A100" s="49">
        <f>'A) Base RI'!A101</f>
        <v>5557</v>
      </c>
      <c r="B100" s="32" t="str">
        <f>'A) Base RI'!B101</f>
        <v>Fontaines-sur-Grandson</v>
      </c>
      <c r="C100" s="95">
        <f>'A) Base RI'!V101</f>
        <v>220</v>
      </c>
      <c r="D100" s="109">
        <f>'D) Ecrêtage'!E100</f>
        <v>19.239750329380762</v>
      </c>
      <c r="E100" s="34">
        <f t="shared" si="7"/>
        <v>29.148198769700684</v>
      </c>
      <c r="F100" s="271">
        <f t="shared" si="8"/>
        <v>119466.80747749523</v>
      </c>
      <c r="G100" s="33">
        <f>+'A) Base RI'!U101</f>
        <v>69</v>
      </c>
      <c r="H100" s="272">
        <f t="shared" si="9"/>
        <v>1.0206896951208002</v>
      </c>
      <c r="I100" s="55">
        <f t="shared" si="10"/>
        <v>121938.53930125994</v>
      </c>
    </row>
    <row r="101" spans="1:9" x14ac:dyDescent="0.25">
      <c r="A101" s="49">
        <f>'A) Base RI'!A102</f>
        <v>5559</v>
      </c>
      <c r="B101" s="32" t="str">
        <f>'A) Base RI'!B102</f>
        <v>Giez</v>
      </c>
      <c r="C101" s="95">
        <f>'A) Base RI'!V102</f>
        <v>443</v>
      </c>
      <c r="D101" s="109">
        <f>'D) Ecrêtage'!E101</f>
        <v>52.905169984267047</v>
      </c>
      <c r="E101" s="34">
        <f t="shared" si="7"/>
        <v>0</v>
      </c>
      <c r="F101" s="271">
        <f t="shared" si="8"/>
        <v>0</v>
      </c>
      <c r="G101" s="33">
        <f>+'A) Base RI'!U102</f>
        <v>66</v>
      </c>
      <c r="H101" s="272">
        <f t="shared" si="9"/>
        <v>0.97631188228946109</v>
      </c>
      <c r="I101" s="55">
        <f t="shared" si="10"/>
        <v>0</v>
      </c>
    </row>
    <row r="102" spans="1:9" x14ac:dyDescent="0.25">
      <c r="A102" s="49">
        <f>'A) Base RI'!A103</f>
        <v>5560</v>
      </c>
      <c r="B102" s="32" t="str">
        <f>'A) Base RI'!B103</f>
        <v>Grandevent</v>
      </c>
      <c r="C102" s="95">
        <f>'A) Base RI'!V103</f>
        <v>238</v>
      </c>
      <c r="D102" s="109">
        <f>'D) Ecrêtage'!E102</f>
        <v>29.427506796836383</v>
      </c>
      <c r="E102" s="34">
        <f t="shared" si="7"/>
        <v>18.960442302245063</v>
      </c>
      <c r="F102" s="271">
        <f t="shared" si="8"/>
        <v>82851.065519274212</v>
      </c>
      <c r="G102" s="33">
        <f>+'A) Base RI'!U103</f>
        <v>68</v>
      </c>
      <c r="H102" s="272">
        <f t="shared" si="9"/>
        <v>1.0058970908436873</v>
      </c>
      <c r="I102" s="55">
        <f t="shared" si="10"/>
        <v>83339.64577913766</v>
      </c>
    </row>
    <row r="103" spans="1:9" x14ac:dyDescent="0.25">
      <c r="A103" s="49">
        <f>'A) Base RI'!A104</f>
        <v>5561</v>
      </c>
      <c r="B103" s="32" t="str">
        <f>'A) Base RI'!B104</f>
        <v>Grandson</v>
      </c>
      <c r="C103" s="95">
        <f>'A) Base RI'!V104</f>
        <v>3366</v>
      </c>
      <c r="D103" s="109">
        <f>'D) Ecrêtage'!E103</f>
        <v>34.018434472603268</v>
      </c>
      <c r="E103" s="34">
        <f t="shared" si="7"/>
        <v>14.369514626478178</v>
      </c>
      <c r="F103" s="271">
        <f t="shared" si="8"/>
        <v>901091.85751567699</v>
      </c>
      <c r="G103" s="33">
        <f>+'A) Base RI'!U104</f>
        <v>69</v>
      </c>
      <c r="H103" s="272">
        <f t="shared" si="9"/>
        <v>1.0206896951208002</v>
      </c>
      <c r="I103" s="55">
        <f t="shared" si="10"/>
        <v>919735.17332351184</v>
      </c>
    </row>
    <row r="104" spans="1:9" x14ac:dyDescent="0.25">
      <c r="A104" s="49">
        <f>'A) Base RI'!A105</f>
        <v>5562</v>
      </c>
      <c r="B104" s="32" t="str">
        <f>'A) Base RI'!B105</f>
        <v>Mauborget</v>
      </c>
      <c r="C104" s="95">
        <f>'A) Base RI'!V105</f>
        <v>137</v>
      </c>
      <c r="D104" s="109">
        <f>'D) Ecrêtage'!E104</f>
        <v>44.521837156760505</v>
      </c>
      <c r="E104" s="34">
        <f t="shared" si="7"/>
        <v>3.8661119423209414</v>
      </c>
      <c r="F104" s="271">
        <f t="shared" si="8"/>
        <v>10010.523652251613</v>
      </c>
      <c r="G104" s="33">
        <f>+'A) Base RI'!U105</f>
        <v>70</v>
      </c>
      <c r="H104" s="272">
        <f t="shared" si="9"/>
        <v>1.0354822993979134</v>
      </c>
      <c r="I104" s="55">
        <f t="shared" si="10"/>
        <v>10365.720049610698</v>
      </c>
    </row>
    <row r="105" spans="1:9" x14ac:dyDescent="0.25">
      <c r="A105" s="49">
        <f>'A) Base RI'!A106</f>
        <v>5563</v>
      </c>
      <c r="B105" s="32" t="str">
        <f>'A) Base RI'!B106</f>
        <v>Mutrux</v>
      </c>
      <c r="C105" s="95">
        <f>'A) Base RI'!V106</f>
        <v>151</v>
      </c>
      <c r="D105" s="109">
        <f>'D) Ecrêtage'!E105</f>
        <v>28.359149006622516</v>
      </c>
      <c r="E105" s="34">
        <f t="shared" si="7"/>
        <v>20.02880009245893</v>
      </c>
      <c r="F105" s="271">
        <f t="shared" si="8"/>
        <v>65325.934381564046</v>
      </c>
      <c r="G105" s="33">
        <f>+'A) Base RI'!U106</f>
        <v>80</v>
      </c>
      <c r="H105" s="272">
        <f t="shared" si="9"/>
        <v>1.1834083421690438</v>
      </c>
      <c r="I105" s="55">
        <f t="shared" si="10"/>
        <v>77307.255707130447</v>
      </c>
    </row>
    <row r="106" spans="1:9" x14ac:dyDescent="0.25">
      <c r="A106" s="49">
        <f>'A) Base RI'!A107</f>
        <v>5564</v>
      </c>
      <c r="B106" s="32" t="str">
        <f>'A) Base RI'!B107</f>
        <v>Novalles</v>
      </c>
      <c r="C106" s="95">
        <f>'A) Base RI'!V107</f>
        <v>103</v>
      </c>
      <c r="D106" s="109">
        <f>'D) Ecrêtage'!E106</f>
        <v>20.383961739908024</v>
      </c>
      <c r="E106" s="34">
        <f t="shared" si="7"/>
        <v>28.003987359173422</v>
      </c>
      <c r="F106" s="271">
        <f t="shared" si="8"/>
        <v>59188.107522854581</v>
      </c>
      <c r="G106" s="33">
        <f>+'A) Base RI'!U107</f>
        <v>76</v>
      </c>
      <c r="H106" s="272">
        <f t="shared" si="9"/>
        <v>1.1242379250605916</v>
      </c>
      <c r="I106" s="55">
        <f t="shared" si="10"/>
        <v>66541.515189757221</v>
      </c>
    </row>
    <row r="107" spans="1:9" x14ac:dyDescent="0.25">
      <c r="A107" s="49">
        <f>'A) Base RI'!A108</f>
        <v>5565</v>
      </c>
      <c r="B107" s="32" t="str">
        <f>'A) Base RI'!B108</f>
        <v>Onnens</v>
      </c>
      <c r="C107" s="95">
        <f>'A) Base RI'!V108</f>
        <v>495</v>
      </c>
      <c r="D107" s="109">
        <f>'D) Ecrêtage'!E107</f>
        <v>45.86551053845541</v>
      </c>
      <c r="E107" s="34">
        <f t="shared" si="7"/>
        <v>2.5224385606260356</v>
      </c>
      <c r="F107" s="271">
        <f t="shared" si="8"/>
        <v>21407.368515357026</v>
      </c>
      <c r="G107" s="33">
        <f>+'A) Base RI'!U108</f>
        <v>63.5</v>
      </c>
      <c r="H107" s="272">
        <f t="shared" si="9"/>
        <v>0.93933037159667854</v>
      </c>
      <c r="I107" s="55">
        <f t="shared" si="10"/>
        <v>20108.591422437352</v>
      </c>
    </row>
    <row r="108" spans="1:9" x14ac:dyDescent="0.25">
      <c r="A108" s="49">
        <f>'A) Base RI'!A109</f>
        <v>5566</v>
      </c>
      <c r="B108" s="32" t="str">
        <f>'A) Base RI'!B109</f>
        <v>Provence</v>
      </c>
      <c r="C108" s="95">
        <f>'A) Base RI'!V109</f>
        <v>403</v>
      </c>
      <c r="D108" s="109">
        <f>'D) Ecrêtage'!E108</f>
        <v>23.270077811475662</v>
      </c>
      <c r="E108" s="34">
        <f t="shared" si="7"/>
        <v>25.117871287605784</v>
      </c>
      <c r="F108" s="271">
        <f t="shared" si="8"/>
        <v>221379.12155915523</v>
      </c>
      <c r="G108" s="33">
        <f>+'A) Base RI'!U109</f>
        <v>81</v>
      </c>
      <c r="H108" s="272">
        <f t="shared" si="9"/>
        <v>1.1982009464461567</v>
      </c>
      <c r="I108" s="55">
        <f t="shared" si="10"/>
        <v>265256.6729755986</v>
      </c>
    </row>
    <row r="109" spans="1:9" x14ac:dyDescent="0.25">
      <c r="A109" s="49">
        <f>'A) Base RI'!A110</f>
        <v>5568</v>
      </c>
      <c r="B109" s="32" t="str">
        <f>'A) Base RI'!B110</f>
        <v>Sainte-Croix</v>
      </c>
      <c r="C109" s="95">
        <f>'A) Base RI'!V110</f>
        <v>4948</v>
      </c>
      <c r="D109" s="109">
        <f>'D) Ecrêtage'!E109</f>
        <v>22.063838318512527</v>
      </c>
      <c r="E109" s="34">
        <f t="shared" si="7"/>
        <v>26.324110780568919</v>
      </c>
      <c r="F109" s="271">
        <f t="shared" si="8"/>
        <v>2461757.1326886197</v>
      </c>
      <c r="G109" s="33">
        <f>+'A) Base RI'!U110</f>
        <v>70</v>
      </c>
      <c r="H109" s="272">
        <f t="shared" si="9"/>
        <v>1.0354822993979134</v>
      </c>
      <c r="I109" s="55">
        <f t="shared" si="10"/>
        <v>2549105.9363156259</v>
      </c>
    </row>
    <row r="110" spans="1:9" x14ac:dyDescent="0.25">
      <c r="A110" s="49">
        <f>'A) Base RI'!A111</f>
        <v>5571</v>
      </c>
      <c r="B110" s="32" t="str">
        <f>'A) Base RI'!B111</f>
        <v>Tévenon</v>
      </c>
      <c r="C110" s="95">
        <f>'A) Base RI'!V111</f>
        <v>883</v>
      </c>
      <c r="D110" s="109">
        <f>'D) Ecrêtage'!E110</f>
        <v>28.680905764677</v>
      </c>
      <c r="E110" s="34">
        <f t="shared" si="7"/>
        <v>19.707043334404446</v>
      </c>
      <c r="F110" s="271">
        <f t="shared" si="8"/>
        <v>335932.46839690855</v>
      </c>
      <c r="G110" s="33">
        <f>+'A) Base RI'!U111</f>
        <v>71.5</v>
      </c>
      <c r="H110" s="272">
        <f t="shared" si="9"/>
        <v>1.0576712058135829</v>
      </c>
      <c r="I110" s="55">
        <f t="shared" si="10"/>
        <v>355306.09892129159</v>
      </c>
    </row>
    <row r="111" spans="1:9" x14ac:dyDescent="0.25">
      <c r="A111" s="49">
        <f>'A) Base RI'!A112</f>
        <v>5581</v>
      </c>
      <c r="B111" s="32" t="str">
        <f>'A) Base RI'!B112</f>
        <v>Belmont-sur-Lausanne</v>
      </c>
      <c r="C111" s="95">
        <f>'A) Base RI'!V112</f>
        <v>3871</v>
      </c>
      <c r="D111" s="109">
        <f>'D) Ecrêtage'!E111</f>
        <v>55.653821483586405</v>
      </c>
      <c r="E111" s="34">
        <f t="shared" si="7"/>
        <v>0</v>
      </c>
      <c r="F111" s="271">
        <f t="shared" si="8"/>
        <v>0</v>
      </c>
      <c r="G111" s="33">
        <f>+'A) Base RI'!U112</f>
        <v>72</v>
      </c>
      <c r="H111" s="272">
        <f t="shared" si="9"/>
        <v>1.0650675079521394</v>
      </c>
      <c r="I111" s="55">
        <f t="shared" si="10"/>
        <v>0</v>
      </c>
    </row>
    <row r="112" spans="1:9" x14ac:dyDescent="0.25">
      <c r="A112" s="49">
        <f>'A) Base RI'!A113</f>
        <v>5582</v>
      </c>
      <c r="B112" s="32" t="str">
        <f>'A) Base RI'!B113</f>
        <v>Cheseaux-sur-Lausanne</v>
      </c>
      <c r="C112" s="95">
        <f>'A) Base RI'!V113</f>
        <v>4449</v>
      </c>
      <c r="D112" s="109">
        <f>'D) Ecrêtage'!E112</f>
        <v>37.650448861834427</v>
      </c>
      <c r="E112" s="34">
        <f t="shared" si="7"/>
        <v>10.737500237247019</v>
      </c>
      <c r="F112" s="271">
        <f t="shared" si="8"/>
        <v>941569.14092914131</v>
      </c>
      <c r="G112" s="33">
        <f>+'A) Base RI'!U113</f>
        <v>73</v>
      </c>
      <c r="H112" s="272">
        <f t="shared" si="9"/>
        <v>1.0798601122292524</v>
      </c>
      <c r="I112" s="55">
        <f t="shared" si="10"/>
        <v>1016762.9581953433</v>
      </c>
    </row>
    <row r="113" spans="1:9" x14ac:dyDescent="0.25">
      <c r="A113" s="49">
        <f>'A) Base RI'!A114</f>
        <v>5583</v>
      </c>
      <c r="B113" s="32" t="str">
        <f>'A) Base RI'!B114</f>
        <v>Crissier</v>
      </c>
      <c r="C113" s="95">
        <f>'A) Base RI'!V114</f>
        <v>8974</v>
      </c>
      <c r="D113" s="109">
        <f>'D) Ecrêtage'!E113</f>
        <v>37.614259163392404</v>
      </c>
      <c r="E113" s="34">
        <f t="shared" si="7"/>
        <v>10.773689935689042</v>
      </c>
      <c r="F113" s="271">
        <f t="shared" si="8"/>
        <v>1657631.6377638655</v>
      </c>
      <c r="G113" s="33">
        <f>+'A) Base RI'!U114</f>
        <v>63.5</v>
      </c>
      <c r="H113" s="272">
        <f t="shared" si="9"/>
        <v>0.93933037159667854</v>
      </c>
      <c r="I113" s="55">
        <f t="shared" si="10"/>
        <v>1557063.7422711425</v>
      </c>
    </row>
    <row r="114" spans="1:9" x14ac:dyDescent="0.25">
      <c r="A114" s="49">
        <f>'A) Base RI'!A115</f>
        <v>5584</v>
      </c>
      <c r="B114" s="32" t="str">
        <f>'A) Base RI'!B115</f>
        <v>Epalinges</v>
      </c>
      <c r="C114" s="95">
        <f>'A) Base RI'!V115</f>
        <v>9813</v>
      </c>
      <c r="D114" s="109">
        <f>'D) Ecrêtage'!E114</f>
        <v>52.661453379751741</v>
      </c>
      <c r="E114" s="34">
        <f t="shared" si="7"/>
        <v>0</v>
      </c>
      <c r="F114" s="271">
        <f t="shared" si="8"/>
        <v>0</v>
      </c>
      <c r="G114" s="33">
        <f>+'A) Base RI'!U115</f>
        <v>64.5</v>
      </c>
      <c r="H114" s="272">
        <f t="shared" si="9"/>
        <v>0.95412297587379158</v>
      </c>
      <c r="I114" s="55">
        <f t="shared" si="10"/>
        <v>0</v>
      </c>
    </row>
    <row r="115" spans="1:9" x14ac:dyDescent="0.25">
      <c r="A115" s="49">
        <f>'A) Base RI'!A116</f>
        <v>5585</v>
      </c>
      <c r="B115" s="32" t="str">
        <f>'A) Base RI'!B116</f>
        <v>Jouxtens-Mézery</v>
      </c>
      <c r="C115" s="95">
        <f>'A) Base RI'!V116</f>
        <v>1460</v>
      </c>
      <c r="D115" s="109">
        <f>'D) Ecrêtage'!E115</f>
        <v>131.33210308799627</v>
      </c>
      <c r="E115" s="34">
        <f t="shared" si="7"/>
        <v>0</v>
      </c>
      <c r="F115" s="271">
        <f t="shared" si="8"/>
        <v>0</v>
      </c>
      <c r="G115" s="33">
        <f>+'A) Base RI'!U116</f>
        <v>59</v>
      </c>
      <c r="H115" s="272">
        <f t="shared" si="9"/>
        <v>0.87276365234966979</v>
      </c>
      <c r="I115" s="55">
        <f t="shared" si="10"/>
        <v>0</v>
      </c>
    </row>
    <row r="116" spans="1:9" x14ac:dyDescent="0.25">
      <c r="A116" s="49">
        <f>'A) Base RI'!A117</f>
        <v>5586</v>
      </c>
      <c r="B116" s="32" t="str">
        <f>'A) Base RI'!B117</f>
        <v>Lausanne</v>
      </c>
      <c r="C116" s="95">
        <f>'A) Base RI'!V117</f>
        <v>140824</v>
      </c>
      <c r="D116" s="109">
        <f>'D) Ecrêtage'!E116</f>
        <v>45.883455332297757</v>
      </c>
      <c r="E116" s="34">
        <f t="shared" si="7"/>
        <v>2.5044937667836891</v>
      </c>
      <c r="F116" s="271">
        <f t="shared" si="8"/>
        <v>7475324.5363761131</v>
      </c>
      <c r="G116" s="33">
        <f>+'A) Base RI'!U117</f>
        <v>78.5</v>
      </c>
      <c r="H116" s="272">
        <f t="shared" si="9"/>
        <v>1.1612194357533743</v>
      </c>
      <c r="I116" s="55">
        <f t="shared" si="10"/>
        <v>8680492.1402040236</v>
      </c>
    </row>
    <row r="117" spans="1:9" x14ac:dyDescent="0.25">
      <c r="A117" s="49">
        <f>'A) Base RI'!A118</f>
        <v>5587</v>
      </c>
      <c r="B117" s="32" t="str">
        <f>'A) Base RI'!B118</f>
        <v>Le Mont-sur-Lausanne</v>
      </c>
      <c r="C117" s="95">
        <f>'A) Base RI'!V118</f>
        <v>9217</v>
      </c>
      <c r="D117" s="109">
        <f>'D) Ecrêtage'!E117</f>
        <v>53.711408678186835</v>
      </c>
      <c r="E117" s="34">
        <f t="shared" si="7"/>
        <v>0</v>
      </c>
      <c r="F117" s="271">
        <f t="shared" si="8"/>
        <v>0</v>
      </c>
      <c r="G117" s="33">
        <f>+'A) Base RI'!U118</f>
        <v>73.5</v>
      </c>
      <c r="H117" s="272">
        <f t="shared" si="9"/>
        <v>1.087256414367809</v>
      </c>
      <c r="I117" s="55">
        <f t="shared" si="10"/>
        <v>0</v>
      </c>
    </row>
    <row r="118" spans="1:9" x14ac:dyDescent="0.25">
      <c r="A118" s="49">
        <f>'A) Base RI'!A119</f>
        <v>5588</v>
      </c>
      <c r="B118" s="32" t="str">
        <f>'A) Base RI'!B119</f>
        <v>Paudex</v>
      </c>
      <c r="C118" s="95">
        <f>'A) Base RI'!V119</f>
        <v>1545</v>
      </c>
      <c r="D118" s="109">
        <f>'D) Ecrêtage'!E118</f>
        <v>139.64808922444811</v>
      </c>
      <c r="E118" s="34">
        <f t="shared" si="7"/>
        <v>0</v>
      </c>
      <c r="F118" s="271">
        <f t="shared" si="8"/>
        <v>0</v>
      </c>
      <c r="G118" s="33">
        <f>+'A) Base RI'!U119</f>
        <v>66.5</v>
      </c>
      <c r="H118" s="272">
        <f t="shared" si="9"/>
        <v>0.98370818442801766</v>
      </c>
      <c r="I118" s="55">
        <f t="shared" si="10"/>
        <v>0</v>
      </c>
    </row>
    <row r="119" spans="1:9" x14ac:dyDescent="0.25">
      <c r="A119" s="49">
        <f>'A) Base RI'!A120</f>
        <v>5589</v>
      </c>
      <c r="B119" s="32" t="str">
        <f>'A) Base RI'!B120</f>
        <v>Prilly</v>
      </c>
      <c r="C119" s="95">
        <f>'A) Base RI'!V120</f>
        <v>12341</v>
      </c>
      <c r="D119" s="109">
        <f>'D) Ecrêtage'!E119</f>
        <v>33.996419773470805</v>
      </c>
      <c r="E119" s="34">
        <f t="shared" si="7"/>
        <v>14.391529325610641</v>
      </c>
      <c r="F119" s="271">
        <f t="shared" si="8"/>
        <v>3476634.7761990903</v>
      </c>
      <c r="G119" s="33">
        <f>+'A) Base RI'!U120</f>
        <v>72.5</v>
      </c>
      <c r="H119" s="272">
        <f t="shared" si="9"/>
        <v>1.072463810090696</v>
      </c>
      <c r="I119" s="55">
        <f t="shared" si="10"/>
        <v>3728564.9783762908</v>
      </c>
    </row>
    <row r="120" spans="1:9" x14ac:dyDescent="0.25">
      <c r="A120" s="49">
        <f>'A) Base RI'!A121</f>
        <v>5590</v>
      </c>
      <c r="B120" s="32" t="str">
        <f>'A) Base RI'!B121</f>
        <v>Pully</v>
      </c>
      <c r="C120" s="95">
        <f>'A) Base RI'!V121</f>
        <v>18946</v>
      </c>
      <c r="D120" s="109">
        <f>'D) Ecrêtage'!E120</f>
        <v>84.61052302723553</v>
      </c>
      <c r="E120" s="34">
        <f t="shared" si="7"/>
        <v>0</v>
      </c>
      <c r="F120" s="271">
        <f t="shared" si="8"/>
        <v>0</v>
      </c>
      <c r="G120" s="33">
        <f>+'A) Base RI'!U121</f>
        <v>61</v>
      </c>
      <c r="H120" s="272">
        <f t="shared" si="9"/>
        <v>0.90234886090389588</v>
      </c>
      <c r="I120" s="55">
        <f t="shared" si="10"/>
        <v>0</v>
      </c>
    </row>
    <row r="121" spans="1:9" x14ac:dyDescent="0.25">
      <c r="A121" s="49">
        <f>'A) Base RI'!A122</f>
        <v>5591</v>
      </c>
      <c r="B121" s="32" t="str">
        <f>'A) Base RI'!B122</f>
        <v>Renens</v>
      </c>
      <c r="C121" s="95">
        <f>'A) Base RI'!V122</f>
        <v>20917</v>
      </c>
      <c r="D121" s="109">
        <f>'D) Ecrêtage'!E121</f>
        <v>27.240257740128996</v>
      </c>
      <c r="E121" s="34">
        <f t="shared" si="7"/>
        <v>21.14769135895245</v>
      </c>
      <c r="F121" s="271">
        <f t="shared" si="8"/>
        <v>9196378.7486267835</v>
      </c>
      <c r="G121" s="33">
        <f>+'A) Base RI'!U122</f>
        <v>77</v>
      </c>
      <c r="H121" s="272">
        <f t="shared" si="9"/>
        <v>1.1390305293377045</v>
      </c>
      <c r="I121" s="55">
        <f t="shared" si="10"/>
        <v>10474956.154038383</v>
      </c>
    </row>
    <row r="122" spans="1:9" x14ac:dyDescent="0.25">
      <c r="A122" s="49">
        <f>'A) Base RI'!A123</f>
        <v>5592</v>
      </c>
      <c r="B122" s="32" t="str">
        <f>'A) Base RI'!B123</f>
        <v>Romanel-sur-Lausanne</v>
      </c>
      <c r="C122" s="95">
        <f>'A) Base RI'!V123</f>
        <v>3482</v>
      </c>
      <c r="D122" s="109">
        <f>'D) Ecrêtage'!E122</f>
        <v>34.775003931057803</v>
      </c>
      <c r="E122" s="34">
        <f t="shared" si="7"/>
        <v>13.612945168023643</v>
      </c>
      <c r="F122" s="271">
        <f t="shared" si="8"/>
        <v>902264.23605373525</v>
      </c>
      <c r="G122" s="33">
        <f>+'A) Base RI'!U123</f>
        <v>70.5</v>
      </c>
      <c r="H122" s="272">
        <f t="shared" si="9"/>
        <v>1.0428786015364697</v>
      </c>
      <c r="I122" s="55">
        <f t="shared" si="10"/>
        <v>940952.06471209065</v>
      </c>
    </row>
    <row r="123" spans="1:9" x14ac:dyDescent="0.25">
      <c r="A123" s="49">
        <f>'A) Base RI'!A124</f>
        <v>5601</v>
      </c>
      <c r="B123" s="32" t="str">
        <f>'A) Base RI'!B124</f>
        <v>Chexbres</v>
      </c>
      <c r="C123" s="95">
        <f>'A) Base RI'!V124</f>
        <v>2229</v>
      </c>
      <c r="D123" s="109">
        <f>'D) Ecrêtage'!E123</f>
        <v>47.542871442101593</v>
      </c>
      <c r="E123" s="34">
        <f t="shared" si="7"/>
        <v>0.84507765697985349</v>
      </c>
      <c r="F123" s="271">
        <f t="shared" si="8"/>
        <v>34330.033325262506</v>
      </c>
      <c r="G123" s="33">
        <f>+'A) Base RI'!U124</f>
        <v>67.5</v>
      </c>
      <c r="H123" s="272">
        <f t="shared" si="9"/>
        <v>0.9985007887051307</v>
      </c>
      <c r="I123" s="55">
        <f t="shared" si="10"/>
        <v>34278.56535154803</v>
      </c>
    </row>
    <row r="124" spans="1:9" x14ac:dyDescent="0.25">
      <c r="A124" s="49">
        <f>'A) Base RI'!A125</f>
        <v>5604</v>
      </c>
      <c r="B124" s="32" t="str">
        <f>'A) Base RI'!B125</f>
        <v>Forel (Lavaux)</v>
      </c>
      <c r="C124" s="95">
        <f>'A) Base RI'!V125</f>
        <v>2110</v>
      </c>
      <c r="D124" s="109">
        <f>'D) Ecrêtage'!E124</f>
        <v>35.933137028642072</v>
      </c>
      <c r="E124" s="34">
        <f t="shared" si="7"/>
        <v>12.454812070439374</v>
      </c>
      <c r="F124" s="271">
        <f t="shared" si="8"/>
        <v>489589.94412052247</v>
      </c>
      <c r="G124" s="33">
        <f>+'A) Base RI'!U125</f>
        <v>69</v>
      </c>
      <c r="H124" s="272">
        <f t="shared" si="9"/>
        <v>1.0206896951208002</v>
      </c>
      <c r="I124" s="55">
        <f t="shared" si="10"/>
        <v>499719.41079858568</v>
      </c>
    </row>
    <row r="125" spans="1:9" x14ac:dyDescent="0.25">
      <c r="A125" s="49">
        <f>'A) Base RI'!A126</f>
        <v>5606</v>
      </c>
      <c r="B125" s="32" t="str">
        <f>'A) Base RI'!B126</f>
        <v>Lutry</v>
      </c>
      <c r="C125" s="95">
        <f>'A) Base RI'!V126</f>
        <v>10704</v>
      </c>
      <c r="D125" s="109">
        <f>'D) Ecrêtage'!E125</f>
        <v>87.923878483838308</v>
      </c>
      <c r="E125" s="34">
        <f t="shared" si="7"/>
        <v>0</v>
      </c>
      <c r="F125" s="271">
        <f t="shared" si="8"/>
        <v>0</v>
      </c>
      <c r="G125" s="33">
        <f>+'A) Base RI'!U126</f>
        <v>54</v>
      </c>
      <c r="H125" s="272">
        <f t="shared" si="9"/>
        <v>0.79880063096410459</v>
      </c>
      <c r="I125" s="55">
        <f t="shared" si="10"/>
        <v>0</v>
      </c>
    </row>
    <row r="126" spans="1:9" x14ac:dyDescent="0.25">
      <c r="A126" s="49">
        <f>'A) Base RI'!A127</f>
        <v>5607</v>
      </c>
      <c r="B126" s="32" t="str">
        <f>'A) Base RI'!B127</f>
        <v>Puidoux</v>
      </c>
      <c r="C126" s="95">
        <f>'A) Base RI'!V127</f>
        <v>2924</v>
      </c>
      <c r="D126" s="109">
        <f>'D) Ecrêtage'!E126</f>
        <v>38.160185145227828</v>
      </c>
      <c r="E126" s="34">
        <f t="shared" si="7"/>
        <v>10.227763953853618</v>
      </c>
      <c r="F126" s="271">
        <f t="shared" si="8"/>
        <v>553111.13341075229</v>
      </c>
      <c r="G126" s="33">
        <f>+'A) Base RI'!U127</f>
        <v>68.5</v>
      </c>
      <c r="H126" s="272">
        <f t="shared" si="9"/>
        <v>1.0132933929822436</v>
      </c>
      <c r="I126" s="55">
        <f t="shared" si="10"/>
        <v>560463.85707003565</v>
      </c>
    </row>
    <row r="127" spans="1:9" x14ac:dyDescent="0.25">
      <c r="A127" s="49">
        <f>'A) Base RI'!A128</f>
        <v>5609</v>
      </c>
      <c r="B127" s="32" t="str">
        <f>'A) Base RI'!B128</f>
        <v>Rivaz</v>
      </c>
      <c r="C127" s="95">
        <f>'A) Base RI'!V128</f>
        <v>331</v>
      </c>
      <c r="D127" s="109">
        <f>'D) Ecrêtage'!E127</f>
        <v>45.00456242081669</v>
      </c>
      <c r="E127" s="34">
        <f t="shared" si="7"/>
        <v>3.3833866782647561</v>
      </c>
      <c r="F127" s="271">
        <f t="shared" si="8"/>
        <v>18747.14258106432</v>
      </c>
      <c r="G127" s="33">
        <f>+'A) Base RI'!U128</f>
        <v>62</v>
      </c>
      <c r="H127" s="272">
        <f t="shared" si="9"/>
        <v>0.91714146518100892</v>
      </c>
      <c r="I127" s="55">
        <f t="shared" si="10"/>
        <v>17193.78181475461</v>
      </c>
    </row>
    <row r="128" spans="1:9" x14ac:dyDescent="0.25">
      <c r="A128" s="49">
        <f>'A) Base RI'!A129</f>
        <v>5610</v>
      </c>
      <c r="B128" s="32" t="str">
        <f>'A) Base RI'!B129</f>
        <v>St-Saphorin (Lavaux)</v>
      </c>
      <c r="C128" s="95">
        <f>'A) Base RI'!V129</f>
        <v>396</v>
      </c>
      <c r="D128" s="109">
        <f>'D) Ecrêtage'!E128</f>
        <v>59.213288264590346</v>
      </c>
      <c r="E128" s="34">
        <f t="shared" si="7"/>
        <v>0</v>
      </c>
      <c r="F128" s="271">
        <f t="shared" si="8"/>
        <v>0</v>
      </c>
      <c r="G128" s="33">
        <f>+'A) Base RI'!U129</f>
        <v>72</v>
      </c>
      <c r="H128" s="272">
        <f t="shared" si="9"/>
        <v>1.0650675079521394</v>
      </c>
      <c r="I128" s="55">
        <f t="shared" si="10"/>
        <v>0</v>
      </c>
    </row>
    <row r="129" spans="1:9" x14ac:dyDescent="0.25">
      <c r="A129" s="49">
        <f>'A) Base RI'!A130</f>
        <v>5611</v>
      </c>
      <c r="B129" s="32" t="str">
        <f>'A) Base RI'!B130</f>
        <v>Savigny</v>
      </c>
      <c r="C129" s="95">
        <f>'A) Base RI'!V130</f>
        <v>3370</v>
      </c>
      <c r="D129" s="109">
        <f>'D) Ecrêtage'!E129</f>
        <v>41.83475765851</v>
      </c>
      <c r="E129" s="34">
        <f t="shared" si="7"/>
        <v>6.553191440571446</v>
      </c>
      <c r="F129" s="271">
        <f t="shared" si="8"/>
        <v>411429.67353254114</v>
      </c>
      <c r="G129" s="33">
        <f>+'A) Base RI'!U130</f>
        <v>69</v>
      </c>
      <c r="H129" s="272">
        <f t="shared" si="9"/>
        <v>1.0206896951208002</v>
      </c>
      <c r="I129" s="55">
        <f t="shared" si="10"/>
        <v>419942.02804157976</v>
      </c>
    </row>
    <row r="130" spans="1:9" x14ac:dyDescent="0.25">
      <c r="A130" s="49">
        <f>'A) Base RI'!A131</f>
        <v>5613</v>
      </c>
      <c r="B130" s="32" t="str">
        <f>'A) Base RI'!B131</f>
        <v>Bourg-en-Lavaux</v>
      </c>
      <c r="C130" s="95">
        <f>'A) Base RI'!V131</f>
        <v>5367</v>
      </c>
      <c r="D130" s="109">
        <f>'D) Ecrêtage'!E130</f>
        <v>66.556842074405324</v>
      </c>
      <c r="E130" s="34">
        <f t="shared" si="7"/>
        <v>0</v>
      </c>
      <c r="F130" s="271">
        <f t="shared" si="8"/>
        <v>0</v>
      </c>
      <c r="G130" s="33">
        <f>+'A) Base RI'!U131</f>
        <v>62.5</v>
      </c>
      <c r="H130" s="272">
        <f t="shared" si="9"/>
        <v>0.9245377673195655</v>
      </c>
      <c r="I130" s="55">
        <f t="shared" si="10"/>
        <v>0</v>
      </c>
    </row>
    <row r="131" spans="1:9" x14ac:dyDescent="0.25">
      <c r="A131" s="49">
        <f>'A) Base RI'!A132</f>
        <v>5621</v>
      </c>
      <c r="B131" s="32" t="str">
        <f>'A) Base RI'!B132</f>
        <v>Aclens</v>
      </c>
      <c r="C131" s="95">
        <f>'A) Base RI'!V132</f>
        <v>517</v>
      </c>
      <c r="D131" s="109">
        <f>'D) Ecrêtage'!E131</f>
        <v>62.420297452594205</v>
      </c>
      <c r="E131" s="34">
        <f t="shared" si="7"/>
        <v>0</v>
      </c>
      <c r="F131" s="271">
        <f t="shared" si="8"/>
        <v>0</v>
      </c>
      <c r="G131" s="33">
        <f>+'A) Base RI'!U132</f>
        <v>62</v>
      </c>
      <c r="H131" s="272">
        <f t="shared" si="9"/>
        <v>0.91714146518100892</v>
      </c>
      <c r="I131" s="55">
        <f t="shared" si="10"/>
        <v>0</v>
      </c>
    </row>
    <row r="132" spans="1:9" x14ac:dyDescent="0.25">
      <c r="A132" s="49">
        <f>'A) Base RI'!A133</f>
        <v>5622</v>
      </c>
      <c r="B132" s="32" t="str">
        <f>'A) Base RI'!B133</f>
        <v>Bremblens</v>
      </c>
      <c r="C132" s="95">
        <f>'A) Base RI'!V133</f>
        <v>607</v>
      </c>
      <c r="D132" s="109">
        <f>'D) Ecrêtage'!E132</f>
        <v>47.189355315437545</v>
      </c>
      <c r="E132" s="34">
        <f t="shared" si="7"/>
        <v>1.1985937836439007</v>
      </c>
      <c r="F132" s="271">
        <f t="shared" si="8"/>
        <v>13357.752393695126</v>
      </c>
      <c r="G132" s="33">
        <f>+'A) Base RI'!U133</f>
        <v>68</v>
      </c>
      <c r="H132" s="272">
        <f t="shared" si="9"/>
        <v>1.0058970908436873</v>
      </c>
      <c r="I132" s="55">
        <f t="shared" si="10"/>
        <v>13436.524273028226</v>
      </c>
    </row>
    <row r="133" spans="1:9" x14ac:dyDescent="0.25">
      <c r="A133" s="49">
        <f>'A) Base RI'!A134</f>
        <v>5623</v>
      </c>
      <c r="B133" s="32" t="str">
        <f>'A) Base RI'!B134</f>
        <v>Buchillon</v>
      </c>
      <c r="C133" s="95">
        <f>'A) Base RI'!V134</f>
        <v>669</v>
      </c>
      <c r="D133" s="109">
        <f>'D) Ecrêtage'!E133</f>
        <v>133.38109290559962</v>
      </c>
      <c r="E133" s="34">
        <f t="shared" si="7"/>
        <v>0</v>
      </c>
      <c r="F133" s="271">
        <f t="shared" si="8"/>
        <v>0</v>
      </c>
      <c r="G133" s="33">
        <f>+'A) Base RI'!U134</f>
        <v>52</v>
      </c>
      <c r="H133" s="272">
        <f t="shared" si="9"/>
        <v>0.7692154224098785</v>
      </c>
      <c r="I133" s="55">
        <f t="shared" si="10"/>
        <v>0</v>
      </c>
    </row>
    <row r="134" spans="1:9" x14ac:dyDescent="0.25">
      <c r="A134" s="49">
        <f>'A) Base RI'!A135</f>
        <v>5624</v>
      </c>
      <c r="B134" s="32" t="str">
        <f>'A) Base RI'!B135</f>
        <v>Bussigny</v>
      </c>
      <c r="C134" s="95">
        <f>'A) Base RI'!V135</f>
        <v>10253</v>
      </c>
      <c r="D134" s="109">
        <f>'D) Ecrêtage'!E134</f>
        <v>43.10734453525798</v>
      </c>
      <c r="E134" s="34">
        <f t="shared" si="7"/>
        <v>5.2806045638234664</v>
      </c>
      <c r="F134" s="271">
        <f t="shared" si="8"/>
        <v>913646.90125488385</v>
      </c>
      <c r="G134" s="33">
        <f>+'A) Base RI'!U135</f>
        <v>62.5</v>
      </c>
      <c r="H134" s="272">
        <f t="shared" si="9"/>
        <v>0.9245377673195655</v>
      </c>
      <c r="I134" s="55">
        <f t="shared" si="10"/>
        <v>844701.06620462984</v>
      </c>
    </row>
    <row r="135" spans="1:9" x14ac:dyDescent="0.25">
      <c r="A135" s="49">
        <f>'A) Base RI'!A136</f>
        <v>5625</v>
      </c>
      <c r="B135" s="32" t="str">
        <f>'A) Base RI'!B136</f>
        <v>Bussy-Chardonney</v>
      </c>
      <c r="C135" s="95">
        <f>'A) Base RI'!V136</f>
        <v>412</v>
      </c>
      <c r="D135" s="109">
        <f>'D) Ecrêtage'!E135</f>
        <v>51.234212962962957</v>
      </c>
      <c r="E135" s="34">
        <f t="shared" ref="E135:E198" si="11">IF($D$314-D135&lt;0,0,$D$314-D135)</f>
        <v>0</v>
      </c>
      <c r="F135" s="271">
        <f t="shared" ref="F135:F198" si="12">(C135*E135*G135)*$E$5</f>
        <v>0</v>
      </c>
      <c r="G135" s="33">
        <f>+'A) Base RI'!U136</f>
        <v>72</v>
      </c>
      <c r="H135" s="272">
        <f t="shared" ref="H135:H198" si="13">G135/$G$314</f>
        <v>1.0650675079521394</v>
      </c>
      <c r="I135" s="55">
        <f t="shared" ref="I135:I198" si="14">F135*H135</f>
        <v>0</v>
      </c>
    </row>
    <row r="136" spans="1:9" x14ac:dyDescent="0.25">
      <c r="A136" s="49">
        <f>'A) Base RI'!A137</f>
        <v>5627</v>
      </c>
      <c r="B136" s="32" t="str">
        <f>'A) Base RI'!B137</f>
        <v>Chavannes-près-Renens</v>
      </c>
      <c r="C136" s="95">
        <f>'A) Base RI'!V137</f>
        <v>8767</v>
      </c>
      <c r="D136" s="109">
        <f>'D) Ecrêtage'!E136</f>
        <v>22.136753117445551</v>
      </c>
      <c r="E136" s="34">
        <f t="shared" si="11"/>
        <v>26.251195981635895</v>
      </c>
      <c r="F136" s="271">
        <f t="shared" si="12"/>
        <v>4815768.1209532153</v>
      </c>
      <c r="G136" s="33">
        <f>+'A) Base RI'!U137</f>
        <v>77.5</v>
      </c>
      <c r="H136" s="272">
        <f t="shared" si="13"/>
        <v>1.1464268314762611</v>
      </c>
      <c r="I136" s="55">
        <f t="shared" si="14"/>
        <v>5520925.7880287822</v>
      </c>
    </row>
    <row r="137" spans="1:9" x14ac:dyDescent="0.25">
      <c r="A137" s="49">
        <f>'A) Base RI'!A138</f>
        <v>5628</v>
      </c>
      <c r="B137" s="32" t="str">
        <f>'A) Base RI'!B138</f>
        <v>Chigny</v>
      </c>
      <c r="C137" s="95">
        <f>'A) Base RI'!V138</f>
        <v>405</v>
      </c>
      <c r="D137" s="109">
        <f>'D) Ecrêtage'!E137</f>
        <v>63.681237355635197</v>
      </c>
      <c r="E137" s="34">
        <f t="shared" si="11"/>
        <v>0</v>
      </c>
      <c r="F137" s="271">
        <f t="shared" si="12"/>
        <v>0</v>
      </c>
      <c r="G137" s="33">
        <f>+'A) Base RI'!U138</f>
        <v>62</v>
      </c>
      <c r="H137" s="272">
        <f t="shared" si="13"/>
        <v>0.91714146518100892</v>
      </c>
      <c r="I137" s="55">
        <f t="shared" si="14"/>
        <v>0</v>
      </c>
    </row>
    <row r="138" spans="1:9" x14ac:dyDescent="0.25">
      <c r="A138" s="49">
        <f>'A) Base RI'!A139</f>
        <v>5629</v>
      </c>
      <c r="B138" s="32" t="str">
        <f>'A) Base RI'!B139</f>
        <v>Clarmont</v>
      </c>
      <c r="C138" s="95">
        <f>'A) Base RI'!V139</f>
        <v>211</v>
      </c>
      <c r="D138" s="109">
        <f>'D) Ecrêtage'!E138</f>
        <v>47.147210884353747</v>
      </c>
      <c r="E138" s="34">
        <f t="shared" si="11"/>
        <v>1.2407382147276991</v>
      </c>
      <c r="F138" s="271">
        <f t="shared" si="12"/>
        <v>5195.3369228382207</v>
      </c>
      <c r="G138" s="33">
        <f>+'A) Base RI'!U139</f>
        <v>73.5</v>
      </c>
      <c r="H138" s="272">
        <f t="shared" si="13"/>
        <v>1.087256414367809</v>
      </c>
      <c r="I138" s="55">
        <f t="shared" si="14"/>
        <v>5648.6633941577702</v>
      </c>
    </row>
    <row r="139" spans="1:9" x14ac:dyDescent="0.25">
      <c r="A139" s="49">
        <f>'A) Base RI'!A140</f>
        <v>5631</v>
      </c>
      <c r="B139" s="32" t="str">
        <f>'A) Base RI'!B140</f>
        <v>Denens</v>
      </c>
      <c r="C139" s="95">
        <f>'A) Base RI'!V140</f>
        <v>733</v>
      </c>
      <c r="D139" s="109">
        <f>'D) Ecrêtage'!E139</f>
        <v>59.058975804510055</v>
      </c>
      <c r="E139" s="34">
        <f t="shared" si="11"/>
        <v>0</v>
      </c>
      <c r="F139" s="271">
        <f t="shared" si="12"/>
        <v>0</v>
      </c>
      <c r="G139" s="33">
        <f>+'A) Base RI'!U140</f>
        <v>68</v>
      </c>
      <c r="H139" s="272">
        <f t="shared" si="13"/>
        <v>1.0058970908436873</v>
      </c>
      <c r="I139" s="55">
        <f t="shared" si="14"/>
        <v>0</v>
      </c>
    </row>
    <row r="140" spans="1:9" x14ac:dyDescent="0.25">
      <c r="A140" s="49">
        <f>'A) Base RI'!A141</f>
        <v>5632</v>
      </c>
      <c r="B140" s="32" t="str">
        <f>'A) Base RI'!B141</f>
        <v>Denges</v>
      </c>
      <c r="C140" s="95">
        <f>'A) Base RI'!V141</f>
        <v>1744</v>
      </c>
      <c r="D140" s="109">
        <f>'D) Ecrêtage'!E140</f>
        <v>46.170421075022197</v>
      </c>
      <c r="E140" s="34">
        <f t="shared" si="11"/>
        <v>2.2175280240592485</v>
      </c>
      <c r="F140" s="271">
        <f t="shared" si="12"/>
        <v>64739.754950079179</v>
      </c>
      <c r="G140" s="33">
        <f>+'A) Base RI'!U141</f>
        <v>62</v>
      </c>
      <c r="H140" s="272">
        <f t="shared" si="13"/>
        <v>0.91714146518100892</v>
      </c>
      <c r="I140" s="55">
        <f t="shared" si="14"/>
        <v>59375.513710375097</v>
      </c>
    </row>
    <row r="141" spans="1:9" x14ac:dyDescent="0.25">
      <c r="A141" s="49">
        <f>'A) Base RI'!A142</f>
        <v>5633</v>
      </c>
      <c r="B141" s="32" t="str">
        <f>'A) Base RI'!B142</f>
        <v>Echandens</v>
      </c>
      <c r="C141" s="95">
        <f>'A) Base RI'!V142</f>
        <v>2775</v>
      </c>
      <c r="D141" s="109">
        <f>'D) Ecrêtage'!E141</f>
        <v>60.845228084282631</v>
      </c>
      <c r="E141" s="34">
        <f t="shared" si="11"/>
        <v>0</v>
      </c>
      <c r="F141" s="271">
        <f t="shared" si="12"/>
        <v>0</v>
      </c>
      <c r="G141" s="33">
        <f>+'A) Base RI'!U142</f>
        <v>60.5</v>
      </c>
      <c r="H141" s="272">
        <f t="shared" si="13"/>
        <v>0.8949525587653393</v>
      </c>
      <c r="I141" s="55">
        <f t="shared" si="14"/>
        <v>0</v>
      </c>
    </row>
    <row r="142" spans="1:9" x14ac:dyDescent="0.25">
      <c r="A142" s="49">
        <f>'A) Base RI'!A143</f>
        <v>5634</v>
      </c>
      <c r="B142" s="32" t="str">
        <f>'A) Base RI'!B143</f>
        <v>Echichens</v>
      </c>
      <c r="C142" s="95">
        <f>'A) Base RI'!V143</f>
        <v>3142</v>
      </c>
      <c r="D142" s="109">
        <f>'D) Ecrêtage'!E142</f>
        <v>48.557890602395695</v>
      </c>
      <c r="E142" s="34">
        <f t="shared" si="11"/>
        <v>0</v>
      </c>
      <c r="F142" s="271">
        <f t="shared" si="12"/>
        <v>0</v>
      </c>
      <c r="G142" s="33">
        <f>+'A) Base RI'!U143</f>
        <v>66</v>
      </c>
      <c r="H142" s="272">
        <f t="shared" si="13"/>
        <v>0.97631188228946109</v>
      </c>
      <c r="I142" s="55">
        <f t="shared" si="14"/>
        <v>0</v>
      </c>
    </row>
    <row r="143" spans="1:9" x14ac:dyDescent="0.25">
      <c r="A143" s="49">
        <f>'A) Base RI'!A144</f>
        <v>5635</v>
      </c>
      <c r="B143" s="32" t="str">
        <f>'A) Base RI'!B144</f>
        <v>Ecublens</v>
      </c>
      <c r="C143" s="95">
        <f>'A) Base RI'!V144</f>
        <v>13214</v>
      </c>
      <c r="D143" s="109">
        <f>'D) Ecrêtage'!E143</f>
        <v>66.018395638968784</v>
      </c>
      <c r="E143" s="34">
        <f t="shared" si="11"/>
        <v>0</v>
      </c>
      <c r="F143" s="271">
        <f t="shared" si="12"/>
        <v>0</v>
      </c>
      <c r="G143" s="33">
        <f>+'A) Base RI'!U144</f>
        <v>62.5</v>
      </c>
      <c r="H143" s="272">
        <f t="shared" si="13"/>
        <v>0.9245377673195655</v>
      </c>
      <c r="I143" s="55">
        <f t="shared" si="14"/>
        <v>0</v>
      </c>
    </row>
    <row r="144" spans="1:9" x14ac:dyDescent="0.25">
      <c r="A144" s="49">
        <f>'A) Base RI'!A145</f>
        <v>5636</v>
      </c>
      <c r="B144" s="32" t="str">
        <f>'A) Base RI'!B145</f>
        <v>Etoy</v>
      </c>
      <c r="C144" s="95">
        <f>'A) Base RI'!V145</f>
        <v>2918</v>
      </c>
      <c r="D144" s="109">
        <f>'D) Ecrêtage'!E144</f>
        <v>64.10676490747089</v>
      </c>
      <c r="E144" s="34">
        <f t="shared" si="11"/>
        <v>0</v>
      </c>
      <c r="F144" s="271">
        <f t="shared" si="12"/>
        <v>0</v>
      </c>
      <c r="G144" s="33">
        <f>+'A) Base RI'!U145</f>
        <v>60</v>
      </c>
      <c r="H144" s="272">
        <f t="shared" si="13"/>
        <v>0.88755625662678284</v>
      </c>
      <c r="I144" s="55">
        <f t="shared" si="14"/>
        <v>0</v>
      </c>
    </row>
    <row r="145" spans="1:9" x14ac:dyDescent="0.25">
      <c r="A145" s="49">
        <f>'A) Base RI'!A146</f>
        <v>5637</v>
      </c>
      <c r="B145" s="32" t="str">
        <f>'A) Base RI'!B146</f>
        <v>Lavigny</v>
      </c>
      <c r="C145" s="95">
        <f>'A) Base RI'!V146</f>
        <v>1026</v>
      </c>
      <c r="D145" s="109">
        <f>'D) Ecrêtage'!E145</f>
        <v>36.940543272183504</v>
      </c>
      <c r="E145" s="34">
        <f t="shared" si="11"/>
        <v>11.447405826897942</v>
      </c>
      <c r="F145" s="271">
        <f t="shared" si="12"/>
        <v>231494.70643821056</v>
      </c>
      <c r="G145" s="33">
        <f>+'A) Base RI'!U146</f>
        <v>73</v>
      </c>
      <c r="H145" s="272">
        <f t="shared" si="13"/>
        <v>1.0798601122292524</v>
      </c>
      <c r="I145" s="55">
        <f t="shared" si="14"/>
        <v>249981.89967484388</v>
      </c>
    </row>
    <row r="146" spans="1:9" x14ac:dyDescent="0.25">
      <c r="A146" s="49">
        <f>'A) Base RI'!A147</f>
        <v>5638</v>
      </c>
      <c r="B146" s="32" t="str">
        <f>'A) Base RI'!B147</f>
        <v>Lonay</v>
      </c>
      <c r="C146" s="95">
        <f>'A) Base RI'!V147</f>
        <v>2751</v>
      </c>
      <c r="D146" s="109">
        <f>'D) Ecrêtage'!E146</f>
        <v>63.308747430686353</v>
      </c>
      <c r="E146" s="34">
        <f t="shared" si="11"/>
        <v>0</v>
      </c>
      <c r="F146" s="271">
        <f t="shared" si="12"/>
        <v>0</v>
      </c>
      <c r="G146" s="33">
        <f>+'A) Base RI'!U147</f>
        <v>55</v>
      </c>
      <c r="H146" s="272">
        <f t="shared" si="13"/>
        <v>0.81359323524121763</v>
      </c>
      <c r="I146" s="55">
        <f t="shared" si="14"/>
        <v>0</v>
      </c>
    </row>
    <row r="147" spans="1:9" x14ac:dyDescent="0.25">
      <c r="A147" s="49">
        <f>'A) Base RI'!A148</f>
        <v>5639</v>
      </c>
      <c r="B147" s="32" t="str">
        <f>'A) Base RI'!B148</f>
        <v>Lully</v>
      </c>
      <c r="C147" s="95">
        <f>'A) Base RI'!V148</f>
        <v>828</v>
      </c>
      <c r="D147" s="109">
        <f>'D) Ecrêtage'!E147</f>
        <v>64.868682782925475</v>
      </c>
      <c r="E147" s="34">
        <f t="shared" si="11"/>
        <v>0</v>
      </c>
      <c r="F147" s="271">
        <f t="shared" si="12"/>
        <v>0</v>
      </c>
      <c r="G147" s="33">
        <f>+'A) Base RI'!U148</f>
        <v>61</v>
      </c>
      <c r="H147" s="272">
        <f t="shared" si="13"/>
        <v>0.90234886090389588</v>
      </c>
      <c r="I147" s="55">
        <f t="shared" si="14"/>
        <v>0</v>
      </c>
    </row>
    <row r="148" spans="1:9" x14ac:dyDescent="0.25">
      <c r="A148" s="49">
        <f>'A) Base RI'!A149</f>
        <v>5640</v>
      </c>
      <c r="B148" s="32" t="str">
        <f>'A) Base RI'!B149</f>
        <v>Lussy-sur-Morges</v>
      </c>
      <c r="C148" s="95">
        <f>'A) Base RI'!V149</f>
        <v>740</v>
      </c>
      <c r="D148" s="109">
        <f>'D) Ecrêtage'!E148</f>
        <v>95.307856903415072</v>
      </c>
      <c r="E148" s="34">
        <f t="shared" si="11"/>
        <v>0</v>
      </c>
      <c r="F148" s="271">
        <f t="shared" si="12"/>
        <v>0</v>
      </c>
      <c r="G148" s="33">
        <f>+'A) Base RI'!U149</f>
        <v>64.5</v>
      </c>
      <c r="H148" s="272">
        <f t="shared" si="13"/>
        <v>0.95412297587379158</v>
      </c>
      <c r="I148" s="55">
        <f t="shared" si="14"/>
        <v>0</v>
      </c>
    </row>
    <row r="149" spans="1:9" x14ac:dyDescent="0.25">
      <c r="A149" s="49">
        <f>'A) Base RI'!A150</f>
        <v>5642</v>
      </c>
      <c r="B149" s="32" t="str">
        <f>'A) Base RI'!B150</f>
        <v>Morges</v>
      </c>
      <c r="C149" s="95">
        <f>'A) Base RI'!V150</f>
        <v>16885</v>
      </c>
      <c r="D149" s="109">
        <f>'D) Ecrêtage'!E149</f>
        <v>59.207984672432922</v>
      </c>
      <c r="E149" s="34">
        <f t="shared" si="11"/>
        <v>0</v>
      </c>
      <c r="F149" s="271">
        <f t="shared" si="12"/>
        <v>0</v>
      </c>
      <c r="G149" s="33">
        <f>+'A) Base RI'!U150</f>
        <v>67</v>
      </c>
      <c r="H149" s="272">
        <f t="shared" si="13"/>
        <v>0.99110448656657413</v>
      </c>
      <c r="I149" s="55">
        <f t="shared" si="14"/>
        <v>0</v>
      </c>
    </row>
    <row r="150" spans="1:9" x14ac:dyDescent="0.25">
      <c r="A150" s="49">
        <f>'A) Base RI'!A151</f>
        <v>5643</v>
      </c>
      <c r="B150" s="32" t="str">
        <f>'A) Base RI'!B151</f>
        <v>Préverenges</v>
      </c>
      <c r="C150" s="95">
        <f>'A) Base RI'!V151</f>
        <v>5208</v>
      </c>
      <c r="D150" s="109">
        <f>'D) Ecrêtage'!E150</f>
        <v>49.491709124423963</v>
      </c>
      <c r="E150" s="34">
        <f t="shared" si="11"/>
        <v>0</v>
      </c>
      <c r="F150" s="271">
        <f t="shared" si="12"/>
        <v>0</v>
      </c>
      <c r="G150" s="33">
        <f>+'A) Base RI'!U151</f>
        <v>62.5</v>
      </c>
      <c r="H150" s="272">
        <f t="shared" si="13"/>
        <v>0.9245377673195655</v>
      </c>
      <c r="I150" s="55">
        <f t="shared" si="14"/>
        <v>0</v>
      </c>
    </row>
    <row r="151" spans="1:9" x14ac:dyDescent="0.25">
      <c r="A151" s="49">
        <f>'A) Base RI'!A152</f>
        <v>5644</v>
      </c>
      <c r="B151" s="32" t="str">
        <f>'A) Base RI'!B152</f>
        <v>Reverolle</v>
      </c>
      <c r="C151" s="95">
        <f>'A) Base RI'!V152</f>
        <v>403</v>
      </c>
      <c r="D151" s="109">
        <f>'D) Ecrêtage'!E151</f>
        <v>40.604114076856</v>
      </c>
      <c r="E151" s="34">
        <f t="shared" si="11"/>
        <v>7.7838350222254462</v>
      </c>
      <c r="F151" s="271">
        <f t="shared" si="12"/>
        <v>62674.972568857971</v>
      </c>
      <c r="G151" s="33">
        <f>+'A) Base RI'!U152</f>
        <v>74</v>
      </c>
      <c r="H151" s="272">
        <f t="shared" si="13"/>
        <v>1.0946527165063655</v>
      </c>
      <c r="I151" s="55">
        <f t="shared" si="14"/>
        <v>68607.328979462327</v>
      </c>
    </row>
    <row r="152" spans="1:9" x14ac:dyDescent="0.25">
      <c r="A152" s="49">
        <f>'A) Base RI'!A153</f>
        <v>5645</v>
      </c>
      <c r="B152" s="32" t="str">
        <f>'A) Base RI'!B153</f>
        <v>Romanel-sur-Morges</v>
      </c>
      <c r="C152" s="95">
        <f>'A) Base RI'!V153</f>
        <v>466</v>
      </c>
      <c r="D152" s="109">
        <f>'D) Ecrêtage'!E152</f>
        <v>57.051548896382585</v>
      </c>
      <c r="E152" s="34">
        <f t="shared" si="11"/>
        <v>0</v>
      </c>
      <c r="F152" s="271">
        <f t="shared" si="12"/>
        <v>0</v>
      </c>
      <c r="G152" s="33">
        <f>+'A) Base RI'!U153</f>
        <v>56</v>
      </c>
      <c r="H152" s="272">
        <f t="shared" si="13"/>
        <v>0.82838583951833067</v>
      </c>
      <c r="I152" s="55">
        <f t="shared" si="14"/>
        <v>0</v>
      </c>
    </row>
    <row r="153" spans="1:9" x14ac:dyDescent="0.25">
      <c r="A153" s="49">
        <f>'A) Base RI'!A154</f>
        <v>5646</v>
      </c>
      <c r="B153" s="32" t="str">
        <f>'A) Base RI'!B154</f>
        <v>Saint-Prex</v>
      </c>
      <c r="C153" s="95">
        <f>'A) Base RI'!V154</f>
        <v>5866</v>
      </c>
      <c r="D153" s="109">
        <f>'D) Ecrêtage'!E153</f>
        <v>90.007287731078847</v>
      </c>
      <c r="E153" s="34">
        <f t="shared" si="11"/>
        <v>0</v>
      </c>
      <c r="F153" s="271">
        <f t="shared" si="12"/>
        <v>0</v>
      </c>
      <c r="G153" s="33">
        <f>+'A) Base RI'!U154</f>
        <v>59</v>
      </c>
      <c r="H153" s="272">
        <f t="shared" si="13"/>
        <v>0.87276365234966979</v>
      </c>
      <c r="I153" s="55">
        <f t="shared" si="14"/>
        <v>0</v>
      </c>
    </row>
    <row r="154" spans="1:9" x14ac:dyDescent="0.25">
      <c r="A154" s="49">
        <f>'A) Base RI'!A155</f>
        <v>5648</v>
      </c>
      <c r="B154" s="32" t="str">
        <f>'A) Base RI'!B155</f>
        <v>Saint-Sulpice</v>
      </c>
      <c r="C154" s="95">
        <f>'A) Base RI'!V155</f>
        <v>4932</v>
      </c>
      <c r="D154" s="109">
        <f>'D) Ecrêtage'!E154</f>
        <v>79.972970166998437</v>
      </c>
      <c r="E154" s="34">
        <f t="shared" si="11"/>
        <v>0</v>
      </c>
      <c r="F154" s="271">
        <f t="shared" si="12"/>
        <v>0</v>
      </c>
      <c r="G154" s="33">
        <f>+'A) Base RI'!U155</f>
        <v>55</v>
      </c>
      <c r="H154" s="272">
        <f t="shared" si="13"/>
        <v>0.81359323524121763</v>
      </c>
      <c r="I154" s="55">
        <f t="shared" si="14"/>
        <v>0</v>
      </c>
    </row>
    <row r="155" spans="1:9" x14ac:dyDescent="0.25">
      <c r="A155" s="49">
        <f>'A) Base RI'!A156</f>
        <v>5649</v>
      </c>
      <c r="B155" s="32" t="str">
        <f>'A) Base RI'!B156</f>
        <v>Tolochenaz</v>
      </c>
      <c r="C155" s="95">
        <f>'A) Base RI'!V156</f>
        <v>1886</v>
      </c>
      <c r="D155" s="109">
        <f>'D) Ecrêtage'!E155</f>
        <v>82.597254357767753</v>
      </c>
      <c r="E155" s="34">
        <f t="shared" si="11"/>
        <v>0</v>
      </c>
      <c r="F155" s="271">
        <f t="shared" si="12"/>
        <v>0</v>
      </c>
      <c r="G155" s="33">
        <f>+'A) Base RI'!U156</f>
        <v>64</v>
      </c>
      <c r="H155" s="272">
        <f t="shared" si="13"/>
        <v>0.946726673735235</v>
      </c>
      <c r="I155" s="55">
        <f t="shared" si="14"/>
        <v>0</v>
      </c>
    </row>
    <row r="156" spans="1:9" x14ac:dyDescent="0.25">
      <c r="A156" s="49">
        <f>'A) Base RI'!A157</f>
        <v>5650</v>
      </c>
      <c r="B156" s="32" t="str">
        <f>'A) Base RI'!B157</f>
        <v>Vaux-sur-Morges</v>
      </c>
      <c r="C156" s="95">
        <f>'A) Base RI'!V157</f>
        <v>196</v>
      </c>
      <c r="D156" s="109">
        <f>'D) Ecrêtage'!E156</f>
        <v>424.11079810495619</v>
      </c>
      <c r="E156" s="34">
        <f t="shared" si="11"/>
        <v>0</v>
      </c>
      <c r="F156" s="271">
        <f t="shared" si="12"/>
        <v>0</v>
      </c>
      <c r="G156" s="33">
        <f>+'A) Base RI'!U157</f>
        <v>56</v>
      </c>
      <c r="H156" s="272">
        <f t="shared" si="13"/>
        <v>0.82838583951833067</v>
      </c>
      <c r="I156" s="55">
        <f t="shared" si="14"/>
        <v>0</v>
      </c>
    </row>
    <row r="157" spans="1:9" x14ac:dyDescent="0.25">
      <c r="A157" s="49">
        <f>'A) Base RI'!A158</f>
        <v>5651</v>
      </c>
      <c r="B157" s="32" t="str">
        <f>'A) Base RI'!B158</f>
        <v>Villars-Sainte-Croix</v>
      </c>
      <c r="C157" s="95">
        <f>'A) Base RI'!V158</f>
        <v>958</v>
      </c>
      <c r="D157" s="109">
        <f>'D) Ecrêtage'!E157</f>
        <v>60.226546696802913</v>
      </c>
      <c r="E157" s="34">
        <f t="shared" si="11"/>
        <v>0</v>
      </c>
      <c r="F157" s="271">
        <f t="shared" si="12"/>
        <v>0</v>
      </c>
      <c r="G157" s="33">
        <f>+'A) Base RI'!U158</f>
        <v>60.5</v>
      </c>
      <c r="H157" s="272">
        <f t="shared" si="13"/>
        <v>0.8949525587653393</v>
      </c>
      <c r="I157" s="55">
        <f t="shared" si="14"/>
        <v>0</v>
      </c>
    </row>
    <row r="158" spans="1:9" x14ac:dyDescent="0.25">
      <c r="A158" s="49">
        <f>'A) Base RI'!A159</f>
        <v>5652</v>
      </c>
      <c r="B158" s="32" t="str">
        <f>'A) Base RI'!B159</f>
        <v>Villars-sous-Yens</v>
      </c>
      <c r="C158" s="95">
        <f>'A) Base RI'!V159</f>
        <v>626</v>
      </c>
      <c r="D158" s="109">
        <f>'D) Ecrêtage'!E158</f>
        <v>41.37800452609158</v>
      </c>
      <c r="E158" s="34">
        <f t="shared" si="11"/>
        <v>7.0099445729898662</v>
      </c>
      <c r="F158" s="271">
        <f t="shared" si="12"/>
        <v>90046.38321123278</v>
      </c>
      <c r="G158" s="33">
        <f>+'A) Base RI'!U159</f>
        <v>76</v>
      </c>
      <c r="H158" s="272">
        <f t="shared" si="13"/>
        <v>1.1242379250605916</v>
      </c>
      <c r="I158" s="55">
        <f t="shared" si="14"/>
        <v>101233.55902060724</v>
      </c>
    </row>
    <row r="159" spans="1:9" x14ac:dyDescent="0.25">
      <c r="A159" s="49">
        <f>'A) Base RI'!A160</f>
        <v>5653</v>
      </c>
      <c r="B159" s="32" t="str">
        <f>'A) Base RI'!B160</f>
        <v>Vufflens-le-Château</v>
      </c>
      <c r="C159" s="95">
        <f>'A) Base RI'!V160</f>
        <v>894</v>
      </c>
      <c r="D159" s="109">
        <f>'D) Ecrêtage'!E159</f>
        <v>75.712938870724088</v>
      </c>
      <c r="E159" s="34">
        <f t="shared" si="11"/>
        <v>0</v>
      </c>
      <c r="F159" s="271">
        <f t="shared" si="12"/>
        <v>0</v>
      </c>
      <c r="G159" s="33">
        <f>+'A) Base RI'!U160</f>
        <v>58.5</v>
      </c>
      <c r="H159" s="272">
        <f t="shared" si="13"/>
        <v>0.86536735021111322</v>
      </c>
      <c r="I159" s="55">
        <f t="shared" si="14"/>
        <v>0</v>
      </c>
    </row>
    <row r="160" spans="1:9" x14ac:dyDescent="0.25">
      <c r="A160" s="49">
        <f>'A) Base RI'!A161</f>
        <v>5654</v>
      </c>
      <c r="B160" s="32" t="str">
        <f>'A) Base RI'!B161</f>
        <v>Vullierens</v>
      </c>
      <c r="C160" s="95">
        <f>'A) Base RI'!V161</f>
        <v>560</v>
      </c>
      <c r="D160" s="109">
        <f>'D) Ecrêtage'!E160</f>
        <v>36.903022321428573</v>
      </c>
      <c r="E160" s="34">
        <f t="shared" si="11"/>
        <v>11.484926777652873</v>
      </c>
      <c r="F160" s="271">
        <f t="shared" si="12"/>
        <v>131975.59058736471</v>
      </c>
      <c r="G160" s="33">
        <f>+'A) Base RI'!U161</f>
        <v>76</v>
      </c>
      <c r="H160" s="272">
        <f t="shared" si="13"/>
        <v>1.1242379250605916</v>
      </c>
      <c r="I160" s="55">
        <f t="shared" si="14"/>
        <v>148371.96412058506</v>
      </c>
    </row>
    <row r="161" spans="1:9" x14ac:dyDescent="0.25">
      <c r="A161" s="49">
        <f>'A) Base RI'!A162</f>
        <v>5655</v>
      </c>
      <c r="B161" s="32" t="str">
        <f>'A) Base RI'!B162</f>
        <v>Yens</v>
      </c>
      <c r="C161" s="95">
        <f>'A) Base RI'!V162</f>
        <v>1499</v>
      </c>
      <c r="D161" s="109">
        <f>'D) Ecrêtage'!E161</f>
        <v>49.0025724375691</v>
      </c>
      <c r="E161" s="34">
        <f t="shared" si="11"/>
        <v>0</v>
      </c>
      <c r="F161" s="271">
        <f t="shared" si="12"/>
        <v>0</v>
      </c>
      <c r="G161" s="33">
        <f>+'A) Base RI'!U162</f>
        <v>71.5</v>
      </c>
      <c r="H161" s="272">
        <f t="shared" si="13"/>
        <v>1.0576712058135829</v>
      </c>
      <c r="I161" s="55">
        <f t="shared" si="14"/>
        <v>0</v>
      </c>
    </row>
    <row r="162" spans="1:9" x14ac:dyDescent="0.25">
      <c r="A162" s="49">
        <f>'A) Base RI'!A163</f>
        <v>5661</v>
      </c>
      <c r="B162" s="32" t="str">
        <f>'A) Base RI'!B163</f>
        <v>Boulens</v>
      </c>
      <c r="C162" s="95">
        <f>'A) Base RI'!V163</f>
        <v>371</v>
      </c>
      <c r="D162" s="109">
        <f>'D) Ecrêtage'!E162</f>
        <v>30.26034757695135</v>
      </c>
      <c r="E162" s="34">
        <f t="shared" si="11"/>
        <v>18.127601522130096</v>
      </c>
      <c r="F162" s="271">
        <f t="shared" si="12"/>
        <v>129832.69187973168</v>
      </c>
      <c r="G162" s="33">
        <f>+'A) Base RI'!U163</f>
        <v>71.5</v>
      </c>
      <c r="H162" s="272">
        <f t="shared" si="13"/>
        <v>1.0576712058135829</v>
      </c>
      <c r="I162" s="55">
        <f t="shared" si="14"/>
        <v>137320.29977445918</v>
      </c>
    </row>
    <row r="163" spans="1:9" x14ac:dyDescent="0.25">
      <c r="A163" s="49">
        <f>'A) Base RI'!A164</f>
        <v>5663</v>
      </c>
      <c r="B163" s="32" t="str">
        <f>'A) Base RI'!B164</f>
        <v>Bussy-sur-Moudon</v>
      </c>
      <c r="C163" s="95">
        <f>'A) Base RI'!V164</f>
        <v>236</v>
      </c>
      <c r="D163" s="109">
        <f>'D) Ecrêtage'!E163</f>
        <v>22.303709381409909</v>
      </c>
      <c r="E163" s="34">
        <f t="shared" si="11"/>
        <v>26.084239717671537</v>
      </c>
      <c r="F163" s="271">
        <f t="shared" si="12"/>
        <v>130473.88875258739</v>
      </c>
      <c r="G163" s="33">
        <f>+'A) Base RI'!U164</f>
        <v>78.5</v>
      </c>
      <c r="H163" s="272">
        <f t="shared" si="13"/>
        <v>1.1612194357533743</v>
      </c>
      <c r="I163" s="55">
        <f t="shared" si="14"/>
        <v>151508.81547782806</v>
      </c>
    </row>
    <row r="164" spans="1:9" x14ac:dyDescent="0.25">
      <c r="A164" s="49">
        <f>'A) Base RI'!A165</f>
        <v>5665</v>
      </c>
      <c r="B164" s="32" t="str">
        <f>'A) Base RI'!B165</f>
        <v>Chavannes-sur-Moudon</v>
      </c>
      <c r="C164" s="95">
        <f>'A) Base RI'!V165</f>
        <v>222</v>
      </c>
      <c r="D164" s="109">
        <f>'D) Ecrêtage'!E164</f>
        <v>22.166078507078513</v>
      </c>
      <c r="E164" s="34">
        <f t="shared" si="11"/>
        <v>26.221870592002933</v>
      </c>
      <c r="F164" s="271">
        <f t="shared" si="12"/>
        <v>110021.72462992593</v>
      </c>
      <c r="G164" s="33">
        <f>+'A) Base RI'!U165</f>
        <v>70</v>
      </c>
      <c r="H164" s="272">
        <f t="shared" si="13"/>
        <v>1.0354822993979134</v>
      </c>
      <c r="I164" s="55">
        <f t="shared" si="14"/>
        <v>113925.54840351974</v>
      </c>
    </row>
    <row r="165" spans="1:9" x14ac:dyDescent="0.25">
      <c r="A165" s="49">
        <f>'A) Base RI'!A166</f>
        <v>5669</v>
      </c>
      <c r="B165" s="32" t="str">
        <f>'A) Base RI'!B166</f>
        <v>Curtilles</v>
      </c>
      <c r="C165" s="95">
        <f>'A) Base RI'!V166</f>
        <v>296</v>
      </c>
      <c r="D165" s="109">
        <f>'D) Ecrêtage'!E165</f>
        <v>31.548572288041466</v>
      </c>
      <c r="E165" s="34">
        <f t="shared" si="11"/>
        <v>16.83937681103998</v>
      </c>
      <c r="F165" s="271">
        <f t="shared" si="12"/>
        <v>98243.618615897023</v>
      </c>
      <c r="G165" s="33">
        <f>+'A) Base RI'!U166</f>
        <v>73</v>
      </c>
      <c r="H165" s="272">
        <f t="shared" si="13"/>
        <v>1.0798601122292524</v>
      </c>
      <c r="I165" s="55">
        <f t="shared" si="14"/>
        <v>106089.36502437043</v>
      </c>
    </row>
    <row r="166" spans="1:9" x14ac:dyDescent="0.25">
      <c r="A166" s="49">
        <f>'A) Base RI'!A167</f>
        <v>5671</v>
      </c>
      <c r="B166" s="32" t="str">
        <f>'A) Base RI'!B167</f>
        <v>Dompierre</v>
      </c>
      <c r="C166" s="95">
        <f>'A) Base RI'!V167</f>
        <v>246</v>
      </c>
      <c r="D166" s="109">
        <f>'D) Ecrêtage'!E166</f>
        <v>26.276335209505937</v>
      </c>
      <c r="E166" s="34">
        <f t="shared" si="11"/>
        <v>22.111613889575509</v>
      </c>
      <c r="F166" s="271">
        <f t="shared" si="12"/>
        <v>114554.96477455721</v>
      </c>
      <c r="G166" s="33">
        <f>+'A) Base RI'!U167</f>
        <v>78</v>
      </c>
      <c r="H166" s="272">
        <f t="shared" si="13"/>
        <v>1.1538231336148177</v>
      </c>
      <c r="I166" s="55">
        <f t="shared" si="14"/>
        <v>132176.16842731467</v>
      </c>
    </row>
    <row r="167" spans="1:9" x14ac:dyDescent="0.25">
      <c r="A167" s="49">
        <f>'A) Base RI'!A168</f>
        <v>5673</v>
      </c>
      <c r="B167" s="32" t="str">
        <f>'A) Base RI'!B168</f>
        <v>Hermenches</v>
      </c>
      <c r="C167" s="95">
        <f>'A) Base RI'!V168</f>
        <v>371</v>
      </c>
      <c r="D167" s="109">
        <f>'D) Ecrêtage'!E167</f>
        <v>27.566833525863174</v>
      </c>
      <c r="E167" s="34">
        <f t="shared" si="11"/>
        <v>20.821115573218272</v>
      </c>
      <c r="F167" s="271">
        <f t="shared" si="12"/>
        <v>153295.35930224168</v>
      </c>
      <c r="G167" s="33">
        <f>+'A) Base RI'!U168</f>
        <v>73.5</v>
      </c>
      <c r="H167" s="272">
        <f t="shared" si="13"/>
        <v>1.087256414367809</v>
      </c>
      <c r="I167" s="55">
        <f t="shared" si="14"/>
        <v>166671.36269418022</v>
      </c>
    </row>
    <row r="168" spans="1:9" x14ac:dyDescent="0.25">
      <c r="A168" s="49">
        <f>'A) Base RI'!A169</f>
        <v>5674</v>
      </c>
      <c r="B168" s="32" t="str">
        <f>'A) Base RI'!B169</f>
        <v>Lovatens</v>
      </c>
      <c r="C168" s="95">
        <f>'A) Base RI'!V169</f>
        <v>146</v>
      </c>
      <c r="D168" s="109">
        <f>'D) Ecrêtage'!E168</f>
        <v>28.922763470319634</v>
      </c>
      <c r="E168" s="34">
        <f t="shared" si="11"/>
        <v>19.465185628761812</v>
      </c>
      <c r="F168" s="271">
        <f t="shared" si="12"/>
        <v>57548.821311434302</v>
      </c>
      <c r="G168" s="33">
        <f>+'A) Base RI'!U169</f>
        <v>75</v>
      </c>
      <c r="H168" s="272">
        <f t="shared" si="13"/>
        <v>1.1094453207834785</v>
      </c>
      <c r="I168" s="55">
        <f t="shared" si="14"/>
        <v>63847.270520575308</v>
      </c>
    </row>
    <row r="169" spans="1:9" x14ac:dyDescent="0.25">
      <c r="A169" s="49">
        <f>'A) Base RI'!A170</f>
        <v>5675</v>
      </c>
      <c r="B169" s="32" t="str">
        <f>'A) Base RI'!B170</f>
        <v>Lucens</v>
      </c>
      <c r="C169" s="95">
        <f>'A) Base RI'!V170</f>
        <v>4373</v>
      </c>
      <c r="D169" s="109">
        <f>'D) Ecrêtage'!E169</f>
        <v>24.04998448853194</v>
      </c>
      <c r="E169" s="34">
        <f t="shared" si="11"/>
        <v>24.337964610549506</v>
      </c>
      <c r="F169" s="271">
        <f t="shared" si="12"/>
        <v>1939685.2781842288</v>
      </c>
      <c r="G169" s="33">
        <f>+'A) Base RI'!U170</f>
        <v>67.5</v>
      </c>
      <c r="H169" s="272">
        <f t="shared" si="13"/>
        <v>0.9985007887051307</v>
      </c>
      <c r="I169" s="55">
        <f t="shared" si="14"/>
        <v>1936777.2801066833</v>
      </c>
    </row>
    <row r="170" spans="1:9" x14ac:dyDescent="0.25">
      <c r="A170" s="49">
        <f>'A) Base RI'!A171</f>
        <v>5678</v>
      </c>
      <c r="B170" s="32" t="str">
        <f>'A) Base RI'!B171</f>
        <v>Moudon</v>
      </c>
      <c r="C170" s="95">
        <f>'A) Base RI'!V171</f>
        <v>6120</v>
      </c>
      <c r="D170" s="109">
        <f>'D) Ecrêtage'!E170</f>
        <v>20.39817843137255</v>
      </c>
      <c r="E170" s="34">
        <f t="shared" si="11"/>
        <v>27.989770667708896</v>
      </c>
      <c r="F170" s="271">
        <f t="shared" si="12"/>
        <v>3353146.5362208588</v>
      </c>
      <c r="G170" s="33">
        <f>+'A) Base RI'!U171</f>
        <v>72.5</v>
      </c>
      <c r="H170" s="272">
        <f t="shared" si="13"/>
        <v>1.072463810090696</v>
      </c>
      <c r="I170" s="55">
        <f t="shared" si="14"/>
        <v>3596128.3100278424</v>
      </c>
    </row>
    <row r="171" spans="1:9" x14ac:dyDescent="0.25">
      <c r="A171" s="49">
        <f>'A) Base RI'!A172</f>
        <v>5680</v>
      </c>
      <c r="B171" s="32" t="str">
        <f>'A) Base RI'!B172</f>
        <v>Ogens</v>
      </c>
      <c r="C171" s="95">
        <f>'A) Base RI'!V172</f>
        <v>321</v>
      </c>
      <c r="D171" s="109">
        <f>'D) Ecrêtage'!E171</f>
        <v>26.484545757115853</v>
      </c>
      <c r="E171" s="34">
        <f t="shared" si="11"/>
        <v>21.903403341965593</v>
      </c>
      <c r="F171" s="271">
        <f t="shared" si="12"/>
        <v>148072.70147655634</v>
      </c>
      <c r="G171" s="33">
        <f>+'A) Base RI'!U172</f>
        <v>78</v>
      </c>
      <c r="H171" s="272">
        <f t="shared" si="13"/>
        <v>1.1538231336148177</v>
      </c>
      <c r="I171" s="55">
        <f t="shared" si="14"/>
        <v>170849.70842049166</v>
      </c>
    </row>
    <row r="172" spans="1:9" x14ac:dyDescent="0.25">
      <c r="A172" s="49">
        <f>'A) Base RI'!A173</f>
        <v>5683</v>
      </c>
      <c r="B172" s="32" t="str">
        <f>'A) Base RI'!B173</f>
        <v>Prévonloup</v>
      </c>
      <c r="C172" s="95">
        <f>'A) Base RI'!V173</f>
        <v>215</v>
      </c>
      <c r="D172" s="109">
        <f>'D) Ecrêtage'!E172</f>
        <v>25.05320930232558</v>
      </c>
      <c r="E172" s="34">
        <f t="shared" si="11"/>
        <v>23.334739796755866</v>
      </c>
      <c r="F172" s="271">
        <f t="shared" si="12"/>
        <v>98207.169277121662</v>
      </c>
      <c r="G172" s="33">
        <f>+'A) Base RI'!U173</f>
        <v>72.5</v>
      </c>
      <c r="H172" s="272">
        <f t="shared" si="13"/>
        <v>1.072463810090696</v>
      </c>
      <c r="I172" s="55">
        <f t="shared" si="14"/>
        <v>105323.63494116384</v>
      </c>
    </row>
    <row r="173" spans="1:9" x14ac:dyDescent="0.25">
      <c r="A173" s="49">
        <f>'A) Base RI'!A174</f>
        <v>5684</v>
      </c>
      <c r="B173" s="32" t="str">
        <f>'A) Base RI'!B174</f>
        <v>Rossenges</v>
      </c>
      <c r="C173" s="95">
        <f>'A) Base RI'!V174</f>
        <v>93</v>
      </c>
      <c r="D173" s="109">
        <f>'D) Ecrêtage'!E173</f>
        <v>34.983673835125444</v>
      </c>
      <c r="E173" s="34">
        <f t="shared" si="11"/>
        <v>13.404275263956002</v>
      </c>
      <c r="F173" s="271">
        <f t="shared" si="12"/>
        <v>25243.601390845142</v>
      </c>
      <c r="G173" s="33">
        <f>+'A) Base RI'!U174</f>
        <v>75</v>
      </c>
      <c r="H173" s="272">
        <f t="shared" si="13"/>
        <v>1.1094453207834785</v>
      </c>
      <c r="I173" s="55">
        <f t="shared" si="14"/>
        <v>28006.395442796453</v>
      </c>
    </row>
    <row r="174" spans="1:9" x14ac:dyDescent="0.25">
      <c r="A174" s="49">
        <f>'A) Base RI'!A175</f>
        <v>5688</v>
      </c>
      <c r="B174" s="32" t="str">
        <f>'A) Base RI'!B175</f>
        <v>Syens</v>
      </c>
      <c r="C174" s="95">
        <f>'A) Base RI'!V175</f>
        <v>161</v>
      </c>
      <c r="D174" s="109">
        <f>'D) Ecrêtage'!E174</f>
        <v>38.227687529861441</v>
      </c>
      <c r="E174" s="34">
        <f t="shared" si="11"/>
        <v>10.160261569220005</v>
      </c>
      <c r="F174" s="271">
        <f t="shared" si="12"/>
        <v>28708.327076909587</v>
      </c>
      <c r="G174" s="33">
        <f>+'A) Base RI'!U175</f>
        <v>65</v>
      </c>
      <c r="H174" s="272">
        <f t="shared" si="13"/>
        <v>0.96151927801234804</v>
      </c>
      <c r="I174" s="55">
        <f t="shared" si="14"/>
        <v>27603.609923932447</v>
      </c>
    </row>
    <row r="175" spans="1:9" x14ac:dyDescent="0.25">
      <c r="A175" s="49">
        <f>'A) Base RI'!A176</f>
        <v>5690</v>
      </c>
      <c r="B175" s="32" t="str">
        <f>'A) Base RI'!B176</f>
        <v>Villars-le-Comte</v>
      </c>
      <c r="C175" s="95">
        <f>'A) Base RI'!V176</f>
        <v>133</v>
      </c>
      <c r="D175" s="109">
        <f>'D) Ecrêtage'!E175</f>
        <v>26.391246688148943</v>
      </c>
      <c r="E175" s="34">
        <f t="shared" si="11"/>
        <v>21.996702410932503</v>
      </c>
      <c r="F175" s="271">
        <f t="shared" si="12"/>
        <v>55293.110850361045</v>
      </c>
      <c r="G175" s="33">
        <f>+'A) Base RI'!U176</f>
        <v>70</v>
      </c>
      <c r="H175" s="272">
        <f t="shared" si="13"/>
        <v>1.0354822993979134</v>
      </c>
      <c r="I175" s="55">
        <f t="shared" si="14"/>
        <v>57255.037564195569</v>
      </c>
    </row>
    <row r="176" spans="1:9" x14ac:dyDescent="0.25">
      <c r="A176" s="49">
        <f>'A) Base RI'!A177</f>
        <v>5692</v>
      </c>
      <c r="B176" s="32" t="str">
        <f>'A) Base RI'!B177</f>
        <v>Vucherens</v>
      </c>
      <c r="C176" s="95">
        <f>'A) Base RI'!V177</f>
        <v>623</v>
      </c>
      <c r="D176" s="109">
        <f>'D) Ecrêtage'!E176</f>
        <v>30.165632569677506</v>
      </c>
      <c r="E176" s="34">
        <f t="shared" si="11"/>
        <v>18.22231652940394</v>
      </c>
      <c r="F176" s="271">
        <f t="shared" si="12"/>
        <v>236018.54148264983</v>
      </c>
      <c r="G176" s="33">
        <f>+'A) Base RI'!U177</f>
        <v>77</v>
      </c>
      <c r="H176" s="272">
        <f t="shared" si="13"/>
        <v>1.1390305293377045</v>
      </c>
      <c r="I176" s="55">
        <f t="shared" si="14"/>
        <v>268832.32423849561</v>
      </c>
    </row>
    <row r="177" spans="1:9" x14ac:dyDescent="0.25">
      <c r="A177" s="49">
        <f>'A) Base RI'!A178</f>
        <v>5693</v>
      </c>
      <c r="B177" s="32" t="str">
        <f>'A) Base RI'!B178</f>
        <v>Montanaire</v>
      </c>
      <c r="C177" s="95">
        <f>'A) Base RI'!V178</f>
        <v>2768</v>
      </c>
      <c r="D177" s="109">
        <f>'D) Ecrêtage'!E177</f>
        <v>27.345704221717593</v>
      </c>
      <c r="E177" s="34">
        <f t="shared" si="11"/>
        <v>21.042244877363853</v>
      </c>
      <c r="F177" s="271">
        <f t="shared" si="12"/>
        <v>1100829.2492082654</v>
      </c>
      <c r="G177" s="33">
        <f>+'A) Base RI'!U178</f>
        <v>70</v>
      </c>
      <c r="H177" s="272">
        <f t="shared" si="13"/>
        <v>1.0354822993979134</v>
      </c>
      <c r="I177" s="55">
        <f t="shared" si="14"/>
        <v>1139889.2022146534</v>
      </c>
    </row>
    <row r="178" spans="1:9" x14ac:dyDescent="0.25">
      <c r="A178" s="49">
        <f>'A) Base RI'!A179</f>
        <v>5701</v>
      </c>
      <c r="B178" s="32" t="str">
        <f>'A) Base RI'!B179</f>
        <v>Arnex-sur-Nyon</v>
      </c>
      <c r="C178" s="95">
        <f>'A) Base RI'!V179</f>
        <v>226</v>
      </c>
      <c r="D178" s="109">
        <f>'D) Ecrêtage'!E178</f>
        <v>64.109357774968387</v>
      </c>
      <c r="E178" s="34">
        <f t="shared" si="11"/>
        <v>0</v>
      </c>
      <c r="F178" s="271">
        <f t="shared" si="12"/>
        <v>0</v>
      </c>
      <c r="G178" s="33">
        <f>+'A) Base RI'!U179</f>
        <v>70</v>
      </c>
      <c r="H178" s="272">
        <f t="shared" si="13"/>
        <v>1.0354822993979134</v>
      </c>
      <c r="I178" s="55">
        <f t="shared" si="14"/>
        <v>0</v>
      </c>
    </row>
    <row r="179" spans="1:9" x14ac:dyDescent="0.25">
      <c r="A179" s="49">
        <f>'A) Base RI'!A180</f>
        <v>5702</v>
      </c>
      <c r="B179" s="32" t="str">
        <f>'A) Base RI'!B180</f>
        <v>Arzier-Le Muids</v>
      </c>
      <c r="C179" s="95">
        <f>'A) Base RI'!V180</f>
        <v>2947</v>
      </c>
      <c r="D179" s="109">
        <f>'D) Ecrêtage'!E179</f>
        <v>59.335922141867457</v>
      </c>
      <c r="E179" s="34">
        <f t="shared" si="11"/>
        <v>0</v>
      </c>
      <c r="F179" s="271">
        <f t="shared" si="12"/>
        <v>0</v>
      </c>
      <c r="G179" s="33">
        <f>+'A) Base RI'!U180</f>
        <v>64</v>
      </c>
      <c r="H179" s="272">
        <f t="shared" si="13"/>
        <v>0.946726673735235</v>
      </c>
      <c r="I179" s="55">
        <f t="shared" si="14"/>
        <v>0</v>
      </c>
    </row>
    <row r="180" spans="1:9" x14ac:dyDescent="0.25">
      <c r="A180" s="49">
        <f>'A) Base RI'!A181</f>
        <v>5703</v>
      </c>
      <c r="B180" s="32" t="str">
        <f>'A) Base RI'!B181</f>
        <v>Bassins</v>
      </c>
      <c r="C180" s="95">
        <f>'A) Base RI'!V181</f>
        <v>1487</v>
      </c>
      <c r="D180" s="109">
        <f>'D) Ecrêtage'!E180</f>
        <v>44.922829739515869</v>
      </c>
      <c r="E180" s="34">
        <f t="shared" si="11"/>
        <v>3.4651193595655769</v>
      </c>
      <c r="F180" s="271">
        <f t="shared" si="12"/>
        <v>100862.7809462188</v>
      </c>
      <c r="G180" s="33">
        <f>+'A) Base RI'!U181</f>
        <v>72.5</v>
      </c>
      <c r="H180" s="272">
        <f t="shared" si="13"/>
        <v>1.072463810090696</v>
      </c>
      <c r="I180" s="55">
        <f t="shared" si="14"/>
        <v>108171.68234992507</v>
      </c>
    </row>
    <row r="181" spans="1:9" x14ac:dyDescent="0.25">
      <c r="A181" s="49">
        <f>'A) Base RI'!A182</f>
        <v>5704</v>
      </c>
      <c r="B181" s="32" t="str">
        <f>'A) Base RI'!B182</f>
        <v>Begnins</v>
      </c>
      <c r="C181" s="95">
        <f>'A) Base RI'!V182</f>
        <v>1941</v>
      </c>
      <c r="D181" s="109">
        <f>'D) Ecrêtage'!E181</f>
        <v>104.24696218444103</v>
      </c>
      <c r="E181" s="34">
        <f t="shared" si="11"/>
        <v>0</v>
      </c>
      <c r="F181" s="271">
        <f t="shared" si="12"/>
        <v>0</v>
      </c>
      <c r="G181" s="33">
        <f>+'A) Base RI'!U182</f>
        <v>62.5</v>
      </c>
      <c r="H181" s="272">
        <f t="shared" si="13"/>
        <v>0.9245377673195655</v>
      </c>
      <c r="I181" s="55">
        <f t="shared" si="14"/>
        <v>0</v>
      </c>
    </row>
    <row r="182" spans="1:9" x14ac:dyDescent="0.25">
      <c r="A182" s="49">
        <f>'A) Base RI'!A183</f>
        <v>5705</v>
      </c>
      <c r="B182" s="32" t="str">
        <f>'A) Base RI'!B183</f>
        <v>Bogis-Bossey</v>
      </c>
      <c r="C182" s="95">
        <f>'A) Base RI'!V183</f>
        <v>888</v>
      </c>
      <c r="D182" s="109">
        <f>'D) Ecrêtage'!E182</f>
        <v>58.50601169961908</v>
      </c>
      <c r="E182" s="34">
        <f t="shared" si="11"/>
        <v>0</v>
      </c>
      <c r="F182" s="271">
        <f t="shared" si="12"/>
        <v>0</v>
      </c>
      <c r="G182" s="33">
        <f>+'A) Base RI'!U183</f>
        <v>74.5</v>
      </c>
      <c r="H182" s="272">
        <f t="shared" si="13"/>
        <v>1.1020490186449221</v>
      </c>
      <c r="I182" s="55">
        <f t="shared" si="14"/>
        <v>0</v>
      </c>
    </row>
    <row r="183" spans="1:9" x14ac:dyDescent="0.25">
      <c r="A183" s="49">
        <f>'A) Base RI'!A184</f>
        <v>5706</v>
      </c>
      <c r="B183" s="32" t="str">
        <f>'A) Base RI'!B184</f>
        <v>Borex</v>
      </c>
      <c r="C183" s="95">
        <f>'A) Base RI'!V184</f>
        <v>1165</v>
      </c>
      <c r="D183" s="109">
        <f>'D) Ecrêtage'!E183</f>
        <v>61.122743317521277</v>
      </c>
      <c r="E183" s="34">
        <f t="shared" si="11"/>
        <v>0</v>
      </c>
      <c r="F183" s="271">
        <f t="shared" si="12"/>
        <v>0</v>
      </c>
      <c r="G183" s="33">
        <f>+'A) Base RI'!U184</f>
        <v>57</v>
      </c>
      <c r="H183" s="272">
        <f t="shared" si="13"/>
        <v>0.84317844379544371</v>
      </c>
      <c r="I183" s="55">
        <f t="shared" si="14"/>
        <v>0</v>
      </c>
    </row>
    <row r="184" spans="1:9" x14ac:dyDescent="0.25">
      <c r="A184" s="49">
        <f>'A) Base RI'!A185</f>
        <v>5707</v>
      </c>
      <c r="B184" s="32" t="str">
        <f>'A) Base RI'!B185</f>
        <v>Chavannes-de-Bogis</v>
      </c>
      <c r="C184" s="95">
        <f>'A) Base RI'!V185</f>
        <v>1330</v>
      </c>
      <c r="D184" s="109">
        <f>'D) Ecrêtage'!E184</f>
        <v>66.181515469708771</v>
      </c>
      <c r="E184" s="34">
        <f t="shared" si="11"/>
        <v>0</v>
      </c>
      <c r="F184" s="271">
        <f t="shared" si="12"/>
        <v>0</v>
      </c>
      <c r="G184" s="33">
        <f>+'A) Base RI'!U185</f>
        <v>58</v>
      </c>
      <c r="H184" s="272">
        <f t="shared" si="13"/>
        <v>0.85797104807255675</v>
      </c>
      <c r="I184" s="55">
        <f t="shared" si="14"/>
        <v>0</v>
      </c>
    </row>
    <row r="185" spans="1:9" x14ac:dyDescent="0.25">
      <c r="A185" s="49">
        <f>'A) Base RI'!A186</f>
        <v>5708</v>
      </c>
      <c r="B185" s="32" t="str">
        <f>'A) Base RI'!B186</f>
        <v>Chavannes-des-Bois</v>
      </c>
      <c r="C185" s="95">
        <f>'A) Base RI'!V186</f>
        <v>1005</v>
      </c>
      <c r="D185" s="109">
        <f>'D) Ecrêtage'!E185</f>
        <v>66.668298507462694</v>
      </c>
      <c r="E185" s="34">
        <f t="shared" si="11"/>
        <v>0</v>
      </c>
      <c r="F185" s="271">
        <f t="shared" si="12"/>
        <v>0</v>
      </c>
      <c r="G185" s="33">
        <f>+'A) Base RI'!U186</f>
        <v>68</v>
      </c>
      <c r="H185" s="272">
        <f t="shared" si="13"/>
        <v>1.0058970908436873</v>
      </c>
      <c r="I185" s="55">
        <f t="shared" si="14"/>
        <v>0</v>
      </c>
    </row>
    <row r="186" spans="1:9" x14ac:dyDescent="0.25">
      <c r="A186" s="49">
        <f>'A) Base RI'!A187</f>
        <v>5709</v>
      </c>
      <c r="B186" s="32" t="str">
        <f>'A) Base RI'!B187</f>
        <v>Chéserex</v>
      </c>
      <c r="C186" s="95">
        <f>'A) Base RI'!V187</f>
        <v>1263</v>
      </c>
      <c r="D186" s="109">
        <f>'D) Ecrêtage'!E186</f>
        <v>69.946465252601016</v>
      </c>
      <c r="E186" s="34">
        <f t="shared" si="11"/>
        <v>0</v>
      </c>
      <c r="F186" s="271">
        <f t="shared" si="12"/>
        <v>0</v>
      </c>
      <c r="G186" s="33">
        <f>+'A) Base RI'!U187</f>
        <v>57</v>
      </c>
      <c r="H186" s="272">
        <f t="shared" si="13"/>
        <v>0.84317844379544371</v>
      </c>
      <c r="I186" s="55">
        <f t="shared" si="14"/>
        <v>0</v>
      </c>
    </row>
    <row r="187" spans="1:9" x14ac:dyDescent="0.25">
      <c r="A187" s="49">
        <f>'A) Base RI'!A188</f>
        <v>5710</v>
      </c>
      <c r="B187" s="32" t="str">
        <f>'A) Base RI'!B188</f>
        <v>Coinsins</v>
      </c>
      <c r="C187" s="95">
        <f>'A) Base RI'!V188</f>
        <v>508</v>
      </c>
      <c r="D187" s="109">
        <f>'D) Ecrêtage'!E187</f>
        <v>85.457214759919736</v>
      </c>
      <c r="E187" s="34">
        <f t="shared" si="11"/>
        <v>0</v>
      </c>
      <c r="F187" s="271">
        <f t="shared" si="12"/>
        <v>0</v>
      </c>
      <c r="G187" s="33">
        <f>+'A) Base RI'!U188</f>
        <v>51</v>
      </c>
      <c r="H187" s="272">
        <f t="shared" si="13"/>
        <v>0.75442281813276535</v>
      </c>
      <c r="I187" s="55">
        <f t="shared" si="14"/>
        <v>0</v>
      </c>
    </row>
    <row r="188" spans="1:9" x14ac:dyDescent="0.25">
      <c r="A188" s="49">
        <f>'A) Base RI'!A189</f>
        <v>5711</v>
      </c>
      <c r="B188" s="32" t="str">
        <f>'A) Base RI'!B189</f>
        <v>Commugny</v>
      </c>
      <c r="C188" s="95">
        <f>'A) Base RI'!V189</f>
        <v>3001</v>
      </c>
      <c r="D188" s="109">
        <f>'D) Ecrêtage'!E188</f>
        <v>95.392547386029548</v>
      </c>
      <c r="E188" s="34">
        <f t="shared" si="11"/>
        <v>0</v>
      </c>
      <c r="F188" s="271">
        <f t="shared" si="12"/>
        <v>0</v>
      </c>
      <c r="G188" s="33">
        <f>+'A) Base RI'!U189</f>
        <v>55.5</v>
      </c>
      <c r="H188" s="272">
        <f t="shared" si="13"/>
        <v>0.82098953737977409</v>
      </c>
      <c r="I188" s="55">
        <f t="shared" si="14"/>
        <v>0</v>
      </c>
    </row>
    <row r="189" spans="1:9" x14ac:dyDescent="0.25">
      <c r="A189" s="49">
        <f>'A) Base RI'!A190</f>
        <v>5712</v>
      </c>
      <c r="B189" s="32" t="str">
        <f>'A) Base RI'!B190</f>
        <v>Coppet</v>
      </c>
      <c r="C189" s="95">
        <f>'A) Base RI'!V190</f>
        <v>3211</v>
      </c>
      <c r="D189" s="109">
        <f>'D) Ecrêtage'!E189</f>
        <v>103.94095127010337</v>
      </c>
      <c r="E189" s="34">
        <f t="shared" si="11"/>
        <v>0</v>
      </c>
      <c r="F189" s="271">
        <f t="shared" si="12"/>
        <v>0</v>
      </c>
      <c r="G189" s="33">
        <f>+'A) Base RI'!U190</f>
        <v>53</v>
      </c>
      <c r="H189" s="272">
        <f t="shared" si="13"/>
        <v>0.78400802668699154</v>
      </c>
      <c r="I189" s="55">
        <f t="shared" si="14"/>
        <v>0</v>
      </c>
    </row>
    <row r="190" spans="1:9" x14ac:dyDescent="0.25">
      <c r="A190" s="49">
        <f>'A) Base RI'!A191</f>
        <v>5713</v>
      </c>
      <c r="B190" s="32" t="str">
        <f>'A) Base RI'!B191</f>
        <v>Crans</v>
      </c>
      <c r="C190" s="95">
        <f>'A) Base RI'!V191</f>
        <v>2373</v>
      </c>
      <c r="D190" s="109">
        <f>'D) Ecrêtage'!E190</f>
        <v>127.47779174944313</v>
      </c>
      <c r="E190" s="34">
        <f t="shared" si="11"/>
        <v>0</v>
      </c>
      <c r="F190" s="271">
        <f t="shared" si="12"/>
        <v>0</v>
      </c>
      <c r="G190" s="33">
        <f>+'A) Base RI'!U191</f>
        <v>56</v>
      </c>
      <c r="H190" s="272">
        <f t="shared" si="13"/>
        <v>0.82838583951833067</v>
      </c>
      <c r="I190" s="55">
        <f t="shared" si="14"/>
        <v>0</v>
      </c>
    </row>
    <row r="191" spans="1:9" x14ac:dyDescent="0.25">
      <c r="A191" s="49">
        <f>'A) Base RI'!A192</f>
        <v>5714</v>
      </c>
      <c r="B191" s="32" t="str">
        <f>'A) Base RI'!B192</f>
        <v>Crassier</v>
      </c>
      <c r="C191" s="95">
        <f>'A) Base RI'!V192</f>
        <v>1228</v>
      </c>
      <c r="D191" s="109">
        <f>'D) Ecrêtage'!E191</f>
        <v>50.599372844414631</v>
      </c>
      <c r="E191" s="34">
        <f t="shared" si="11"/>
        <v>0</v>
      </c>
      <c r="F191" s="271">
        <f t="shared" si="12"/>
        <v>0</v>
      </c>
      <c r="G191" s="33">
        <f>+'A) Base RI'!U192</f>
        <v>68</v>
      </c>
      <c r="H191" s="272">
        <f t="shared" si="13"/>
        <v>1.0058970908436873</v>
      </c>
      <c r="I191" s="55">
        <f t="shared" si="14"/>
        <v>0</v>
      </c>
    </row>
    <row r="192" spans="1:9" x14ac:dyDescent="0.25">
      <c r="A192" s="49">
        <f>'A) Base RI'!A193</f>
        <v>5715</v>
      </c>
      <c r="B192" s="32" t="str">
        <f>'A) Base RI'!B193</f>
        <v>Duillier</v>
      </c>
      <c r="C192" s="95">
        <f>'A) Base RI'!V193</f>
        <v>1146</v>
      </c>
      <c r="D192" s="109">
        <f>'D) Ecrêtage'!E192</f>
        <v>61.426814479877308</v>
      </c>
      <c r="E192" s="34">
        <f t="shared" si="11"/>
        <v>0</v>
      </c>
      <c r="F192" s="271">
        <f t="shared" si="12"/>
        <v>0</v>
      </c>
      <c r="G192" s="33">
        <f>+'A) Base RI'!U193</f>
        <v>66</v>
      </c>
      <c r="H192" s="272">
        <f t="shared" si="13"/>
        <v>0.97631188228946109</v>
      </c>
      <c r="I192" s="55">
        <f t="shared" si="14"/>
        <v>0</v>
      </c>
    </row>
    <row r="193" spans="1:9" x14ac:dyDescent="0.25">
      <c r="A193" s="49">
        <f>'A) Base RI'!A194</f>
        <v>5716</v>
      </c>
      <c r="B193" s="32" t="str">
        <f>'A) Base RI'!B194</f>
        <v>Eysins</v>
      </c>
      <c r="C193" s="95">
        <f>'A) Base RI'!V194</f>
        <v>1736</v>
      </c>
      <c r="D193" s="109">
        <f>'D) Ecrêtage'!E193</f>
        <v>117.42763021337568</v>
      </c>
      <c r="E193" s="34">
        <f t="shared" si="11"/>
        <v>0</v>
      </c>
      <c r="F193" s="271">
        <f t="shared" si="12"/>
        <v>0</v>
      </c>
      <c r="G193" s="33">
        <f>+'A) Base RI'!U194</f>
        <v>59.5</v>
      </c>
      <c r="H193" s="272">
        <f t="shared" si="13"/>
        <v>0.88015995448822626</v>
      </c>
      <c r="I193" s="55">
        <f t="shared" si="14"/>
        <v>0</v>
      </c>
    </row>
    <row r="194" spans="1:9" x14ac:dyDescent="0.25">
      <c r="A194" s="49">
        <f>'A) Base RI'!A195</f>
        <v>5717</v>
      </c>
      <c r="B194" s="32" t="str">
        <f>'A) Base RI'!B195</f>
        <v>Founex</v>
      </c>
      <c r="C194" s="95">
        <f>'A) Base RI'!V195</f>
        <v>3822</v>
      </c>
      <c r="D194" s="109">
        <f>'D) Ecrêtage'!E194</f>
        <v>102.23148090005232</v>
      </c>
      <c r="E194" s="34">
        <f t="shared" si="11"/>
        <v>0</v>
      </c>
      <c r="F194" s="271">
        <f t="shared" si="12"/>
        <v>0</v>
      </c>
      <c r="G194" s="33">
        <f>+'A) Base RI'!U195</f>
        <v>57</v>
      </c>
      <c r="H194" s="272">
        <f t="shared" si="13"/>
        <v>0.84317844379544371</v>
      </c>
      <c r="I194" s="55">
        <f t="shared" si="14"/>
        <v>0</v>
      </c>
    </row>
    <row r="195" spans="1:9" x14ac:dyDescent="0.25">
      <c r="A195" s="49">
        <f>'A) Base RI'!A196</f>
        <v>5718</v>
      </c>
      <c r="B195" s="32" t="str">
        <f>'A) Base RI'!B196</f>
        <v>Genolier</v>
      </c>
      <c r="C195" s="95">
        <f>'A) Base RI'!V196</f>
        <v>2022</v>
      </c>
      <c r="D195" s="109">
        <f>'D) Ecrêtage'!E195</f>
        <v>95.091282258789676</v>
      </c>
      <c r="E195" s="34">
        <f t="shared" si="11"/>
        <v>0</v>
      </c>
      <c r="F195" s="271">
        <f t="shared" si="12"/>
        <v>0</v>
      </c>
      <c r="G195" s="33">
        <f>+'A) Base RI'!U196</f>
        <v>55</v>
      </c>
      <c r="H195" s="272">
        <f t="shared" si="13"/>
        <v>0.81359323524121763</v>
      </c>
      <c r="I195" s="55">
        <f t="shared" si="14"/>
        <v>0</v>
      </c>
    </row>
    <row r="196" spans="1:9" x14ac:dyDescent="0.25">
      <c r="A196" s="49">
        <f>'A) Base RI'!A197</f>
        <v>5719</v>
      </c>
      <c r="B196" s="32" t="str">
        <f>'A) Base RI'!B197</f>
        <v>Gingins</v>
      </c>
      <c r="C196" s="95">
        <f>'A) Base RI'!V197</f>
        <v>1265</v>
      </c>
      <c r="D196" s="109">
        <f>'D) Ecrêtage'!E196</f>
        <v>119.60018880105405</v>
      </c>
      <c r="E196" s="34">
        <f t="shared" si="11"/>
        <v>0</v>
      </c>
      <c r="F196" s="271">
        <f t="shared" si="12"/>
        <v>0</v>
      </c>
      <c r="G196" s="33">
        <f>+'A) Base RI'!U197</f>
        <v>60</v>
      </c>
      <c r="H196" s="272">
        <f t="shared" si="13"/>
        <v>0.88755625662678284</v>
      </c>
      <c r="I196" s="55">
        <f t="shared" si="14"/>
        <v>0</v>
      </c>
    </row>
    <row r="197" spans="1:9" x14ac:dyDescent="0.25">
      <c r="A197" s="49">
        <f>'A) Base RI'!A198</f>
        <v>5720</v>
      </c>
      <c r="B197" s="32" t="str">
        <f>'A) Base RI'!B198</f>
        <v>Givrins</v>
      </c>
      <c r="C197" s="95">
        <f>'A) Base RI'!V198</f>
        <v>1010</v>
      </c>
      <c r="D197" s="109">
        <f>'D) Ecrêtage'!E197</f>
        <v>74.049336518726506</v>
      </c>
      <c r="E197" s="34">
        <f t="shared" si="11"/>
        <v>0</v>
      </c>
      <c r="F197" s="271">
        <f t="shared" si="12"/>
        <v>0</v>
      </c>
      <c r="G197" s="33">
        <f>+'A) Base RI'!U198</f>
        <v>67</v>
      </c>
      <c r="H197" s="272">
        <f t="shared" si="13"/>
        <v>0.99110448656657413</v>
      </c>
      <c r="I197" s="55">
        <f t="shared" si="14"/>
        <v>0</v>
      </c>
    </row>
    <row r="198" spans="1:9" x14ac:dyDescent="0.25">
      <c r="A198" s="49">
        <f>'A) Base RI'!A199</f>
        <v>5721</v>
      </c>
      <c r="B198" s="32" t="str">
        <f>'A) Base RI'!B199</f>
        <v>Gland</v>
      </c>
      <c r="C198" s="95">
        <f>'A) Base RI'!V199</f>
        <v>13306</v>
      </c>
      <c r="D198" s="109">
        <f>'D) Ecrêtage'!E198</f>
        <v>54.338179164828887</v>
      </c>
      <c r="E198" s="34">
        <f t="shared" si="11"/>
        <v>0</v>
      </c>
      <c r="F198" s="271">
        <f t="shared" si="12"/>
        <v>0</v>
      </c>
      <c r="G198" s="33">
        <f>+'A) Base RI'!U199</f>
        <v>61</v>
      </c>
      <c r="H198" s="272">
        <f t="shared" si="13"/>
        <v>0.90234886090389588</v>
      </c>
      <c r="I198" s="55">
        <f t="shared" si="14"/>
        <v>0</v>
      </c>
    </row>
    <row r="199" spans="1:9" x14ac:dyDescent="0.25">
      <c r="A199" s="49">
        <f>'A) Base RI'!A200</f>
        <v>5722</v>
      </c>
      <c r="B199" s="32" t="str">
        <f>'A) Base RI'!B200</f>
        <v>Grens</v>
      </c>
      <c r="C199" s="95">
        <f>'A) Base RI'!V200</f>
        <v>401</v>
      </c>
      <c r="D199" s="109">
        <f>'D) Ecrêtage'!E199</f>
        <v>55.652770895342307</v>
      </c>
      <c r="E199" s="34">
        <f t="shared" ref="E199:E262" si="15">IF($D$314-D199&lt;0,0,$D$314-D199)</f>
        <v>0</v>
      </c>
      <c r="F199" s="271">
        <f t="shared" ref="F199:F262" si="16">(C199*E199*G199)*$E$5</f>
        <v>0</v>
      </c>
      <c r="G199" s="33">
        <f>+'A) Base RI'!U200</f>
        <v>62</v>
      </c>
      <c r="H199" s="272">
        <f t="shared" ref="H199:H262" si="17">G199/$G$314</f>
        <v>0.91714146518100892</v>
      </c>
      <c r="I199" s="55">
        <f t="shared" ref="I199:I262" si="18">F199*H199</f>
        <v>0</v>
      </c>
    </row>
    <row r="200" spans="1:9" x14ac:dyDescent="0.25">
      <c r="A200" s="49">
        <f>'A) Base RI'!A201</f>
        <v>5723</v>
      </c>
      <c r="B200" s="32" t="str">
        <f>'A) Base RI'!B201</f>
        <v>Mies</v>
      </c>
      <c r="C200" s="95">
        <f>'A) Base RI'!V201</f>
        <v>2195</v>
      </c>
      <c r="D200" s="109">
        <f>'D) Ecrêtage'!E200</f>
        <v>112.06143297704573</v>
      </c>
      <c r="E200" s="34">
        <f t="shared" si="15"/>
        <v>0</v>
      </c>
      <c r="F200" s="271">
        <f t="shared" si="16"/>
        <v>0</v>
      </c>
      <c r="G200" s="33">
        <f>+'A) Base RI'!U201</f>
        <v>52</v>
      </c>
      <c r="H200" s="272">
        <f t="shared" si="17"/>
        <v>0.7692154224098785</v>
      </c>
      <c r="I200" s="55">
        <f t="shared" si="18"/>
        <v>0</v>
      </c>
    </row>
    <row r="201" spans="1:9" x14ac:dyDescent="0.25">
      <c r="A201" s="49">
        <f>'A) Base RI'!A202</f>
        <v>5724</v>
      </c>
      <c r="B201" s="32" t="str">
        <f>'A) Base RI'!B202</f>
        <v>Nyon</v>
      </c>
      <c r="C201" s="95">
        <f>'A) Base RI'!V202</f>
        <v>22124</v>
      </c>
      <c r="D201" s="109">
        <f>'D) Ecrêtage'!E201</f>
        <v>66.076343994554279</v>
      </c>
      <c r="E201" s="34">
        <f t="shared" si="15"/>
        <v>0</v>
      </c>
      <c r="F201" s="271">
        <f t="shared" si="16"/>
        <v>0</v>
      </c>
      <c r="G201" s="33">
        <f>+'A) Base RI'!U202</f>
        <v>61</v>
      </c>
      <c r="H201" s="272">
        <f t="shared" si="17"/>
        <v>0.90234886090389588</v>
      </c>
      <c r="I201" s="55">
        <f t="shared" si="18"/>
        <v>0</v>
      </c>
    </row>
    <row r="202" spans="1:9" x14ac:dyDescent="0.25">
      <c r="A202" s="49">
        <f>'A) Base RI'!A203</f>
        <v>5725</v>
      </c>
      <c r="B202" s="32" t="str">
        <f>'A) Base RI'!B203</f>
        <v>Prangins</v>
      </c>
      <c r="C202" s="95">
        <f>'A) Base RI'!V203</f>
        <v>4060</v>
      </c>
      <c r="D202" s="109">
        <f>'D) Ecrêtage'!E202</f>
        <v>87.458765568421754</v>
      </c>
      <c r="E202" s="34">
        <f t="shared" si="15"/>
        <v>0</v>
      </c>
      <c r="F202" s="271">
        <f t="shared" si="16"/>
        <v>0</v>
      </c>
      <c r="G202" s="33">
        <f>+'A) Base RI'!U203</f>
        <v>55</v>
      </c>
      <c r="H202" s="272">
        <f t="shared" si="17"/>
        <v>0.81359323524121763</v>
      </c>
      <c r="I202" s="55">
        <f t="shared" si="18"/>
        <v>0</v>
      </c>
    </row>
    <row r="203" spans="1:9" x14ac:dyDescent="0.25">
      <c r="A203" s="49">
        <f>'A) Base RI'!A204</f>
        <v>5726</v>
      </c>
      <c r="B203" s="32" t="str">
        <f>'A) Base RI'!B204</f>
        <v>La Rippe</v>
      </c>
      <c r="C203" s="95">
        <f>'A) Base RI'!V204</f>
        <v>1165</v>
      </c>
      <c r="D203" s="109">
        <f>'D) Ecrêtage'!E203</f>
        <v>60.400403165236057</v>
      </c>
      <c r="E203" s="34">
        <f t="shared" si="15"/>
        <v>0</v>
      </c>
      <c r="F203" s="271">
        <f t="shared" si="16"/>
        <v>0</v>
      </c>
      <c r="G203" s="33">
        <f>+'A) Base RI'!U204</f>
        <v>64</v>
      </c>
      <c r="H203" s="272">
        <f t="shared" si="17"/>
        <v>0.946726673735235</v>
      </c>
      <c r="I203" s="55">
        <f t="shared" si="18"/>
        <v>0</v>
      </c>
    </row>
    <row r="204" spans="1:9" x14ac:dyDescent="0.25">
      <c r="A204" s="49">
        <f>'A) Base RI'!A205</f>
        <v>5727</v>
      </c>
      <c r="B204" s="32" t="str">
        <f>'A) Base RI'!B205</f>
        <v>Saint-Cergue</v>
      </c>
      <c r="C204" s="95">
        <f>'A) Base RI'!V205</f>
        <v>2755</v>
      </c>
      <c r="D204" s="109">
        <f>'D) Ecrêtage'!E204</f>
        <v>38.538404370382601</v>
      </c>
      <c r="E204" s="34">
        <f t="shared" si="15"/>
        <v>9.8495447286988451</v>
      </c>
      <c r="F204" s="271">
        <f t="shared" si="16"/>
        <v>483554.53386521403</v>
      </c>
      <c r="G204" s="33">
        <f>+'A) Base RI'!U205</f>
        <v>66</v>
      </c>
      <c r="H204" s="272">
        <f t="shared" si="17"/>
        <v>0.97631188228946109</v>
      </c>
      <c r="I204" s="55">
        <f t="shared" si="18"/>
        <v>472100.03714755009</v>
      </c>
    </row>
    <row r="205" spans="1:9" x14ac:dyDescent="0.25">
      <c r="A205" s="49">
        <f>'A) Base RI'!A206</f>
        <v>5728</v>
      </c>
      <c r="B205" s="32" t="str">
        <f>'A) Base RI'!B206</f>
        <v>Signy-Avenex</v>
      </c>
      <c r="C205" s="95">
        <f>'A) Base RI'!V206</f>
        <v>584</v>
      </c>
      <c r="D205" s="109">
        <f>'D) Ecrêtage'!E205</f>
        <v>96.707236655644792</v>
      </c>
      <c r="E205" s="34">
        <f t="shared" si="15"/>
        <v>0</v>
      </c>
      <c r="F205" s="271">
        <f t="shared" si="16"/>
        <v>0</v>
      </c>
      <c r="G205" s="33">
        <f>+'A) Base RI'!U206</f>
        <v>58</v>
      </c>
      <c r="H205" s="272">
        <f t="shared" si="17"/>
        <v>0.85797104807255675</v>
      </c>
      <c r="I205" s="55">
        <f t="shared" si="18"/>
        <v>0</v>
      </c>
    </row>
    <row r="206" spans="1:9" x14ac:dyDescent="0.25">
      <c r="A206" s="49">
        <f>'A) Base RI'!A207</f>
        <v>5729</v>
      </c>
      <c r="B206" s="32" t="str">
        <f>'A) Base RI'!B207</f>
        <v>Tannay</v>
      </c>
      <c r="C206" s="95">
        <f>'A) Base RI'!V207</f>
        <v>1644</v>
      </c>
      <c r="D206" s="109">
        <f>'D) Ecrêtage'!E206</f>
        <v>98.350389562512973</v>
      </c>
      <c r="E206" s="34">
        <f t="shared" si="15"/>
        <v>0</v>
      </c>
      <c r="F206" s="271">
        <f t="shared" si="16"/>
        <v>0</v>
      </c>
      <c r="G206" s="33">
        <f>+'A) Base RI'!U207</f>
        <v>60.5</v>
      </c>
      <c r="H206" s="272">
        <f t="shared" si="17"/>
        <v>0.8949525587653393</v>
      </c>
      <c r="I206" s="55">
        <f t="shared" si="18"/>
        <v>0</v>
      </c>
    </row>
    <row r="207" spans="1:9" x14ac:dyDescent="0.25">
      <c r="A207" s="49">
        <f>'A) Base RI'!A208</f>
        <v>5730</v>
      </c>
      <c r="B207" s="32" t="str">
        <f>'A) Base RI'!B208</f>
        <v>Trélex</v>
      </c>
      <c r="C207" s="95">
        <f>'A) Base RI'!V208</f>
        <v>1439</v>
      </c>
      <c r="D207" s="109">
        <f>'D) Ecrêtage'!E207</f>
        <v>86.925398741340388</v>
      </c>
      <c r="E207" s="34">
        <f t="shared" si="15"/>
        <v>0</v>
      </c>
      <c r="F207" s="271">
        <f t="shared" si="16"/>
        <v>0</v>
      </c>
      <c r="G207" s="33">
        <f>+'A) Base RI'!U208</f>
        <v>55.5</v>
      </c>
      <c r="H207" s="272">
        <f t="shared" si="17"/>
        <v>0.82098953737977409</v>
      </c>
      <c r="I207" s="55">
        <f t="shared" si="18"/>
        <v>0</v>
      </c>
    </row>
    <row r="208" spans="1:9" x14ac:dyDescent="0.25">
      <c r="A208" s="49">
        <f>'A) Base RI'!A209</f>
        <v>5731</v>
      </c>
      <c r="B208" s="32" t="str">
        <f>'A) Base RI'!B209</f>
        <v>Le Vaud</v>
      </c>
      <c r="C208" s="95">
        <f>'A) Base RI'!V209</f>
        <v>1387</v>
      </c>
      <c r="D208" s="109">
        <f>'D) Ecrêtage'!E208</f>
        <v>50.177803380164583</v>
      </c>
      <c r="E208" s="34">
        <f t="shared" si="15"/>
        <v>0</v>
      </c>
      <c r="F208" s="271">
        <f t="shared" si="16"/>
        <v>0</v>
      </c>
      <c r="G208" s="33">
        <f>+'A) Base RI'!U209</f>
        <v>74</v>
      </c>
      <c r="H208" s="272">
        <f t="shared" si="17"/>
        <v>1.0946527165063655</v>
      </c>
      <c r="I208" s="55">
        <f t="shared" si="18"/>
        <v>0</v>
      </c>
    </row>
    <row r="209" spans="1:9" x14ac:dyDescent="0.25">
      <c r="A209" s="49">
        <f>'A) Base RI'!A210</f>
        <v>5732</v>
      </c>
      <c r="B209" s="32" t="str">
        <f>'A) Base RI'!B210</f>
        <v>Vich</v>
      </c>
      <c r="C209" s="95">
        <f>'A) Base RI'!V210</f>
        <v>1157</v>
      </c>
      <c r="D209" s="109">
        <f>'D) Ecrêtage'!E209</f>
        <v>74.795187197322022</v>
      </c>
      <c r="E209" s="34">
        <f t="shared" si="15"/>
        <v>0</v>
      </c>
      <c r="F209" s="271">
        <f t="shared" si="16"/>
        <v>0</v>
      </c>
      <c r="G209" s="33">
        <f>+'A) Base RI'!U210</f>
        <v>63</v>
      </c>
      <c r="H209" s="272">
        <f t="shared" si="17"/>
        <v>0.93193406945812196</v>
      </c>
      <c r="I209" s="55">
        <f t="shared" si="18"/>
        <v>0</v>
      </c>
    </row>
    <row r="210" spans="1:9" x14ac:dyDescent="0.25">
      <c r="A210" s="49">
        <f>'A) Base RI'!A211</f>
        <v>5741</v>
      </c>
      <c r="B210" s="32" t="str">
        <f>'A) Base RI'!B211</f>
        <v>L'Abergement</v>
      </c>
      <c r="C210" s="95">
        <f>'A) Base RI'!V211</f>
        <v>254</v>
      </c>
      <c r="D210" s="109">
        <f>'D) Ecrêtage'!E210</f>
        <v>35.383379103075079</v>
      </c>
      <c r="E210" s="34">
        <f t="shared" si="15"/>
        <v>13.004569996006367</v>
      </c>
      <c r="F210" s="271">
        <f t="shared" si="16"/>
        <v>72240.126236415439</v>
      </c>
      <c r="G210" s="33">
        <f>+'A) Base RI'!U211</f>
        <v>81</v>
      </c>
      <c r="H210" s="272">
        <f t="shared" si="17"/>
        <v>1.1982009464461567</v>
      </c>
      <c r="I210" s="55">
        <f t="shared" si="18"/>
        <v>86558.187627862819</v>
      </c>
    </row>
    <row r="211" spans="1:9" x14ac:dyDescent="0.25">
      <c r="A211" s="49">
        <f>'A) Base RI'!A212</f>
        <v>5742</v>
      </c>
      <c r="B211" s="32" t="str">
        <f>'A) Base RI'!B212</f>
        <v>Agiez</v>
      </c>
      <c r="C211" s="95">
        <f>'A) Base RI'!V212</f>
        <v>375</v>
      </c>
      <c r="D211" s="109">
        <f>'D) Ecrêtage'!E211</f>
        <v>27.093518947368423</v>
      </c>
      <c r="E211" s="34">
        <f t="shared" si="15"/>
        <v>21.294430151713023</v>
      </c>
      <c r="F211" s="271">
        <f t="shared" si="16"/>
        <v>163860.64001743172</v>
      </c>
      <c r="G211" s="33">
        <f>+'A) Base RI'!U212</f>
        <v>76</v>
      </c>
      <c r="H211" s="272">
        <f t="shared" si="17"/>
        <v>1.1242379250605916</v>
      </c>
      <c r="I211" s="55">
        <f t="shared" si="18"/>
        <v>184218.34593229799</v>
      </c>
    </row>
    <row r="212" spans="1:9" x14ac:dyDescent="0.25">
      <c r="A212" s="49">
        <f>'A) Base RI'!A213</f>
        <v>5743</v>
      </c>
      <c r="B212" s="32" t="str">
        <f>'A) Base RI'!B213</f>
        <v>Arnex-sur-Orbe</v>
      </c>
      <c r="C212" s="95">
        <f>'A) Base RI'!V213</f>
        <v>665</v>
      </c>
      <c r="D212" s="109">
        <f>'D) Ecrêtage'!E212</f>
        <v>27.869350100603629</v>
      </c>
      <c r="E212" s="34">
        <f t="shared" si="15"/>
        <v>20.518598998477817</v>
      </c>
      <c r="F212" s="271">
        <f t="shared" si="16"/>
        <v>261572.12596254513</v>
      </c>
      <c r="G212" s="33">
        <f>+'A) Base RI'!U213</f>
        <v>71</v>
      </c>
      <c r="H212" s="272">
        <f t="shared" si="17"/>
        <v>1.0502749036750263</v>
      </c>
      <c r="I212" s="55">
        <f t="shared" si="18"/>
        <v>274722.63939938392</v>
      </c>
    </row>
    <row r="213" spans="1:9" x14ac:dyDescent="0.25">
      <c r="A213" s="49">
        <f>'A) Base RI'!A214</f>
        <v>5744</v>
      </c>
      <c r="B213" s="32" t="str">
        <f>'A) Base RI'!B214</f>
        <v>Ballaigues</v>
      </c>
      <c r="C213" s="95">
        <f>'A) Base RI'!V214</f>
        <v>1173</v>
      </c>
      <c r="D213" s="109">
        <f>'D) Ecrêtage'!E213</f>
        <v>41.982318578267432</v>
      </c>
      <c r="E213" s="34">
        <f t="shared" si="15"/>
        <v>6.4056305208140145</v>
      </c>
      <c r="F213" s="271">
        <f t="shared" si="16"/>
        <v>131867.27074605544</v>
      </c>
      <c r="G213" s="33">
        <f>+'A) Base RI'!U214</f>
        <v>65</v>
      </c>
      <c r="H213" s="272">
        <f t="shared" si="17"/>
        <v>0.96151927801234804</v>
      </c>
      <c r="I213" s="55">
        <f t="shared" si="18"/>
        <v>126792.92296120604</v>
      </c>
    </row>
    <row r="214" spans="1:9" x14ac:dyDescent="0.25">
      <c r="A214" s="49">
        <f>'A) Base RI'!A215</f>
        <v>5745</v>
      </c>
      <c r="B214" s="32" t="str">
        <f>'A) Base RI'!B215</f>
        <v>Baulmes</v>
      </c>
      <c r="C214" s="95">
        <f>'A) Base RI'!V215</f>
        <v>1126</v>
      </c>
      <c r="D214" s="109">
        <f>'D) Ecrêtage'!E214</f>
        <v>25.285588061156968</v>
      </c>
      <c r="E214" s="34">
        <f t="shared" si="15"/>
        <v>23.102361037924478</v>
      </c>
      <c r="F214" s="271">
        <f t="shared" si="16"/>
        <v>537303.85491035972</v>
      </c>
      <c r="G214" s="33">
        <f>+'A) Base RI'!U215</f>
        <v>76.5</v>
      </c>
      <c r="H214" s="272">
        <f t="shared" si="17"/>
        <v>1.1316342271991482</v>
      </c>
      <c r="I214" s="55">
        <f t="shared" si="18"/>
        <v>608031.43262260815</v>
      </c>
    </row>
    <row r="215" spans="1:9" x14ac:dyDescent="0.25">
      <c r="A215" s="49">
        <f>'A) Base RI'!A216</f>
        <v>5746</v>
      </c>
      <c r="B215" s="32" t="str">
        <f>'A) Base RI'!B216</f>
        <v>Bavois</v>
      </c>
      <c r="C215" s="95">
        <f>'A) Base RI'!V216</f>
        <v>978</v>
      </c>
      <c r="D215" s="109">
        <f>'D) Ecrêtage'!E215</f>
        <v>28.024667595783022</v>
      </c>
      <c r="E215" s="34">
        <f t="shared" si="15"/>
        <v>20.363281503298424</v>
      </c>
      <c r="F215" s="271">
        <f t="shared" si="16"/>
        <v>392530.35230455169</v>
      </c>
      <c r="G215" s="33">
        <f>+'A) Base RI'!U216</f>
        <v>73</v>
      </c>
      <c r="H215" s="272">
        <f t="shared" si="17"/>
        <v>1.0798601122292524</v>
      </c>
      <c r="I215" s="55">
        <f t="shared" si="18"/>
        <v>423877.87029298116</v>
      </c>
    </row>
    <row r="216" spans="1:9" x14ac:dyDescent="0.25">
      <c r="A216" s="49">
        <f>'A) Base RI'!A217</f>
        <v>5747</v>
      </c>
      <c r="B216" s="32" t="str">
        <f>'A) Base RI'!B217</f>
        <v>Bofflens</v>
      </c>
      <c r="C216" s="95">
        <f>'A) Base RI'!V217</f>
        <v>206</v>
      </c>
      <c r="D216" s="109">
        <f>'D) Ecrêtage'!E216</f>
        <v>28.195028844800895</v>
      </c>
      <c r="E216" s="34">
        <f t="shared" si="15"/>
        <v>20.192920254280551</v>
      </c>
      <c r="F216" s="271">
        <f t="shared" si="16"/>
        <v>77495.985493472821</v>
      </c>
      <c r="G216" s="33">
        <f>+'A) Base RI'!U217</f>
        <v>69</v>
      </c>
      <c r="H216" s="272">
        <f t="shared" si="17"/>
        <v>1.0206896951208002</v>
      </c>
      <c r="I216" s="55">
        <f t="shared" si="18"/>
        <v>79099.353806418731</v>
      </c>
    </row>
    <row r="217" spans="1:9" x14ac:dyDescent="0.25">
      <c r="A217" s="49">
        <f>'A) Base RI'!A218</f>
        <v>5748</v>
      </c>
      <c r="B217" s="32" t="str">
        <f>'A) Base RI'!B218</f>
        <v>Bretonnières</v>
      </c>
      <c r="C217" s="95">
        <f>'A) Base RI'!V218</f>
        <v>266</v>
      </c>
      <c r="D217" s="109">
        <f>'D) Ecrêtage'!E217</f>
        <v>24.975997618158871</v>
      </c>
      <c r="E217" s="34">
        <f t="shared" si="15"/>
        <v>23.411951480922575</v>
      </c>
      <c r="F217" s="271">
        <f t="shared" si="16"/>
        <v>118541.96805287008</v>
      </c>
      <c r="G217" s="33">
        <f>+'A) Base RI'!U218</f>
        <v>70.5</v>
      </c>
      <c r="H217" s="272">
        <f t="shared" si="17"/>
        <v>1.0428786015364697</v>
      </c>
      <c r="I217" s="55">
        <f t="shared" si="18"/>
        <v>123624.88186635802</v>
      </c>
    </row>
    <row r="218" spans="1:9" x14ac:dyDescent="0.25">
      <c r="A218" s="49">
        <f>'A) Base RI'!A219</f>
        <v>5749</v>
      </c>
      <c r="B218" s="32" t="str">
        <f>'A) Base RI'!B219</f>
        <v>Chavornay</v>
      </c>
      <c r="C218" s="95">
        <f>'A) Base RI'!V219</f>
        <v>5366</v>
      </c>
      <c r="D218" s="109">
        <f>'D) Ecrêtage'!E218</f>
        <v>28.575962892179025</v>
      </c>
      <c r="E218" s="34">
        <f t="shared" si="15"/>
        <v>19.811986206902422</v>
      </c>
      <c r="F218" s="271">
        <f t="shared" si="16"/>
        <v>2023632.1308680477</v>
      </c>
      <c r="G218" s="33">
        <f>+'A) Base RI'!U219</f>
        <v>70.5</v>
      </c>
      <c r="H218" s="272">
        <f t="shared" si="17"/>
        <v>1.0428786015364697</v>
      </c>
      <c r="I218" s="55">
        <f t="shared" si="18"/>
        <v>2110402.6466639359</v>
      </c>
    </row>
    <row r="219" spans="1:9" x14ac:dyDescent="0.25">
      <c r="A219" s="49">
        <f>'A) Base RI'!A220</f>
        <v>5750</v>
      </c>
      <c r="B219" s="32" t="str">
        <f>'A) Base RI'!B220</f>
        <v>Les Clées</v>
      </c>
      <c r="C219" s="95">
        <f>'A) Base RI'!V220</f>
        <v>182</v>
      </c>
      <c r="D219" s="109">
        <f>'D) Ecrêtage'!E219</f>
        <v>26.482275641025645</v>
      </c>
      <c r="E219" s="34">
        <f t="shared" si="15"/>
        <v>21.905673458055801</v>
      </c>
      <c r="F219" s="271">
        <f t="shared" si="16"/>
        <v>86115.583498308974</v>
      </c>
      <c r="G219" s="33">
        <f>+'A) Base RI'!U220</f>
        <v>80</v>
      </c>
      <c r="H219" s="272">
        <f t="shared" si="17"/>
        <v>1.1834083421690438</v>
      </c>
      <c r="I219" s="55">
        <f t="shared" si="18"/>
        <v>101909.89990265369</v>
      </c>
    </row>
    <row r="220" spans="1:9" x14ac:dyDescent="0.25">
      <c r="A220" s="49">
        <f>'A) Base RI'!A221</f>
        <v>5752</v>
      </c>
      <c r="B220" s="32" t="str">
        <f>'A) Base RI'!B221</f>
        <v>Croy</v>
      </c>
      <c r="C220" s="95">
        <f>'A) Base RI'!V221</f>
        <v>390</v>
      </c>
      <c r="D220" s="109">
        <f>'D) Ecrêtage'!E220</f>
        <v>24.797423670923671</v>
      </c>
      <c r="E220" s="34">
        <f t="shared" si="15"/>
        <v>23.590525428157775</v>
      </c>
      <c r="F220" s="271">
        <f t="shared" si="16"/>
        <v>183822.09224129104</v>
      </c>
      <c r="G220" s="33">
        <f>+'A) Base RI'!U221</f>
        <v>74</v>
      </c>
      <c r="H220" s="272">
        <f t="shared" si="17"/>
        <v>1.0946527165063655</v>
      </c>
      <c r="I220" s="55">
        <f t="shared" si="18"/>
        <v>201221.35262581293</v>
      </c>
    </row>
    <row r="221" spans="1:9" x14ac:dyDescent="0.25">
      <c r="A221" s="49">
        <f>'A) Base RI'!A222</f>
        <v>5754</v>
      </c>
      <c r="B221" s="32" t="str">
        <f>'A) Base RI'!B222</f>
        <v>Juriens</v>
      </c>
      <c r="C221" s="95">
        <f>'A) Base RI'!V222</f>
        <v>348</v>
      </c>
      <c r="D221" s="109">
        <f>'D) Ecrêtage'!E221</f>
        <v>26.073832023861485</v>
      </c>
      <c r="E221" s="34">
        <f t="shared" si="15"/>
        <v>22.314117075219961</v>
      </c>
      <c r="F221" s="271">
        <f t="shared" si="16"/>
        <v>165634.12079062575</v>
      </c>
      <c r="G221" s="33">
        <f>+'A) Base RI'!U222</f>
        <v>79</v>
      </c>
      <c r="H221" s="272">
        <f t="shared" si="17"/>
        <v>1.1686157378919306</v>
      </c>
      <c r="I221" s="55">
        <f t="shared" si="18"/>
        <v>193562.64028781827</v>
      </c>
    </row>
    <row r="222" spans="1:9" x14ac:dyDescent="0.25">
      <c r="A222" s="49">
        <f>'A) Base RI'!A223</f>
        <v>5755</v>
      </c>
      <c r="B222" s="32" t="str">
        <f>'A) Base RI'!B223</f>
        <v>Lignerolle</v>
      </c>
      <c r="C222" s="95">
        <f>'A) Base RI'!V223</f>
        <v>409</v>
      </c>
      <c r="D222" s="109">
        <f>'D) Ecrêtage'!E222</f>
        <v>26.275594216569409</v>
      </c>
      <c r="E222" s="34">
        <f t="shared" si="15"/>
        <v>22.112354882512037</v>
      </c>
      <c r="F222" s="271">
        <f t="shared" si="16"/>
        <v>191686.5869495506</v>
      </c>
      <c r="G222" s="33">
        <f>+'A) Base RI'!U223</f>
        <v>78.5</v>
      </c>
      <c r="H222" s="272">
        <f t="shared" si="17"/>
        <v>1.1612194357533743</v>
      </c>
      <c r="I222" s="55">
        <f t="shared" si="18"/>
        <v>222590.19033904726</v>
      </c>
    </row>
    <row r="223" spans="1:9" x14ac:dyDescent="0.25">
      <c r="A223" s="49">
        <f>'A) Base RI'!A224</f>
        <v>5756</v>
      </c>
      <c r="B223" s="32" t="str">
        <f>'A) Base RI'!B224</f>
        <v>Montcherand</v>
      </c>
      <c r="C223" s="95">
        <f>'A) Base RI'!V224</f>
        <v>502</v>
      </c>
      <c r="D223" s="109">
        <f>'D) Ecrêtage'!E223</f>
        <v>35.337698096502869</v>
      </c>
      <c r="E223" s="34">
        <f t="shared" si="15"/>
        <v>13.050251002578577</v>
      </c>
      <c r="F223" s="271">
        <f t="shared" si="16"/>
        <v>127355.83350404404</v>
      </c>
      <c r="G223" s="33">
        <f>+'A) Base RI'!U224</f>
        <v>72</v>
      </c>
      <c r="H223" s="272">
        <f t="shared" si="17"/>
        <v>1.0650675079521394</v>
      </c>
      <c r="I223" s="55">
        <f t="shared" si="18"/>
        <v>135642.56021331978</v>
      </c>
    </row>
    <row r="224" spans="1:9" x14ac:dyDescent="0.25">
      <c r="A224" s="49">
        <f>'A) Base RI'!A225</f>
        <v>5757</v>
      </c>
      <c r="B224" s="32" t="str">
        <f>'A) Base RI'!B225</f>
        <v>Orbe</v>
      </c>
      <c r="C224" s="95">
        <f>'A) Base RI'!V225</f>
        <v>7570</v>
      </c>
      <c r="D224" s="109">
        <f>'D) Ecrêtage'!E224</f>
        <v>28.558100816222979</v>
      </c>
      <c r="E224" s="34">
        <f t="shared" si="15"/>
        <v>19.829848282858467</v>
      </c>
      <c r="F224" s="271">
        <f t="shared" si="16"/>
        <v>3060032.1313527492</v>
      </c>
      <c r="G224" s="33">
        <f>+'A) Base RI'!U225</f>
        <v>75.5</v>
      </c>
      <c r="H224" s="272">
        <f t="shared" si="17"/>
        <v>1.116841622922035</v>
      </c>
      <c r="I224" s="55">
        <f t="shared" si="18"/>
        <v>3417571.2517735781</v>
      </c>
    </row>
    <row r="225" spans="1:9" x14ac:dyDescent="0.25">
      <c r="A225" s="49">
        <f>'A) Base RI'!A226</f>
        <v>5758</v>
      </c>
      <c r="B225" s="32" t="str">
        <f>'A) Base RI'!B226</f>
        <v>La Praz</v>
      </c>
      <c r="C225" s="95">
        <f>'A) Base RI'!V226</f>
        <v>182</v>
      </c>
      <c r="D225" s="109">
        <f>'D) Ecrêtage'!E225</f>
        <v>26.219044750430299</v>
      </c>
      <c r="E225" s="34">
        <f t="shared" si="15"/>
        <v>22.168904348651147</v>
      </c>
      <c r="F225" s="271">
        <f t="shared" si="16"/>
        <v>90418.536654495547</v>
      </c>
      <c r="G225" s="33">
        <f>+'A) Base RI'!U226</f>
        <v>83</v>
      </c>
      <c r="H225" s="272">
        <f t="shared" si="17"/>
        <v>1.227786155000383</v>
      </c>
      <c r="I225" s="55">
        <f t="shared" si="18"/>
        <v>111014.62745978429</v>
      </c>
    </row>
    <row r="226" spans="1:9" x14ac:dyDescent="0.25">
      <c r="A226" s="49">
        <f>'A) Base RI'!A227</f>
        <v>5759</v>
      </c>
      <c r="B226" s="32" t="str">
        <f>'A) Base RI'!B227</f>
        <v>Premier</v>
      </c>
      <c r="C226" s="95">
        <f>'A) Base RI'!V227</f>
        <v>232</v>
      </c>
      <c r="D226" s="109">
        <f>'D) Ecrêtage'!E226</f>
        <v>25.431281175450007</v>
      </c>
      <c r="E226" s="34">
        <f t="shared" si="15"/>
        <v>22.956667923631439</v>
      </c>
      <c r="F226" s="271">
        <f t="shared" si="16"/>
        <v>114321.45145953374</v>
      </c>
      <c r="G226" s="33">
        <f>+'A) Base RI'!U227</f>
        <v>79.5</v>
      </c>
      <c r="H226" s="272">
        <f t="shared" si="17"/>
        <v>1.1760120400304872</v>
      </c>
      <c r="I226" s="55">
        <f t="shared" si="18"/>
        <v>134443.40335017259</v>
      </c>
    </row>
    <row r="227" spans="1:9" x14ac:dyDescent="0.25">
      <c r="A227" s="49">
        <f>'A) Base RI'!A228</f>
        <v>5760</v>
      </c>
      <c r="B227" s="32" t="str">
        <f>'A) Base RI'!B228</f>
        <v>Rances</v>
      </c>
      <c r="C227" s="95">
        <f>'A) Base RI'!V228</f>
        <v>512</v>
      </c>
      <c r="D227" s="109">
        <f>'D) Ecrêtage'!E227</f>
        <v>28.284946214596946</v>
      </c>
      <c r="E227" s="34">
        <f t="shared" si="15"/>
        <v>20.1030028844845</v>
      </c>
      <c r="F227" s="271">
        <f t="shared" si="16"/>
        <v>212596.49258446202</v>
      </c>
      <c r="G227" s="33">
        <f>+'A) Base RI'!U228</f>
        <v>76.5</v>
      </c>
      <c r="H227" s="272">
        <f t="shared" si="17"/>
        <v>1.1316342271991482</v>
      </c>
      <c r="I227" s="55">
        <f t="shared" si="18"/>
        <v>240581.46759106711</v>
      </c>
    </row>
    <row r="228" spans="1:9" x14ac:dyDescent="0.25">
      <c r="A228" s="49">
        <f>'A) Base RI'!A229</f>
        <v>5761</v>
      </c>
      <c r="B228" s="32" t="str">
        <f>'A) Base RI'!B229</f>
        <v>Romainmôtier-Envy</v>
      </c>
      <c r="C228" s="95">
        <f>'A) Base RI'!V229</f>
        <v>551</v>
      </c>
      <c r="D228" s="109">
        <f>'D) Ecrêtage'!E228</f>
        <v>23.437358969815111</v>
      </c>
      <c r="E228" s="34">
        <f t="shared" si="15"/>
        <v>24.950590129266335</v>
      </c>
      <c r="F228" s="271">
        <f t="shared" si="16"/>
        <v>300663.84277600719</v>
      </c>
      <c r="G228" s="33">
        <f>+'A) Base RI'!U229</f>
        <v>81</v>
      </c>
      <c r="H228" s="272">
        <f t="shared" si="17"/>
        <v>1.1982009464461567</v>
      </c>
      <c r="I228" s="55">
        <f t="shared" si="18"/>
        <v>360255.70097635029</v>
      </c>
    </row>
    <row r="229" spans="1:9" x14ac:dyDescent="0.25">
      <c r="A229" s="49">
        <f>'A) Base RI'!A230</f>
        <v>5762</v>
      </c>
      <c r="B229" s="32" t="str">
        <f>'A) Base RI'!B230</f>
        <v>Sergey</v>
      </c>
      <c r="C229" s="95">
        <f>'A) Base RI'!V230</f>
        <v>141</v>
      </c>
      <c r="D229" s="109">
        <f>'D) Ecrêtage'!E229</f>
        <v>27.302328605200948</v>
      </c>
      <c r="E229" s="34">
        <f t="shared" si="15"/>
        <v>21.085620493880498</v>
      </c>
      <c r="F229" s="271">
        <f t="shared" si="16"/>
        <v>62612.906631758386</v>
      </c>
      <c r="G229" s="33">
        <f>+'A) Base RI'!U230</f>
        <v>78</v>
      </c>
      <c r="H229" s="272">
        <f t="shared" si="17"/>
        <v>1.1538231336148177</v>
      </c>
      <c r="I229" s="55">
        <f t="shared" si="18"/>
        <v>72244.220134587464</v>
      </c>
    </row>
    <row r="230" spans="1:9" x14ac:dyDescent="0.25">
      <c r="A230" s="49">
        <f>'A) Base RI'!A231</f>
        <v>5763</v>
      </c>
      <c r="B230" s="32" t="str">
        <f>'A) Base RI'!B231</f>
        <v>Valeyres-sous-Rances</v>
      </c>
      <c r="C230" s="95">
        <f>'A) Base RI'!V231</f>
        <v>614</v>
      </c>
      <c r="D230" s="109">
        <f>'D) Ecrêtage'!E230</f>
        <v>36.912009005556612</v>
      </c>
      <c r="E230" s="34">
        <f t="shared" si="15"/>
        <v>11.475940093524834</v>
      </c>
      <c r="F230" s="271">
        <f t="shared" si="16"/>
        <v>129368.7317119092</v>
      </c>
      <c r="G230" s="33">
        <f>+'A) Base RI'!U231</f>
        <v>68</v>
      </c>
      <c r="H230" s="272">
        <f t="shared" si="17"/>
        <v>1.0058970908436873</v>
      </c>
      <c r="I230" s="55">
        <f t="shared" si="18"/>
        <v>130131.63087514693</v>
      </c>
    </row>
    <row r="231" spans="1:9" x14ac:dyDescent="0.25">
      <c r="A231" s="49">
        <f>'A) Base RI'!A232</f>
        <v>5764</v>
      </c>
      <c r="B231" s="32" t="str">
        <f>'A) Base RI'!B232</f>
        <v>Vallorbe</v>
      </c>
      <c r="C231" s="95">
        <f>'A) Base RI'!V232</f>
        <v>3924</v>
      </c>
      <c r="D231" s="109">
        <f>'D) Ecrêtage'!E231</f>
        <v>21.325785626198467</v>
      </c>
      <c r="E231" s="34">
        <f t="shared" si="15"/>
        <v>27.062163472882979</v>
      </c>
      <c r="F231" s="271">
        <f t="shared" si="16"/>
        <v>2050035.1983718793</v>
      </c>
      <c r="G231" s="33">
        <f>+'A) Base RI'!U232</f>
        <v>71.5</v>
      </c>
      <c r="H231" s="272">
        <f t="shared" si="17"/>
        <v>1.0576712058135829</v>
      </c>
      <c r="I231" s="55">
        <f t="shared" si="18"/>
        <v>2168263.2002222734</v>
      </c>
    </row>
    <row r="232" spans="1:9" x14ac:dyDescent="0.25">
      <c r="A232" s="49">
        <f>'A) Base RI'!A233</f>
        <v>5765</v>
      </c>
      <c r="B232" s="32" t="str">
        <f>'A) Base RI'!B233</f>
        <v>Vaulion</v>
      </c>
      <c r="C232" s="95">
        <f>'A) Base RI'!V233</f>
        <v>492</v>
      </c>
      <c r="D232" s="109">
        <f>'D) Ecrêtage'!E232</f>
        <v>20.893250025092843</v>
      </c>
      <c r="E232" s="34">
        <f t="shared" si="15"/>
        <v>27.494699073988603</v>
      </c>
      <c r="F232" s="271">
        <f t="shared" si="16"/>
        <v>295844.0618240803</v>
      </c>
      <c r="G232" s="33">
        <f>+'A) Base RI'!U233</f>
        <v>81</v>
      </c>
      <c r="H232" s="272">
        <f t="shared" si="17"/>
        <v>1.1982009464461567</v>
      </c>
      <c r="I232" s="55">
        <f t="shared" si="18"/>
        <v>354480.63487808831</v>
      </c>
    </row>
    <row r="233" spans="1:9" x14ac:dyDescent="0.25">
      <c r="A233" s="49">
        <f>'A) Base RI'!A234</f>
        <v>5766</v>
      </c>
      <c r="B233" s="32" t="str">
        <f>'A) Base RI'!B234</f>
        <v>Vuiteboeuf</v>
      </c>
      <c r="C233" s="95">
        <f>'A) Base RI'!V234</f>
        <v>591</v>
      </c>
      <c r="D233" s="109">
        <f>'D) Ecrêtage'!E233</f>
        <v>26.318277334622508</v>
      </c>
      <c r="E233" s="34">
        <f t="shared" si="15"/>
        <v>22.069671764458938</v>
      </c>
      <c r="F233" s="271">
        <f t="shared" si="16"/>
        <v>264124.31425910344</v>
      </c>
      <c r="G233" s="33">
        <f>+'A) Base RI'!U234</f>
        <v>75</v>
      </c>
      <c r="H233" s="272">
        <f t="shared" si="17"/>
        <v>1.1094453207834785</v>
      </c>
      <c r="I233" s="55">
        <f t="shared" si="18"/>
        <v>293031.48455990729</v>
      </c>
    </row>
    <row r="234" spans="1:9" x14ac:dyDescent="0.25">
      <c r="A234" s="49">
        <f>'A) Base RI'!A235</f>
        <v>5785</v>
      </c>
      <c r="B234" s="32" t="str">
        <f>'A) Base RI'!B235</f>
        <v>Corcelles-le-Jorat</v>
      </c>
      <c r="C234" s="95">
        <f>'A) Base RI'!V235</f>
        <v>489</v>
      </c>
      <c r="D234" s="109">
        <f>'D) Ecrêtage'!E234</f>
        <v>29.815830079940508</v>
      </c>
      <c r="E234" s="34">
        <f t="shared" si="15"/>
        <v>18.572119019140938</v>
      </c>
      <c r="F234" s="271">
        <f t="shared" si="16"/>
        <v>188809.9193054827</v>
      </c>
      <c r="G234" s="33">
        <f>+'A) Base RI'!U235</f>
        <v>77</v>
      </c>
      <c r="H234" s="272">
        <f t="shared" si="17"/>
        <v>1.1390305293377045</v>
      </c>
      <c r="I234" s="55">
        <f t="shared" si="18"/>
        <v>215060.26233073324</v>
      </c>
    </row>
    <row r="235" spans="1:9" x14ac:dyDescent="0.25">
      <c r="A235" s="49">
        <f>'A) Base RI'!A236</f>
        <v>5788</v>
      </c>
      <c r="B235" s="32" t="str">
        <f>'A) Base RI'!B236</f>
        <v>Essertes</v>
      </c>
      <c r="C235" s="95">
        <f>'A) Base RI'!V236</f>
        <v>397</v>
      </c>
      <c r="D235" s="109">
        <f>'D) Ecrêtage'!E235</f>
        <v>33.538919518768381</v>
      </c>
      <c r="E235" s="34">
        <f t="shared" si="15"/>
        <v>14.849029580313065</v>
      </c>
      <c r="F235" s="271">
        <f t="shared" si="16"/>
        <v>113804.22487103366</v>
      </c>
      <c r="G235" s="33">
        <f>+'A) Base RI'!U236</f>
        <v>71.5</v>
      </c>
      <c r="H235" s="272">
        <f t="shared" si="17"/>
        <v>1.0576712058135829</v>
      </c>
      <c r="I235" s="55">
        <f t="shared" si="18"/>
        <v>120367.4517460263</v>
      </c>
    </row>
    <row r="236" spans="1:9" x14ac:dyDescent="0.25">
      <c r="A236" s="49">
        <f>'A) Base RI'!A237</f>
        <v>5790</v>
      </c>
      <c r="B236" s="32" t="str">
        <f>'A) Base RI'!B237</f>
        <v>Maracon</v>
      </c>
      <c r="C236" s="95">
        <f>'A) Base RI'!V237</f>
        <v>547</v>
      </c>
      <c r="D236" s="109">
        <f>'D) Ecrêtage'!E236</f>
        <v>27.736838398586556</v>
      </c>
      <c r="E236" s="34">
        <f t="shared" si="15"/>
        <v>20.65111070049489</v>
      </c>
      <c r="F236" s="271">
        <f t="shared" si="16"/>
        <v>227222.20918202875</v>
      </c>
      <c r="G236" s="33">
        <f>+'A) Base RI'!U237</f>
        <v>74.5</v>
      </c>
      <c r="H236" s="272">
        <f t="shared" si="17"/>
        <v>1.1020490186449221</v>
      </c>
      <c r="I236" s="55">
        <f t="shared" si="18"/>
        <v>250410.012643386</v>
      </c>
    </row>
    <row r="237" spans="1:9" x14ac:dyDescent="0.25">
      <c r="A237" s="49">
        <f>'A) Base RI'!A238</f>
        <v>5792</v>
      </c>
      <c r="B237" s="32" t="str">
        <f>'A) Base RI'!B238</f>
        <v>Montpreveyres</v>
      </c>
      <c r="C237" s="95">
        <f>'A) Base RI'!V238</f>
        <v>662</v>
      </c>
      <c r="D237" s="109">
        <f>'D) Ecrêtage'!E237</f>
        <v>30.431776875212581</v>
      </c>
      <c r="E237" s="34">
        <f t="shared" si="15"/>
        <v>17.956172223868865</v>
      </c>
      <c r="F237" s="271">
        <f t="shared" si="16"/>
        <v>242316.20985872124</v>
      </c>
      <c r="G237" s="33">
        <f>+'A) Base RI'!U238</f>
        <v>75.5</v>
      </c>
      <c r="H237" s="272">
        <f t="shared" si="17"/>
        <v>1.116841622922035</v>
      </c>
      <c r="I237" s="55">
        <f t="shared" si="18"/>
        <v>270628.82907893066</v>
      </c>
    </row>
    <row r="238" spans="1:9" x14ac:dyDescent="0.25">
      <c r="A238" s="49">
        <f>'A) Base RI'!A239</f>
        <v>5798</v>
      </c>
      <c r="B238" s="32" t="str">
        <f>'A) Base RI'!B239</f>
        <v>Ropraz</v>
      </c>
      <c r="C238" s="95">
        <f>'A) Base RI'!V239</f>
        <v>534</v>
      </c>
      <c r="D238" s="109">
        <f>'D) Ecrêtage'!E238</f>
        <v>32.668174459345181</v>
      </c>
      <c r="E238" s="34">
        <f t="shared" si="15"/>
        <v>15.719774639736265</v>
      </c>
      <c r="F238" s="271">
        <f t="shared" si="16"/>
        <v>175651.97583568105</v>
      </c>
      <c r="G238" s="33">
        <f>+'A) Base RI'!U239</f>
        <v>77.5</v>
      </c>
      <c r="H238" s="272">
        <f t="shared" si="17"/>
        <v>1.1464268314762611</v>
      </c>
      <c r="I238" s="55">
        <f t="shared" si="18"/>
        <v>201372.1380998446</v>
      </c>
    </row>
    <row r="239" spans="1:9" x14ac:dyDescent="0.25">
      <c r="A239" s="49">
        <f>'A) Base RI'!A240</f>
        <v>5799</v>
      </c>
      <c r="B239" s="32" t="str">
        <f>'A) Base RI'!B240</f>
        <v>Servion</v>
      </c>
      <c r="C239" s="95">
        <f>'A) Base RI'!V240</f>
        <v>2107</v>
      </c>
      <c r="D239" s="109">
        <f>'D) Ecrêtage'!E239</f>
        <v>34.050433544499711</v>
      </c>
      <c r="E239" s="34">
        <f t="shared" si="15"/>
        <v>14.337515554581735</v>
      </c>
      <c r="F239" s="271">
        <f t="shared" si="16"/>
        <v>562796.37644537422</v>
      </c>
      <c r="G239" s="33">
        <f>+'A) Base RI'!U240</f>
        <v>69</v>
      </c>
      <c r="H239" s="272">
        <f t="shared" si="17"/>
        <v>1.0206896951208002</v>
      </c>
      <c r="I239" s="55">
        <f t="shared" si="18"/>
        <v>574440.46188912017</v>
      </c>
    </row>
    <row r="240" spans="1:9" x14ac:dyDescent="0.25">
      <c r="A240" s="49">
        <f>'A) Base RI'!A241</f>
        <v>5803</v>
      </c>
      <c r="B240" s="32" t="str">
        <f>'A) Base RI'!B241</f>
        <v>Vulliens</v>
      </c>
      <c r="C240" s="95">
        <f>'A) Base RI'!V241</f>
        <v>631</v>
      </c>
      <c r="D240" s="109">
        <f>'D) Ecrêtage'!E240</f>
        <v>28.520107807156567</v>
      </c>
      <c r="E240" s="34">
        <f t="shared" si="15"/>
        <v>19.867841291924879</v>
      </c>
      <c r="F240" s="271">
        <f t="shared" si="16"/>
        <v>257251.19318879838</v>
      </c>
      <c r="G240" s="33">
        <f>+'A) Base RI'!U241</f>
        <v>76</v>
      </c>
      <c r="H240" s="272">
        <f t="shared" si="17"/>
        <v>1.1242379250605916</v>
      </c>
      <c r="I240" s="55">
        <f t="shared" si="18"/>
        <v>289211.54764993611</v>
      </c>
    </row>
    <row r="241" spans="1:9" x14ac:dyDescent="0.25">
      <c r="A241" s="49">
        <f>'A) Base RI'!A242</f>
        <v>5804</v>
      </c>
      <c r="B241" s="32" t="str">
        <f>'A) Base RI'!B242</f>
        <v>Jorat-Menthue</v>
      </c>
      <c r="C241" s="95">
        <f>'A) Base RI'!V242</f>
        <v>1603</v>
      </c>
      <c r="D241" s="109">
        <f>'D) Ecrêtage'!E241</f>
        <v>29.229210567066179</v>
      </c>
      <c r="E241" s="34">
        <f t="shared" si="15"/>
        <v>19.158738532015267</v>
      </c>
      <c r="F241" s="271">
        <f t="shared" si="16"/>
        <v>584592.60049492773</v>
      </c>
      <c r="G241" s="33">
        <f>+'A) Base RI'!U242</f>
        <v>70.5</v>
      </c>
      <c r="H241" s="272">
        <f t="shared" si="17"/>
        <v>1.0428786015364697</v>
      </c>
      <c r="I241" s="55">
        <f t="shared" si="18"/>
        <v>609659.11367271841</v>
      </c>
    </row>
    <row r="242" spans="1:9" x14ac:dyDescent="0.25">
      <c r="A242" s="49">
        <f>'A) Base RI'!A243</f>
        <v>5805</v>
      </c>
      <c r="B242" s="32" t="str">
        <f>'A) Base RI'!B243</f>
        <v>Oron</v>
      </c>
      <c r="C242" s="95">
        <f>'A) Base RI'!V243</f>
        <v>5703</v>
      </c>
      <c r="D242" s="109">
        <f>'D) Ecrêtage'!E242</f>
        <v>28.426369462758775</v>
      </c>
      <c r="E242" s="34">
        <f t="shared" si="15"/>
        <v>19.961579636322671</v>
      </c>
      <c r="F242" s="271">
        <f t="shared" si="16"/>
        <v>2120855.7558466149</v>
      </c>
      <c r="G242" s="33">
        <f>+'A) Base RI'!U243</f>
        <v>69</v>
      </c>
      <c r="H242" s="272">
        <f t="shared" si="17"/>
        <v>1.0206896951208002</v>
      </c>
      <c r="I242" s="55">
        <f t="shared" si="18"/>
        <v>2164735.6148302755</v>
      </c>
    </row>
    <row r="243" spans="1:9" x14ac:dyDescent="0.25">
      <c r="A243" s="49">
        <f>'A) Base RI'!A244</f>
        <v>5806</v>
      </c>
      <c r="B243" s="32" t="str">
        <f>'A) Base RI'!B244</f>
        <v>Jorat-Mézières</v>
      </c>
      <c r="C243" s="95">
        <f>'A) Base RI'!V244</f>
        <v>3095</v>
      </c>
      <c r="D243" s="109">
        <f>'D) Ecrêtage'!E243</f>
        <v>32.981500697103144</v>
      </c>
      <c r="E243" s="34">
        <f t="shared" si="15"/>
        <v>15.406448401978302</v>
      </c>
      <c r="F243" s="271">
        <f t="shared" si="16"/>
        <v>939831.09831926133</v>
      </c>
      <c r="G243" s="33">
        <f>+'A) Base RI'!U244</f>
        <v>73</v>
      </c>
      <c r="H243" s="272">
        <f t="shared" si="17"/>
        <v>1.0798601122292524</v>
      </c>
      <c r="I243" s="55">
        <f t="shared" si="18"/>
        <v>1014886.115307579</v>
      </c>
    </row>
    <row r="244" spans="1:9" x14ac:dyDescent="0.25">
      <c r="A244" s="49">
        <f>'A) Base RI'!A245</f>
        <v>5812</v>
      </c>
      <c r="B244" s="32" t="str">
        <f>'A) Base RI'!B245</f>
        <v>Champtauroz</v>
      </c>
      <c r="C244" s="95">
        <f>'A) Base RI'!V245</f>
        <v>169</v>
      </c>
      <c r="D244" s="109">
        <f>'D) Ecrêtage'!E244</f>
        <v>19.817458695151</v>
      </c>
      <c r="E244" s="34">
        <f t="shared" si="15"/>
        <v>28.570490403930446</v>
      </c>
      <c r="F244" s="271">
        <f t="shared" si="16"/>
        <v>100382.70373911368</v>
      </c>
      <c r="G244" s="33">
        <f>+'A) Base RI'!U245</f>
        <v>77</v>
      </c>
      <c r="H244" s="272">
        <f t="shared" si="17"/>
        <v>1.1390305293377045</v>
      </c>
      <c r="I244" s="55">
        <f t="shared" si="18"/>
        <v>114338.96417631263</v>
      </c>
    </row>
    <row r="245" spans="1:9" x14ac:dyDescent="0.25">
      <c r="A245" s="49">
        <f>'A) Base RI'!A246</f>
        <v>5813</v>
      </c>
      <c r="B245" s="32" t="str">
        <f>'A) Base RI'!B246</f>
        <v>Chevroux</v>
      </c>
      <c r="C245" s="95">
        <f>'A) Base RI'!V246</f>
        <v>506</v>
      </c>
      <c r="D245" s="109">
        <f>'D) Ecrêtage'!E245</f>
        <v>30.191512506852085</v>
      </c>
      <c r="E245" s="34">
        <f t="shared" si="15"/>
        <v>18.196436592229361</v>
      </c>
      <c r="F245" s="271">
        <f t="shared" si="16"/>
        <v>170290.8059552807</v>
      </c>
      <c r="G245" s="33">
        <f>+'A) Base RI'!U246</f>
        <v>68.5</v>
      </c>
      <c r="H245" s="272">
        <f t="shared" si="17"/>
        <v>1.0132933929822436</v>
      </c>
      <c r="I245" s="55">
        <f t="shared" si="18"/>
        <v>172554.54856010724</v>
      </c>
    </row>
    <row r="246" spans="1:9" x14ac:dyDescent="0.25">
      <c r="A246" s="49">
        <f>'A) Base RI'!A247</f>
        <v>5816</v>
      </c>
      <c r="B246" s="32" t="str">
        <f>'A) Base RI'!B247</f>
        <v>Corcelles-près-Payerne</v>
      </c>
      <c r="C246" s="95">
        <f>'A) Base RI'!V247</f>
        <v>2722</v>
      </c>
      <c r="D246" s="109">
        <f>'D) Ecrêtage'!E246</f>
        <v>24.118756488474169</v>
      </c>
      <c r="E246" s="34">
        <f t="shared" si="15"/>
        <v>24.269192610607277</v>
      </c>
      <c r="F246" s="271">
        <f t="shared" si="16"/>
        <v>1221793.4285809204</v>
      </c>
      <c r="G246" s="33">
        <f>+'A) Base RI'!U247</f>
        <v>68.5</v>
      </c>
      <c r="H246" s="272">
        <f t="shared" si="17"/>
        <v>1.0132933929822436</v>
      </c>
      <c r="I246" s="55">
        <f t="shared" si="18"/>
        <v>1238035.2087701694</v>
      </c>
    </row>
    <row r="247" spans="1:9" x14ac:dyDescent="0.25">
      <c r="A247" s="49">
        <f>'A) Base RI'!A248</f>
        <v>5817</v>
      </c>
      <c r="B247" s="32" t="str">
        <f>'A) Base RI'!B248</f>
        <v>Grandcour</v>
      </c>
      <c r="C247" s="95">
        <f>'A) Base RI'!V248</f>
        <v>987</v>
      </c>
      <c r="D247" s="109">
        <f>'D) Ecrêtage'!E247</f>
        <v>24.947420273073767</v>
      </c>
      <c r="E247" s="34">
        <f t="shared" si="15"/>
        <v>23.440528826007679</v>
      </c>
      <c r="F247" s="271">
        <f t="shared" si="16"/>
        <v>459129.9897229448</v>
      </c>
      <c r="G247" s="33">
        <f>+'A) Base RI'!U248</f>
        <v>73.5</v>
      </c>
      <c r="H247" s="272">
        <f t="shared" si="17"/>
        <v>1.087256414367809</v>
      </c>
      <c r="I247" s="55">
        <f t="shared" si="18"/>
        <v>499192.02635489794</v>
      </c>
    </row>
    <row r="248" spans="1:9" x14ac:dyDescent="0.25">
      <c r="A248" s="49">
        <f>'A) Base RI'!A249</f>
        <v>5819</v>
      </c>
      <c r="B248" s="32" t="str">
        <f>'A) Base RI'!B249</f>
        <v>Henniez</v>
      </c>
      <c r="C248" s="95">
        <f>'A) Base RI'!V249</f>
        <v>407</v>
      </c>
      <c r="D248" s="109">
        <f>'D) Ecrêtage'!E248</f>
        <v>24.724767653028518</v>
      </c>
      <c r="E248" s="34">
        <f t="shared" si="15"/>
        <v>23.663181446052928</v>
      </c>
      <c r="F248" s="271">
        <f t="shared" si="16"/>
        <v>179423.94362836619</v>
      </c>
      <c r="G248" s="33">
        <f>+'A) Base RI'!U249</f>
        <v>69</v>
      </c>
      <c r="H248" s="272">
        <f t="shared" si="17"/>
        <v>1.0206896951208002</v>
      </c>
      <c r="I248" s="55">
        <f t="shared" si="18"/>
        <v>183136.17031940873</v>
      </c>
    </row>
    <row r="249" spans="1:9" x14ac:dyDescent="0.25">
      <c r="A249" s="49">
        <f>'A) Base RI'!A250</f>
        <v>5821</v>
      </c>
      <c r="B249" s="32" t="str">
        <f>'A) Base RI'!B250</f>
        <v>Missy</v>
      </c>
      <c r="C249" s="95">
        <f>'A) Base RI'!V250</f>
        <v>366</v>
      </c>
      <c r="D249" s="109">
        <f>'D) Ecrêtage'!E249</f>
        <v>21.98001517911354</v>
      </c>
      <c r="E249" s="34">
        <f t="shared" si="15"/>
        <v>26.407933919967906</v>
      </c>
      <c r="F249" s="271">
        <f t="shared" si="16"/>
        <v>187893.50615792847</v>
      </c>
      <c r="G249" s="33">
        <f>+'A) Base RI'!U250</f>
        <v>72</v>
      </c>
      <c r="H249" s="272">
        <f t="shared" si="17"/>
        <v>1.0650675079521394</v>
      </c>
      <c r="I249" s="55">
        <f t="shared" si="18"/>
        <v>200119.26836401483</v>
      </c>
    </row>
    <row r="250" spans="1:9" x14ac:dyDescent="0.25">
      <c r="A250" s="49">
        <f>'A) Base RI'!A251</f>
        <v>5822</v>
      </c>
      <c r="B250" s="32" t="str">
        <f>'A) Base RI'!B251</f>
        <v>Payerne</v>
      </c>
      <c r="C250" s="95">
        <f>'A) Base RI'!V251</f>
        <v>10258</v>
      </c>
      <c r="D250" s="109">
        <f>'D) Ecrêtage'!E250</f>
        <v>23.394857111188866</v>
      </c>
      <c r="E250" s="34">
        <f t="shared" si="15"/>
        <v>24.99309198789258</v>
      </c>
      <c r="F250" s="271">
        <f t="shared" si="16"/>
        <v>5053232.8023286201</v>
      </c>
      <c r="G250" s="33">
        <f>+'A) Base RI'!U251</f>
        <v>73</v>
      </c>
      <c r="H250" s="272">
        <f t="shared" si="17"/>
        <v>1.0798601122292524</v>
      </c>
      <c r="I250" s="55">
        <f t="shared" si="18"/>
        <v>5456784.5410431232</v>
      </c>
    </row>
    <row r="251" spans="1:9" x14ac:dyDescent="0.25">
      <c r="A251" s="49">
        <f>'A) Base RI'!A252</f>
        <v>5827</v>
      </c>
      <c r="B251" s="32" t="str">
        <f>'A) Base RI'!B252</f>
        <v>Trey</v>
      </c>
      <c r="C251" s="95">
        <f>'A) Base RI'!V252</f>
        <v>321</v>
      </c>
      <c r="D251" s="109">
        <f>'D) Ecrêtage'!E251</f>
        <v>24.135339084591418</v>
      </c>
      <c r="E251" s="34">
        <f t="shared" si="15"/>
        <v>24.252610014490028</v>
      </c>
      <c r="F251" s="271">
        <f t="shared" si="16"/>
        <v>163953.94937655635</v>
      </c>
      <c r="G251" s="33">
        <f>+'A) Base RI'!U252</f>
        <v>78</v>
      </c>
      <c r="H251" s="272">
        <f t="shared" si="17"/>
        <v>1.1538231336148177</v>
      </c>
      <c r="I251" s="55">
        <f t="shared" si="18"/>
        <v>189173.85963818344</v>
      </c>
    </row>
    <row r="252" spans="1:9" x14ac:dyDescent="0.25">
      <c r="A252" s="49">
        <f>'A) Base RI'!A253</f>
        <v>5828</v>
      </c>
      <c r="B252" s="32" t="str">
        <f>'A) Base RI'!B253</f>
        <v>Treytorrens (Payerne)</v>
      </c>
      <c r="C252" s="95">
        <f>'A) Base RI'!V253</f>
        <v>110</v>
      </c>
      <c r="D252" s="109">
        <f>'D) Ecrêtage'!E252</f>
        <v>26.356548393021125</v>
      </c>
      <c r="E252" s="34">
        <f t="shared" si="15"/>
        <v>22.031400706060321</v>
      </c>
      <c r="F252" s="271">
        <f t="shared" si="16"/>
        <v>53982.439580024307</v>
      </c>
      <c r="G252" s="33">
        <f>+'A) Base RI'!U253</f>
        <v>82.5</v>
      </c>
      <c r="H252" s="272">
        <f t="shared" si="17"/>
        <v>1.2203898528618264</v>
      </c>
      <c r="I252" s="55">
        <f t="shared" si="18"/>
        <v>65879.621496188294</v>
      </c>
    </row>
    <row r="253" spans="1:9" x14ac:dyDescent="0.25">
      <c r="A253" s="49">
        <f>'A) Base RI'!A254</f>
        <v>5830</v>
      </c>
      <c r="B253" s="32" t="str">
        <f>'A) Base RI'!B254</f>
        <v>Villarzel</v>
      </c>
      <c r="C253" s="95">
        <f>'A) Base RI'!V254</f>
        <v>500</v>
      </c>
      <c r="D253" s="109">
        <f>'D) Ecrêtage'!E253</f>
        <v>24.819973866666668</v>
      </c>
      <c r="E253" s="34">
        <f t="shared" si="15"/>
        <v>23.567975232414778</v>
      </c>
      <c r="F253" s="271">
        <f t="shared" si="16"/>
        <v>238625.74922819962</v>
      </c>
      <c r="G253" s="33">
        <f>+'A) Base RI'!U254</f>
        <v>75</v>
      </c>
      <c r="H253" s="272">
        <f t="shared" si="17"/>
        <v>1.1094453207834785</v>
      </c>
      <c r="I253" s="55">
        <f t="shared" si="18"/>
        <v>264742.22089967784</v>
      </c>
    </row>
    <row r="254" spans="1:9" x14ac:dyDescent="0.25">
      <c r="A254" s="49">
        <f>'A) Base RI'!A255</f>
        <v>5831</v>
      </c>
      <c r="B254" s="32" t="str">
        <f>'A) Base RI'!B255</f>
        <v>Valbroye</v>
      </c>
      <c r="C254" s="95">
        <f>'A) Base RI'!V255</f>
        <v>3349</v>
      </c>
      <c r="D254" s="109">
        <f>'D) Ecrêtage'!E254</f>
        <v>24.206874427778097</v>
      </c>
      <c r="E254" s="34">
        <f t="shared" si="15"/>
        <v>24.18107467130335</v>
      </c>
      <c r="F254" s="271">
        <f t="shared" si="16"/>
        <v>1541500.3470773003</v>
      </c>
      <c r="G254" s="33">
        <f>+'A) Base RI'!U255</f>
        <v>70.5</v>
      </c>
      <c r="H254" s="272">
        <f t="shared" si="17"/>
        <v>1.0428786015364697</v>
      </c>
      <c r="I254" s="55">
        <f t="shared" si="18"/>
        <v>1607597.7262279578</v>
      </c>
    </row>
    <row r="255" spans="1:9" x14ac:dyDescent="0.25">
      <c r="A255" s="49">
        <f>'A) Base RI'!A256</f>
        <v>5841</v>
      </c>
      <c r="B255" s="32" t="str">
        <f>'A) Base RI'!B256</f>
        <v>Château-d'Oex</v>
      </c>
      <c r="C255" s="95">
        <f>'A) Base RI'!V256</f>
        <v>3549</v>
      </c>
      <c r="D255" s="109">
        <f>'D) Ecrêtage'!E255</f>
        <v>31.236302561682461</v>
      </c>
      <c r="E255" s="34">
        <f t="shared" si="15"/>
        <v>17.151646537398985</v>
      </c>
      <c r="F255" s="271">
        <f t="shared" si="16"/>
        <v>1339470.6143148441</v>
      </c>
      <c r="G255" s="33">
        <f>+'A) Base RI'!U256</f>
        <v>81.5</v>
      </c>
      <c r="H255" s="272">
        <f t="shared" si="17"/>
        <v>1.2055972485847133</v>
      </c>
      <c r="I255" s="55">
        <f t="shared" si="18"/>
        <v>1614862.0871780517</v>
      </c>
    </row>
    <row r="256" spans="1:9" x14ac:dyDescent="0.25">
      <c r="A256" s="49">
        <f>'A) Base RI'!A257</f>
        <v>5842</v>
      </c>
      <c r="B256" s="32" t="str">
        <f>'A) Base RI'!B257</f>
        <v>Rossinière</v>
      </c>
      <c r="C256" s="95">
        <f>'A) Base RI'!V257</f>
        <v>534</v>
      </c>
      <c r="D256" s="109">
        <f>'D) Ecrêtage'!E256</f>
        <v>27.986292905473096</v>
      </c>
      <c r="E256" s="34">
        <f t="shared" si="15"/>
        <v>20.40165619360835</v>
      </c>
      <c r="F256" s="271">
        <f t="shared" si="16"/>
        <v>238262.37398955063</v>
      </c>
      <c r="G256" s="33">
        <f>+'A) Base RI'!U257</f>
        <v>81</v>
      </c>
      <c r="H256" s="272">
        <f t="shared" si="17"/>
        <v>1.1982009464461567</v>
      </c>
      <c r="I256" s="55">
        <f t="shared" si="18"/>
        <v>285486.20201678772</v>
      </c>
    </row>
    <row r="257" spans="1:9" x14ac:dyDescent="0.25">
      <c r="A257" s="49">
        <f>'A) Base RI'!A258</f>
        <v>5843</v>
      </c>
      <c r="B257" s="32" t="str">
        <f>'A) Base RI'!B258</f>
        <v>Rougemont</v>
      </c>
      <c r="C257" s="95">
        <f>'A) Base RI'!V258</f>
        <v>862</v>
      </c>
      <c r="D257" s="109">
        <f>'D) Ecrêtage'!E257</f>
        <v>112.6312174703706</v>
      </c>
      <c r="E257" s="34">
        <f t="shared" si="15"/>
        <v>0</v>
      </c>
      <c r="F257" s="271">
        <f t="shared" si="16"/>
        <v>0</v>
      </c>
      <c r="G257" s="33">
        <f>+'A) Base RI'!U258</f>
        <v>74</v>
      </c>
      <c r="H257" s="272">
        <f t="shared" si="17"/>
        <v>1.0946527165063655</v>
      </c>
      <c r="I257" s="55">
        <f t="shared" si="18"/>
        <v>0</v>
      </c>
    </row>
    <row r="258" spans="1:9" x14ac:dyDescent="0.25">
      <c r="A258" s="49">
        <f>'A) Base RI'!A259</f>
        <v>5851</v>
      </c>
      <c r="B258" s="32" t="str">
        <f>'A) Base RI'!B259</f>
        <v>Allaman</v>
      </c>
      <c r="C258" s="95">
        <f>'A) Base RI'!V259</f>
        <v>430</v>
      </c>
      <c r="D258" s="109">
        <f>'D) Ecrêtage'!E258</f>
        <v>57.851013530655393</v>
      </c>
      <c r="E258" s="34">
        <f t="shared" si="15"/>
        <v>0</v>
      </c>
      <c r="F258" s="271">
        <f t="shared" si="16"/>
        <v>0</v>
      </c>
      <c r="G258" s="33">
        <f>+'A) Base RI'!U259</f>
        <v>60</v>
      </c>
      <c r="H258" s="272">
        <f t="shared" si="17"/>
        <v>0.88755625662678284</v>
      </c>
      <c r="I258" s="55">
        <f t="shared" si="18"/>
        <v>0</v>
      </c>
    </row>
    <row r="259" spans="1:9" x14ac:dyDescent="0.25">
      <c r="A259" s="49">
        <f>'A) Base RI'!A260</f>
        <v>5852</v>
      </c>
      <c r="B259" s="32" t="str">
        <f>'A) Base RI'!B260</f>
        <v>Bursinel</v>
      </c>
      <c r="C259" s="95">
        <f>'A) Base RI'!V260</f>
        <v>515</v>
      </c>
      <c r="D259" s="109">
        <f>'D) Ecrêtage'!E259</f>
        <v>67.255645996450568</v>
      </c>
      <c r="E259" s="34">
        <f t="shared" si="15"/>
        <v>0</v>
      </c>
      <c r="F259" s="271">
        <f t="shared" si="16"/>
        <v>0</v>
      </c>
      <c r="G259" s="33">
        <f>+'A) Base RI'!U260</f>
        <v>62</v>
      </c>
      <c r="H259" s="272">
        <f t="shared" si="17"/>
        <v>0.91714146518100892</v>
      </c>
      <c r="I259" s="55">
        <f t="shared" si="18"/>
        <v>0</v>
      </c>
    </row>
    <row r="260" spans="1:9" x14ac:dyDescent="0.25">
      <c r="A260" s="49">
        <f>'A) Base RI'!A261</f>
        <v>5853</v>
      </c>
      <c r="B260" s="32" t="str">
        <f>'A) Base RI'!B261</f>
        <v>Bursins</v>
      </c>
      <c r="C260" s="95">
        <f>'A) Base RI'!V261</f>
        <v>773</v>
      </c>
      <c r="D260" s="109">
        <f>'D) Ecrêtage'!E260</f>
        <v>57.550209172239121</v>
      </c>
      <c r="E260" s="34">
        <f t="shared" si="15"/>
        <v>0</v>
      </c>
      <c r="F260" s="271">
        <f t="shared" si="16"/>
        <v>0</v>
      </c>
      <c r="G260" s="33">
        <f>+'A) Base RI'!U261</f>
        <v>71</v>
      </c>
      <c r="H260" s="272">
        <f t="shared" si="17"/>
        <v>1.0502749036750263</v>
      </c>
      <c r="I260" s="55">
        <f t="shared" si="18"/>
        <v>0</v>
      </c>
    </row>
    <row r="261" spans="1:9" x14ac:dyDescent="0.25">
      <c r="A261" s="49">
        <f>'A) Base RI'!A262</f>
        <v>5854</v>
      </c>
      <c r="B261" s="32" t="str">
        <f>'A) Base RI'!B262</f>
        <v>Burtigny</v>
      </c>
      <c r="C261" s="95">
        <f>'A) Base RI'!V262</f>
        <v>416</v>
      </c>
      <c r="D261" s="109">
        <f>'D) Ecrêtage'!E261</f>
        <v>36.672998096955126</v>
      </c>
      <c r="E261" s="34">
        <f t="shared" si="15"/>
        <v>11.71495100212632</v>
      </c>
      <c r="F261" s="271">
        <f t="shared" si="16"/>
        <v>105265.86372470627</v>
      </c>
      <c r="G261" s="33">
        <f>+'A) Base RI'!U262</f>
        <v>80</v>
      </c>
      <c r="H261" s="272">
        <f t="shared" si="17"/>
        <v>1.1834083421690438</v>
      </c>
      <c r="I261" s="55">
        <f t="shared" si="18"/>
        <v>124572.50127744714</v>
      </c>
    </row>
    <row r="262" spans="1:9" x14ac:dyDescent="0.25">
      <c r="A262" s="49">
        <f>'A) Base RI'!A263</f>
        <v>5855</v>
      </c>
      <c r="B262" s="32" t="str">
        <f>'A) Base RI'!B263</f>
        <v>Dully</v>
      </c>
      <c r="C262" s="95">
        <f>'A) Base RI'!V263</f>
        <v>634</v>
      </c>
      <c r="D262" s="109">
        <f>'D) Ecrêtage'!E262</f>
        <v>147.76680261379002</v>
      </c>
      <c r="E262" s="34">
        <f t="shared" si="15"/>
        <v>0</v>
      </c>
      <c r="F262" s="271">
        <f t="shared" si="16"/>
        <v>0</v>
      </c>
      <c r="G262" s="33">
        <f>+'A) Base RI'!U263</f>
        <v>49</v>
      </c>
      <c r="H262" s="272">
        <f t="shared" si="17"/>
        <v>0.72483760957853927</v>
      </c>
      <c r="I262" s="55">
        <f t="shared" si="18"/>
        <v>0</v>
      </c>
    </row>
    <row r="263" spans="1:9" x14ac:dyDescent="0.25">
      <c r="A263" s="49">
        <f>'A) Base RI'!A264</f>
        <v>5856</v>
      </c>
      <c r="B263" s="32" t="str">
        <f>'A) Base RI'!B264</f>
        <v>Essertines-sur-Rolle</v>
      </c>
      <c r="C263" s="95">
        <f>'A) Base RI'!V264</f>
        <v>753</v>
      </c>
      <c r="D263" s="109">
        <f>'D) Ecrêtage'!E263</f>
        <v>55.857463763607605</v>
      </c>
      <c r="E263" s="34">
        <f t="shared" ref="E263:E313" si="19">IF($D$314-D263&lt;0,0,$D$314-D263)</f>
        <v>0</v>
      </c>
      <c r="F263" s="271">
        <f t="shared" ref="F263:F313" si="20">(C263*E263*G263)*$E$5</f>
        <v>0</v>
      </c>
      <c r="G263" s="33">
        <f>+'A) Base RI'!U264</f>
        <v>66.5</v>
      </c>
      <c r="H263" s="272">
        <f t="shared" ref="H263:H313" si="21">G263/$G$314</f>
        <v>0.98370818442801766</v>
      </c>
      <c r="I263" s="55">
        <f t="shared" ref="I263:I313" si="22">F263*H263</f>
        <v>0</v>
      </c>
    </row>
    <row r="264" spans="1:9" x14ac:dyDescent="0.25">
      <c r="A264" s="49">
        <f>'A) Base RI'!A265</f>
        <v>5857</v>
      </c>
      <c r="B264" s="32" t="str">
        <f>'A) Base RI'!B265</f>
        <v>Gilly</v>
      </c>
      <c r="C264" s="95">
        <f>'A) Base RI'!V265</f>
        <v>1438</v>
      </c>
      <c r="D264" s="109">
        <f>'D) Ecrêtage'!E264</f>
        <v>61.798716240256169</v>
      </c>
      <c r="E264" s="34">
        <f t="shared" si="19"/>
        <v>0</v>
      </c>
      <c r="F264" s="271">
        <f t="shared" si="20"/>
        <v>0</v>
      </c>
      <c r="G264" s="33">
        <f>+'A) Base RI'!U265</f>
        <v>64.5</v>
      </c>
      <c r="H264" s="272">
        <f t="shared" si="21"/>
        <v>0.95412297587379158</v>
      </c>
      <c r="I264" s="55">
        <f t="shared" si="22"/>
        <v>0</v>
      </c>
    </row>
    <row r="265" spans="1:9" x14ac:dyDescent="0.25">
      <c r="A265" s="49">
        <f>'A) Base RI'!A266</f>
        <v>5858</v>
      </c>
      <c r="B265" s="32" t="str">
        <f>'A) Base RI'!B266</f>
        <v>Luins</v>
      </c>
      <c r="C265" s="95">
        <f>'A) Base RI'!V266</f>
        <v>630</v>
      </c>
      <c r="D265" s="109">
        <f>'D) Ecrêtage'!E265</f>
        <v>60.719678107900315</v>
      </c>
      <c r="E265" s="34">
        <f t="shared" si="19"/>
        <v>0</v>
      </c>
      <c r="F265" s="271">
        <f t="shared" si="20"/>
        <v>0</v>
      </c>
      <c r="G265" s="33">
        <f>+'A) Base RI'!U266</f>
        <v>58.5</v>
      </c>
      <c r="H265" s="272">
        <f t="shared" si="21"/>
        <v>0.86536735021111322</v>
      </c>
      <c r="I265" s="55">
        <f t="shared" si="22"/>
        <v>0</v>
      </c>
    </row>
    <row r="266" spans="1:9" x14ac:dyDescent="0.25">
      <c r="A266" s="49">
        <f>'A) Base RI'!A267</f>
        <v>5859</v>
      </c>
      <c r="B266" s="32" t="str">
        <f>'A) Base RI'!B267</f>
        <v>Mont-sur-Rolle</v>
      </c>
      <c r="C266" s="95">
        <f>'A) Base RI'!V267</f>
        <v>2739</v>
      </c>
      <c r="D266" s="109">
        <f>'D) Ecrêtage'!E266</f>
        <v>58.748060531316391</v>
      </c>
      <c r="E266" s="34">
        <f t="shared" si="19"/>
        <v>0</v>
      </c>
      <c r="F266" s="271">
        <f t="shared" si="20"/>
        <v>0</v>
      </c>
      <c r="G266" s="33">
        <f>+'A) Base RI'!U267</f>
        <v>63.5</v>
      </c>
      <c r="H266" s="272">
        <f t="shared" si="21"/>
        <v>0.93933037159667854</v>
      </c>
      <c r="I266" s="55">
        <f t="shared" si="22"/>
        <v>0</v>
      </c>
    </row>
    <row r="267" spans="1:9" x14ac:dyDescent="0.25">
      <c r="A267" s="49">
        <f>'A) Base RI'!A268</f>
        <v>5860</v>
      </c>
      <c r="B267" s="32" t="str">
        <f>'A) Base RI'!B268</f>
        <v>Perroy</v>
      </c>
      <c r="C267" s="95">
        <f>'A) Base RI'!V268</f>
        <v>1514</v>
      </c>
      <c r="D267" s="109">
        <f>'D) Ecrêtage'!E267</f>
        <v>82.062154035489073</v>
      </c>
      <c r="E267" s="34">
        <f t="shared" si="19"/>
        <v>0</v>
      </c>
      <c r="F267" s="271">
        <f t="shared" si="20"/>
        <v>0</v>
      </c>
      <c r="G267" s="33">
        <f>+'A) Base RI'!U268</f>
        <v>58.5</v>
      </c>
      <c r="H267" s="272">
        <f t="shared" si="21"/>
        <v>0.86536735021111322</v>
      </c>
      <c r="I267" s="55">
        <f t="shared" si="22"/>
        <v>0</v>
      </c>
    </row>
    <row r="268" spans="1:9" x14ac:dyDescent="0.25">
      <c r="A268" s="49">
        <f>'A) Base RI'!A269</f>
        <v>5861</v>
      </c>
      <c r="B268" s="32" t="str">
        <f>'A) Base RI'!B269</f>
        <v>Rolle</v>
      </c>
      <c r="C268" s="95">
        <f>'A) Base RI'!V269</f>
        <v>6291</v>
      </c>
      <c r="D268" s="109">
        <f>'D) Ecrêtage'!E268</f>
        <v>101.43515880362638</v>
      </c>
      <c r="E268" s="34">
        <f t="shared" si="19"/>
        <v>0</v>
      </c>
      <c r="F268" s="271">
        <f t="shared" si="20"/>
        <v>0</v>
      </c>
      <c r="G268" s="33">
        <f>+'A) Base RI'!U269</f>
        <v>59.5</v>
      </c>
      <c r="H268" s="272">
        <f t="shared" si="21"/>
        <v>0.88015995448822626</v>
      </c>
      <c r="I268" s="55">
        <f t="shared" si="22"/>
        <v>0</v>
      </c>
    </row>
    <row r="269" spans="1:9" x14ac:dyDescent="0.25">
      <c r="A269" s="49">
        <f>'A) Base RI'!A270</f>
        <v>5862</v>
      </c>
      <c r="B269" s="32" t="str">
        <f>'A) Base RI'!B270</f>
        <v>Tartegnin</v>
      </c>
      <c r="C269" s="95">
        <f>'A) Base RI'!V270</f>
        <v>241</v>
      </c>
      <c r="D269" s="109">
        <f>'D) Ecrêtage'!E269</f>
        <v>32.742831031041547</v>
      </c>
      <c r="E269" s="34">
        <f t="shared" si="19"/>
        <v>15.645118068039899</v>
      </c>
      <c r="F269" s="271">
        <f t="shared" si="20"/>
        <v>80424.198782301144</v>
      </c>
      <c r="G269" s="33">
        <f>+'A) Base RI'!U270</f>
        <v>79</v>
      </c>
      <c r="H269" s="272">
        <f t="shared" si="21"/>
        <v>1.1686157378919306</v>
      </c>
      <c r="I269" s="55">
        <f t="shared" si="22"/>
        <v>93984.984404346164</v>
      </c>
    </row>
    <row r="270" spans="1:9" x14ac:dyDescent="0.25">
      <c r="A270" s="49">
        <f>'A) Base RI'!A271</f>
        <v>5863</v>
      </c>
      <c r="B270" s="32" t="str">
        <f>'A) Base RI'!B271</f>
        <v>Vinzel</v>
      </c>
      <c r="C270" s="95">
        <f>'A) Base RI'!V271</f>
        <v>369</v>
      </c>
      <c r="D270" s="109">
        <f>'D) Ecrêtage'!E270</f>
        <v>58.05996885491242</v>
      </c>
      <c r="E270" s="34">
        <f t="shared" si="19"/>
        <v>0</v>
      </c>
      <c r="F270" s="271">
        <f t="shared" si="20"/>
        <v>0</v>
      </c>
      <c r="G270" s="33">
        <f>+'A) Base RI'!U271</f>
        <v>67</v>
      </c>
      <c r="H270" s="272">
        <f t="shared" si="21"/>
        <v>0.99110448656657413</v>
      </c>
      <c r="I270" s="55">
        <f t="shared" si="22"/>
        <v>0</v>
      </c>
    </row>
    <row r="271" spans="1:9" x14ac:dyDescent="0.25">
      <c r="A271" s="49">
        <f>'A) Base RI'!A272</f>
        <v>5871</v>
      </c>
      <c r="B271" s="32" t="str">
        <f>'A) Base RI'!B272</f>
        <v>L'Abbaye</v>
      </c>
      <c r="C271" s="95">
        <f>'A) Base RI'!V272</f>
        <v>1521</v>
      </c>
      <c r="D271" s="109">
        <f>'D) Ecrêtage'!E271</f>
        <v>34.278461021974813</v>
      </c>
      <c r="E271" s="34">
        <f t="shared" si="19"/>
        <v>14.109488077106633</v>
      </c>
      <c r="F271" s="271">
        <f t="shared" si="20"/>
        <v>449930.77033876092</v>
      </c>
      <c r="G271" s="33">
        <f>+'A) Base RI'!U272</f>
        <v>77.650000000000006</v>
      </c>
      <c r="H271" s="272">
        <f t="shared" si="21"/>
        <v>1.1486457221178281</v>
      </c>
      <c r="I271" s="55">
        <f t="shared" si="22"/>
        <v>516811.05459879671</v>
      </c>
    </row>
    <row r="272" spans="1:9" x14ac:dyDescent="0.25">
      <c r="A272" s="49">
        <f>'A) Base RI'!A273</f>
        <v>5872</v>
      </c>
      <c r="B272" s="32" t="str">
        <f>'A) Base RI'!B273</f>
        <v>Le Chenit</v>
      </c>
      <c r="C272" s="95">
        <f>'A) Base RI'!V273</f>
        <v>4569</v>
      </c>
      <c r="D272" s="109">
        <f>'D) Ecrêtage'!E272</f>
        <v>43.586464380518784</v>
      </c>
      <c r="E272" s="34">
        <f t="shared" si="19"/>
        <v>4.8014847185626621</v>
      </c>
      <c r="F272" s="271">
        <f t="shared" si="20"/>
        <v>396798.89219921705</v>
      </c>
      <c r="G272" s="33">
        <f>+'A) Base RI'!U273</f>
        <v>66.989999999999995</v>
      </c>
      <c r="H272" s="272">
        <f t="shared" si="21"/>
        <v>0.99095656052380299</v>
      </c>
      <c r="I272" s="55">
        <f t="shared" si="22"/>
        <v>393210.46543339139</v>
      </c>
    </row>
    <row r="273" spans="1:9" x14ac:dyDescent="0.25">
      <c r="A273" s="49">
        <f>'A) Base RI'!A274</f>
        <v>5873</v>
      </c>
      <c r="B273" s="32" t="str">
        <f>'A) Base RI'!B274</f>
        <v>Le Lieu</v>
      </c>
      <c r="C273" s="95">
        <f>'A) Base RI'!V274</f>
        <v>881</v>
      </c>
      <c r="D273" s="109">
        <f>'D) Ecrêtage'!E273</f>
        <v>35.726594089508673</v>
      </c>
      <c r="E273" s="34">
        <f t="shared" si="19"/>
        <v>12.661355009572773</v>
      </c>
      <c r="F273" s="271">
        <f t="shared" si="20"/>
        <v>210822.95612889528</v>
      </c>
      <c r="G273" s="33">
        <f>+'A) Base RI'!U274</f>
        <v>70</v>
      </c>
      <c r="H273" s="272">
        <f t="shared" si="21"/>
        <v>1.0354822993979134</v>
      </c>
      <c r="I273" s="55">
        <f t="shared" si="22"/>
        <v>218303.43937821389</v>
      </c>
    </row>
    <row r="274" spans="1:9" x14ac:dyDescent="0.25">
      <c r="A274" s="49">
        <f>'A) Base RI'!A275</f>
        <v>5881</v>
      </c>
      <c r="B274" s="32" t="str">
        <f>'A) Base RI'!B275</f>
        <v>Blonay</v>
      </c>
      <c r="C274" s="95">
        <f>'A) Base RI'!V275</f>
        <v>6291</v>
      </c>
      <c r="D274" s="109">
        <f>'D) Ecrêtage'!E274</f>
        <v>59.037027221137372</v>
      </c>
      <c r="E274" s="34">
        <f t="shared" si="19"/>
        <v>0</v>
      </c>
      <c r="F274" s="271">
        <f t="shared" si="20"/>
        <v>0</v>
      </c>
      <c r="G274" s="33">
        <f>+'A) Base RI'!U275</f>
        <v>68.5</v>
      </c>
      <c r="H274" s="272">
        <f t="shared" si="21"/>
        <v>1.0132933929822436</v>
      </c>
      <c r="I274" s="55">
        <f t="shared" si="22"/>
        <v>0</v>
      </c>
    </row>
    <row r="275" spans="1:9" x14ac:dyDescent="0.25">
      <c r="A275" s="49">
        <f>'A) Base RI'!A276</f>
        <v>5882</v>
      </c>
      <c r="B275" s="32" t="str">
        <f>'A) Base RI'!B276</f>
        <v>Chardonne</v>
      </c>
      <c r="C275" s="95">
        <f>'A) Base RI'!V276</f>
        <v>3078</v>
      </c>
      <c r="D275" s="109">
        <f>'D) Ecrêtage'!E275</f>
        <v>60.737337270190729</v>
      </c>
      <c r="E275" s="34">
        <f t="shared" si="19"/>
        <v>0</v>
      </c>
      <c r="F275" s="271">
        <f t="shared" si="20"/>
        <v>0</v>
      </c>
      <c r="G275" s="33">
        <f>+'A) Base RI'!U276</f>
        <v>68</v>
      </c>
      <c r="H275" s="272">
        <f t="shared" si="21"/>
        <v>1.0058970908436873</v>
      </c>
      <c r="I275" s="55">
        <f t="shared" si="22"/>
        <v>0</v>
      </c>
    </row>
    <row r="276" spans="1:9" x14ac:dyDescent="0.25">
      <c r="A276" s="49">
        <f>'A) Base RI'!A277</f>
        <v>5883</v>
      </c>
      <c r="B276" s="32" t="str">
        <f>'A) Base RI'!B277</f>
        <v>Corseaux</v>
      </c>
      <c r="C276" s="95">
        <f>'A) Base RI'!V277</f>
        <v>2330</v>
      </c>
      <c r="D276" s="109">
        <f>'D) Ecrêtage'!E276</f>
        <v>82.873519821967889</v>
      </c>
      <c r="E276" s="34">
        <f t="shared" si="19"/>
        <v>0</v>
      </c>
      <c r="F276" s="271">
        <f t="shared" si="20"/>
        <v>0</v>
      </c>
      <c r="G276" s="33">
        <f>+'A) Base RI'!U277</f>
        <v>67.5</v>
      </c>
      <c r="H276" s="272">
        <f t="shared" si="21"/>
        <v>0.9985007887051307</v>
      </c>
      <c r="I276" s="55">
        <f t="shared" si="22"/>
        <v>0</v>
      </c>
    </row>
    <row r="277" spans="1:9" x14ac:dyDescent="0.25">
      <c r="A277" s="49">
        <f>'A) Base RI'!A278</f>
        <v>5884</v>
      </c>
      <c r="B277" s="32" t="str">
        <f>'A) Base RI'!B278</f>
        <v>Corsier-sur-Vevey</v>
      </c>
      <c r="C277" s="95">
        <f>'A) Base RI'!V278</f>
        <v>3390</v>
      </c>
      <c r="D277" s="109">
        <f>'D) Ecrêtage'!E277</f>
        <v>43.922356970265199</v>
      </c>
      <c r="E277" s="34">
        <f t="shared" si="19"/>
        <v>4.4655921288162475</v>
      </c>
      <c r="F277" s="271">
        <f t="shared" si="20"/>
        <v>263634.49267010548</v>
      </c>
      <c r="G277" s="33">
        <f>+'A) Base RI'!U278</f>
        <v>64.5</v>
      </c>
      <c r="H277" s="272">
        <f t="shared" si="21"/>
        <v>0.95412297587379158</v>
      </c>
      <c r="I277" s="55">
        <f t="shared" si="22"/>
        <v>251539.72668937832</v>
      </c>
    </row>
    <row r="278" spans="1:9" x14ac:dyDescent="0.25">
      <c r="A278" s="49">
        <f>'A) Base RI'!A279</f>
        <v>5885</v>
      </c>
      <c r="B278" s="32" t="str">
        <f>'A) Base RI'!B279</f>
        <v>Jongny</v>
      </c>
      <c r="C278" s="95">
        <f>'A) Base RI'!V279</f>
        <v>1805</v>
      </c>
      <c r="D278" s="109">
        <f>'D) Ecrêtage'!E278</f>
        <v>53.782238519433754</v>
      </c>
      <c r="E278" s="34">
        <f t="shared" si="19"/>
        <v>0</v>
      </c>
      <c r="F278" s="271">
        <f t="shared" si="20"/>
        <v>0</v>
      </c>
      <c r="G278" s="33">
        <f>+'A) Base RI'!U279</f>
        <v>69.5</v>
      </c>
      <c r="H278" s="272">
        <f t="shared" si="21"/>
        <v>1.0280859972593568</v>
      </c>
      <c r="I278" s="55">
        <f t="shared" si="22"/>
        <v>0</v>
      </c>
    </row>
    <row r="279" spans="1:9" x14ac:dyDescent="0.25">
      <c r="A279" s="49">
        <f>'A) Base RI'!A280</f>
        <v>5886</v>
      </c>
      <c r="B279" s="32" t="str">
        <f>'A) Base RI'!B280</f>
        <v>Montreux</v>
      </c>
      <c r="C279" s="95">
        <f>'A) Base RI'!V280</f>
        <v>26012</v>
      </c>
      <c r="D279" s="109">
        <f>'D) Ecrêtage'!E279</f>
        <v>47.032332887779596</v>
      </c>
      <c r="E279" s="34">
        <f t="shared" si="19"/>
        <v>1.3556162113018502</v>
      </c>
      <c r="F279" s="271">
        <f t="shared" si="20"/>
        <v>618853.16999113443</v>
      </c>
      <c r="G279" s="33">
        <f>+'A) Base RI'!U280</f>
        <v>65</v>
      </c>
      <c r="H279" s="272">
        <f t="shared" si="21"/>
        <v>0.96151927801234804</v>
      </c>
      <c r="I279" s="55">
        <f t="shared" si="22"/>
        <v>595039.25320552848</v>
      </c>
    </row>
    <row r="280" spans="1:9" x14ac:dyDescent="0.25">
      <c r="A280" s="49">
        <f>'A) Base RI'!A281</f>
        <v>5888</v>
      </c>
      <c r="B280" s="32" t="str">
        <f>'A) Base RI'!B281</f>
        <v>Saint-Légier-La Chiésaz</v>
      </c>
      <c r="C280" s="95">
        <f>'A) Base RI'!V281</f>
        <v>5634</v>
      </c>
      <c r="D280" s="109">
        <f>'D) Ecrêtage'!E280</f>
        <v>59.28597613377935</v>
      </c>
      <c r="E280" s="34">
        <f t="shared" si="19"/>
        <v>0</v>
      </c>
      <c r="F280" s="271">
        <f t="shared" si="20"/>
        <v>0</v>
      </c>
      <c r="G280" s="33">
        <f>+'A) Base RI'!U281</f>
        <v>68.5</v>
      </c>
      <c r="H280" s="272">
        <f t="shared" si="21"/>
        <v>1.0132933929822436</v>
      </c>
      <c r="I280" s="55">
        <f t="shared" si="22"/>
        <v>0</v>
      </c>
    </row>
    <row r="281" spans="1:9" x14ac:dyDescent="0.25">
      <c r="A281" s="49">
        <f>'A) Base RI'!A282</f>
        <v>5889</v>
      </c>
      <c r="B281" s="32" t="str">
        <f>'A) Base RI'!B282</f>
        <v>La Tour-de-Peilz</v>
      </c>
      <c r="C281" s="95">
        <f>'A) Base RI'!V282</f>
        <v>12222</v>
      </c>
      <c r="D281" s="109">
        <f>'D) Ecrêtage'!E281</f>
        <v>60.590377959997006</v>
      </c>
      <c r="E281" s="34">
        <f t="shared" si="19"/>
        <v>0</v>
      </c>
      <c r="F281" s="271">
        <f t="shared" si="20"/>
        <v>0</v>
      </c>
      <c r="G281" s="33">
        <f>+'A) Base RI'!U282</f>
        <v>64</v>
      </c>
      <c r="H281" s="272">
        <f t="shared" si="21"/>
        <v>0.946726673735235</v>
      </c>
      <c r="I281" s="55">
        <f t="shared" si="22"/>
        <v>0</v>
      </c>
    </row>
    <row r="282" spans="1:9" x14ac:dyDescent="0.25">
      <c r="A282" s="49">
        <f>'A) Base RI'!A283</f>
        <v>5890</v>
      </c>
      <c r="B282" s="32" t="str">
        <f>'A) Base RI'!B283</f>
        <v>Vevey</v>
      </c>
      <c r="C282" s="95">
        <f>'A) Base RI'!V283</f>
        <v>19721</v>
      </c>
      <c r="D282" s="109">
        <f>'D) Ecrêtage'!E282</f>
        <v>49.174828746925655</v>
      </c>
      <c r="E282" s="34">
        <f t="shared" si="19"/>
        <v>0</v>
      </c>
      <c r="F282" s="271">
        <f t="shared" si="20"/>
        <v>0</v>
      </c>
      <c r="G282" s="33">
        <f>+'A) Base RI'!U283</f>
        <v>74.5</v>
      </c>
      <c r="H282" s="272">
        <f t="shared" si="21"/>
        <v>1.1020490186449221</v>
      </c>
      <c r="I282" s="55">
        <f t="shared" si="22"/>
        <v>0</v>
      </c>
    </row>
    <row r="283" spans="1:9" x14ac:dyDescent="0.25">
      <c r="A283" s="49">
        <f>'A) Base RI'!A284</f>
        <v>5891</v>
      </c>
      <c r="B283" s="32" t="str">
        <f>'A) Base RI'!B284</f>
        <v>Veytaux</v>
      </c>
      <c r="C283" s="95">
        <f>'A) Base RI'!V284</f>
        <v>952</v>
      </c>
      <c r="D283" s="109">
        <f>'D) Ecrêtage'!E283</f>
        <v>41.095959434133363</v>
      </c>
      <c r="E283" s="34">
        <f t="shared" si="19"/>
        <v>7.2919896649480833</v>
      </c>
      <c r="F283" s="271">
        <f t="shared" si="20"/>
        <v>130266.14513173875</v>
      </c>
      <c r="G283" s="33">
        <f>+'A) Base RI'!U284</f>
        <v>69.5</v>
      </c>
      <c r="H283" s="272">
        <f t="shared" si="21"/>
        <v>1.0280859972593568</v>
      </c>
      <c r="I283" s="55">
        <f t="shared" si="22"/>
        <v>133924.79972689576</v>
      </c>
    </row>
    <row r="284" spans="1:9" x14ac:dyDescent="0.25">
      <c r="A284" s="49">
        <f>'A) Base RI'!A285</f>
        <v>5902</v>
      </c>
      <c r="B284" s="32" t="str">
        <f>'A) Base RI'!B285</f>
        <v>Belmont-sur-Yverdon</v>
      </c>
      <c r="C284" s="95">
        <f>'A) Base RI'!V285</f>
        <v>415</v>
      </c>
      <c r="D284" s="109">
        <f>'D) Ecrêtage'!E284</f>
        <v>29.178674698795181</v>
      </c>
      <c r="E284" s="34">
        <f t="shared" si="19"/>
        <v>19.209274400286265</v>
      </c>
      <c r="F284" s="271">
        <f t="shared" si="20"/>
        <v>150667.94375864533</v>
      </c>
      <c r="G284" s="33">
        <f>+'A) Base RI'!U285</f>
        <v>70</v>
      </c>
      <c r="H284" s="272">
        <f t="shared" si="21"/>
        <v>1.0354822993979134</v>
      </c>
      <c r="I284" s="55">
        <f t="shared" si="22"/>
        <v>156013.98884875755</v>
      </c>
    </row>
    <row r="285" spans="1:9" x14ac:dyDescent="0.25">
      <c r="A285" s="49">
        <f>'A) Base RI'!A286</f>
        <v>5903</v>
      </c>
      <c r="B285" s="32" t="str">
        <f>'A) Base RI'!B286</f>
        <v>Bioley-Magnoux</v>
      </c>
      <c r="C285" s="95">
        <f>'A) Base RI'!V286</f>
        <v>234</v>
      </c>
      <c r="D285" s="109">
        <f>'D) Ecrêtage'!E285</f>
        <v>25.8940144654728</v>
      </c>
      <c r="E285" s="34">
        <f t="shared" si="19"/>
        <v>22.493934633608646</v>
      </c>
      <c r="F285" s="271">
        <f t="shared" si="20"/>
        <v>102324.00889090038</v>
      </c>
      <c r="G285" s="33">
        <f>+'A) Base RI'!U286</f>
        <v>72</v>
      </c>
      <c r="H285" s="272">
        <f t="shared" si="21"/>
        <v>1.0650675079521394</v>
      </c>
      <c r="I285" s="55">
        <f t="shared" si="22"/>
        <v>108981.97715310383</v>
      </c>
    </row>
    <row r="286" spans="1:9" x14ac:dyDescent="0.25">
      <c r="A286" s="49">
        <f>'A) Base RI'!A287</f>
        <v>5904</v>
      </c>
      <c r="B286" s="32" t="str">
        <f>'A) Base RI'!B287</f>
        <v>Chamblon</v>
      </c>
      <c r="C286" s="95">
        <f>'A) Base RI'!V287</f>
        <v>561</v>
      </c>
      <c r="D286" s="109">
        <f>'D) Ecrêtage'!E286</f>
        <v>39.53336034138173</v>
      </c>
      <c r="E286" s="34">
        <f t="shared" si="19"/>
        <v>8.854588757699716</v>
      </c>
      <c r="F286" s="271">
        <f t="shared" si="20"/>
        <v>88519.500902499232</v>
      </c>
      <c r="G286" s="33">
        <f>+'A) Base RI'!U287</f>
        <v>66</v>
      </c>
      <c r="H286" s="272">
        <f t="shared" si="21"/>
        <v>0.97631188228946109</v>
      </c>
      <c r="I286" s="55">
        <f t="shared" si="22"/>
        <v>86422.640545442671</v>
      </c>
    </row>
    <row r="287" spans="1:9" x14ac:dyDescent="0.25">
      <c r="A287" s="49">
        <f>'A) Base RI'!A288</f>
        <v>5905</v>
      </c>
      <c r="B287" s="32" t="str">
        <f>'A) Base RI'!B288</f>
        <v>Champvent</v>
      </c>
      <c r="C287" s="95">
        <f>'A) Base RI'!V288</f>
        <v>712</v>
      </c>
      <c r="D287" s="109">
        <f>'D) Ecrêtage'!E287</f>
        <v>32.722241773675762</v>
      </c>
      <c r="E287" s="34">
        <f t="shared" si="19"/>
        <v>15.665707325405684</v>
      </c>
      <c r="F287" s="271">
        <f t="shared" si="20"/>
        <v>210810.29033651922</v>
      </c>
      <c r="G287" s="33">
        <f>+'A) Base RI'!U288</f>
        <v>70</v>
      </c>
      <c r="H287" s="272">
        <f t="shared" si="21"/>
        <v>1.0354822993979134</v>
      </c>
      <c r="I287" s="55">
        <f t="shared" si="22"/>
        <v>218290.32417440062</v>
      </c>
    </row>
    <row r="288" spans="1:9" x14ac:dyDescent="0.25">
      <c r="A288" s="49">
        <f>'A) Base RI'!A289</f>
        <v>5907</v>
      </c>
      <c r="B288" s="32" t="str">
        <f>'A) Base RI'!B289</f>
        <v>Chavannes-le-Chêne</v>
      </c>
      <c r="C288" s="95">
        <f>'A) Base RI'!V289</f>
        <v>325</v>
      </c>
      <c r="D288" s="109">
        <f>'D) Ecrêtage'!E288</f>
        <v>24.056454564102562</v>
      </c>
      <c r="E288" s="34">
        <f t="shared" si="19"/>
        <v>24.331494534978884</v>
      </c>
      <c r="F288" s="271">
        <f t="shared" si="20"/>
        <v>160131.64840832978</v>
      </c>
      <c r="G288" s="33">
        <f>+'A) Base RI'!U289</f>
        <v>75</v>
      </c>
      <c r="H288" s="272">
        <f t="shared" si="21"/>
        <v>1.1094453207834785</v>
      </c>
      <c r="I288" s="55">
        <f t="shared" si="22"/>
        <v>177657.30803596662</v>
      </c>
    </row>
    <row r="289" spans="1:9" x14ac:dyDescent="0.25">
      <c r="A289" s="49">
        <f>'A) Base RI'!A290</f>
        <v>5908</v>
      </c>
      <c r="B289" s="32" t="str">
        <f>'A) Base RI'!B290</f>
        <v>Chêne-Pâquier</v>
      </c>
      <c r="C289" s="95">
        <f>'A) Base RI'!V290</f>
        <v>153</v>
      </c>
      <c r="D289" s="109">
        <f>'D) Ecrêtage'!E289</f>
        <v>28.848876478861587</v>
      </c>
      <c r="E289" s="34">
        <f t="shared" si="19"/>
        <v>19.539072620219859</v>
      </c>
      <c r="F289" s="271">
        <f t="shared" si="20"/>
        <v>63765.568105361315</v>
      </c>
      <c r="G289" s="33">
        <f>+'A) Base RI'!U290</f>
        <v>79</v>
      </c>
      <c r="H289" s="272">
        <f t="shared" si="21"/>
        <v>1.1686157378919306</v>
      </c>
      <c r="I289" s="55">
        <f t="shared" si="22"/>
        <v>74517.44642354497</v>
      </c>
    </row>
    <row r="290" spans="1:9" x14ac:dyDescent="0.25">
      <c r="A290" s="49">
        <f>'A) Base RI'!A291</f>
        <v>5909</v>
      </c>
      <c r="B290" s="32" t="str">
        <f>'A) Base RI'!B291</f>
        <v>Cheseaux-Noréaz</v>
      </c>
      <c r="C290" s="95">
        <f>'A) Base RI'!V291</f>
        <v>728</v>
      </c>
      <c r="D290" s="109">
        <f>'D) Ecrêtage'!E290</f>
        <v>50.684853206494992</v>
      </c>
      <c r="E290" s="34">
        <f t="shared" si="19"/>
        <v>0</v>
      </c>
      <c r="F290" s="271">
        <f t="shared" si="20"/>
        <v>0</v>
      </c>
      <c r="G290" s="33">
        <f>+'A) Base RI'!U291</f>
        <v>67</v>
      </c>
      <c r="H290" s="272">
        <f t="shared" si="21"/>
        <v>0.99110448656657413</v>
      </c>
      <c r="I290" s="55">
        <f t="shared" si="22"/>
        <v>0</v>
      </c>
    </row>
    <row r="291" spans="1:9" x14ac:dyDescent="0.25">
      <c r="A291" s="49">
        <f>'A) Base RI'!A292</f>
        <v>5910</v>
      </c>
      <c r="B291" s="32" t="str">
        <f>'A) Base RI'!B292</f>
        <v>Cronay</v>
      </c>
      <c r="C291" s="95">
        <f>'A) Base RI'!V292</f>
        <v>403</v>
      </c>
      <c r="D291" s="109">
        <f>'D) Ecrêtage'!E291</f>
        <v>26.303762044407204</v>
      </c>
      <c r="E291" s="34">
        <f t="shared" si="19"/>
        <v>22.084187054674242</v>
      </c>
      <c r="F291" s="271">
        <f t="shared" si="20"/>
        <v>185029.49029327102</v>
      </c>
      <c r="G291" s="33">
        <f>+'A) Base RI'!U292</f>
        <v>77</v>
      </c>
      <c r="H291" s="272">
        <f t="shared" si="21"/>
        <v>1.1390305293377045</v>
      </c>
      <c r="I291" s="55">
        <f t="shared" si="22"/>
        <v>210754.23827183017</v>
      </c>
    </row>
    <row r="292" spans="1:9" x14ac:dyDescent="0.25">
      <c r="A292" s="49">
        <f>'A) Base RI'!A293</f>
        <v>5911</v>
      </c>
      <c r="B292" s="32" t="str">
        <f>'A) Base RI'!B293</f>
        <v>Cuarny</v>
      </c>
      <c r="C292" s="95">
        <f>'A) Base RI'!V293</f>
        <v>245</v>
      </c>
      <c r="D292" s="109">
        <f>'D) Ecrêtage'!E292</f>
        <v>30.628427246223168</v>
      </c>
      <c r="E292" s="34">
        <f t="shared" si="19"/>
        <v>17.759521852858278</v>
      </c>
      <c r="F292" s="271">
        <f t="shared" si="20"/>
        <v>90459.012533626286</v>
      </c>
      <c r="G292" s="33">
        <f>+'A) Base RI'!U293</f>
        <v>77</v>
      </c>
      <c r="H292" s="272">
        <f t="shared" si="21"/>
        <v>1.1390305293377045</v>
      </c>
      <c r="I292" s="55">
        <f t="shared" si="22"/>
        <v>103035.5769295424</v>
      </c>
    </row>
    <row r="293" spans="1:9" x14ac:dyDescent="0.25">
      <c r="A293" s="49">
        <f>'A) Base RI'!A294</f>
        <v>5912</v>
      </c>
      <c r="B293" s="32" t="str">
        <f>'A) Base RI'!B294</f>
        <v>Démoret</v>
      </c>
      <c r="C293" s="95">
        <f>'A) Base RI'!V294</f>
        <v>164</v>
      </c>
      <c r="D293" s="109">
        <f>'D) Ecrêtage'!E293</f>
        <v>28.796068202348689</v>
      </c>
      <c r="E293" s="34">
        <f t="shared" si="19"/>
        <v>19.591880896732757</v>
      </c>
      <c r="F293" s="271">
        <f t="shared" si="20"/>
        <v>70269.807374693453</v>
      </c>
      <c r="G293" s="33">
        <f>+'A) Base RI'!U294</f>
        <v>81</v>
      </c>
      <c r="H293" s="272">
        <f t="shared" si="21"/>
        <v>1.1982009464461567</v>
      </c>
      <c r="I293" s="55">
        <f t="shared" si="22"/>
        <v>84197.349702946813</v>
      </c>
    </row>
    <row r="294" spans="1:9" x14ac:dyDescent="0.25">
      <c r="A294" s="49">
        <f>'A) Base RI'!A295</f>
        <v>5913</v>
      </c>
      <c r="B294" s="32" t="str">
        <f>'A) Base RI'!B295</f>
        <v>Donneloye</v>
      </c>
      <c r="C294" s="95">
        <f>'A) Base RI'!V295</f>
        <v>891</v>
      </c>
      <c r="D294" s="109">
        <f>'D) Ecrêtage'!E294</f>
        <v>26.816299063696324</v>
      </c>
      <c r="E294" s="34">
        <f t="shared" si="19"/>
        <v>21.571650035385122</v>
      </c>
      <c r="F294" s="271">
        <f t="shared" si="20"/>
        <v>378832.90497791977</v>
      </c>
      <c r="G294" s="33">
        <f>+'A) Base RI'!U295</f>
        <v>73</v>
      </c>
      <c r="H294" s="272">
        <f t="shared" si="21"/>
        <v>1.0798601122292524</v>
      </c>
      <c r="I294" s="55">
        <f t="shared" si="22"/>
        <v>409086.54328559013</v>
      </c>
    </row>
    <row r="295" spans="1:9" x14ac:dyDescent="0.25">
      <c r="A295" s="49">
        <f>'A) Base RI'!A296</f>
        <v>5914</v>
      </c>
      <c r="B295" s="32" t="str">
        <f>'A) Base RI'!B296</f>
        <v>Ependes</v>
      </c>
      <c r="C295" s="95">
        <f>'A) Base RI'!V296</f>
        <v>381</v>
      </c>
      <c r="D295" s="109">
        <f>'D) Ecrêtage'!E295</f>
        <v>25.79924759405074</v>
      </c>
      <c r="E295" s="34">
        <f t="shared" si="19"/>
        <v>22.588701505030706</v>
      </c>
      <c r="F295" s="271">
        <f t="shared" si="20"/>
        <v>170791.92970095441</v>
      </c>
      <c r="G295" s="33">
        <f>+'A) Base RI'!U296</f>
        <v>73.5</v>
      </c>
      <c r="H295" s="272">
        <f t="shared" si="21"/>
        <v>1.087256414367809</v>
      </c>
      <c r="I295" s="55">
        <f t="shared" si="22"/>
        <v>185694.62108961859</v>
      </c>
    </row>
    <row r="296" spans="1:9" x14ac:dyDescent="0.25">
      <c r="A296" s="49">
        <f>'A) Base RI'!A297</f>
        <v>5919</v>
      </c>
      <c r="B296" s="32" t="str">
        <f>'A) Base RI'!B297</f>
        <v>Mathod</v>
      </c>
      <c r="C296" s="95">
        <f>'A) Base RI'!V297</f>
        <v>655</v>
      </c>
      <c r="D296" s="109">
        <f>'D) Ecrêtage'!E296</f>
        <v>28.52654346904156</v>
      </c>
      <c r="E296" s="34">
        <f t="shared" si="19"/>
        <v>19.861405630039886</v>
      </c>
      <c r="F296" s="271">
        <f t="shared" si="20"/>
        <v>252899.25016842387</v>
      </c>
      <c r="G296" s="33">
        <f>+'A) Base RI'!U297</f>
        <v>72</v>
      </c>
      <c r="H296" s="272">
        <f t="shared" si="21"/>
        <v>1.0650675079521394</v>
      </c>
      <c r="I296" s="55">
        <f t="shared" si="22"/>
        <v>269354.7741398479</v>
      </c>
    </row>
    <row r="297" spans="1:9" x14ac:dyDescent="0.25">
      <c r="A297" s="49">
        <f>'A) Base RI'!A298</f>
        <v>5921</v>
      </c>
      <c r="B297" s="32" t="str">
        <f>'A) Base RI'!B298</f>
        <v>Molondin</v>
      </c>
      <c r="C297" s="95">
        <f>'A) Base RI'!V298</f>
        <v>239</v>
      </c>
      <c r="D297" s="109">
        <f>'D) Ecrêtage'!E297</f>
        <v>24.581576011157605</v>
      </c>
      <c r="E297" s="34">
        <f t="shared" si="19"/>
        <v>23.806373087923841</v>
      </c>
      <c r="F297" s="271">
        <f t="shared" si="20"/>
        <v>124434.24568446178</v>
      </c>
      <c r="G297" s="33">
        <f>+'A) Base RI'!U298</f>
        <v>81</v>
      </c>
      <c r="H297" s="272">
        <f t="shared" si="21"/>
        <v>1.1982009464461567</v>
      </c>
      <c r="I297" s="55">
        <f t="shared" si="22"/>
        <v>149097.2309494357</v>
      </c>
    </row>
    <row r="298" spans="1:9" x14ac:dyDescent="0.25">
      <c r="A298" s="49">
        <f>'A) Base RI'!A299</f>
        <v>5922</v>
      </c>
      <c r="B298" s="32" t="str">
        <f>'A) Base RI'!B299</f>
        <v>Montagny-près-Yverdon</v>
      </c>
      <c r="C298" s="95">
        <f>'A) Base RI'!V299</f>
        <v>775</v>
      </c>
      <c r="D298" s="109">
        <f>'D) Ecrêtage'!E298</f>
        <v>51.114870917729434</v>
      </c>
      <c r="E298" s="34">
        <f t="shared" si="19"/>
        <v>0</v>
      </c>
      <c r="F298" s="271">
        <f t="shared" si="20"/>
        <v>0</v>
      </c>
      <c r="G298" s="33">
        <f>+'A) Base RI'!U299</f>
        <v>64.5</v>
      </c>
      <c r="H298" s="272">
        <f t="shared" si="21"/>
        <v>0.95412297587379158</v>
      </c>
      <c r="I298" s="55">
        <f t="shared" si="22"/>
        <v>0</v>
      </c>
    </row>
    <row r="299" spans="1:9" x14ac:dyDescent="0.25">
      <c r="A299" s="49">
        <f>'A) Base RI'!A300</f>
        <v>5923</v>
      </c>
      <c r="B299" s="32" t="str">
        <f>'A) Base RI'!B300</f>
        <v>Oppens</v>
      </c>
      <c r="C299" s="95">
        <f>'A) Base RI'!V300</f>
        <v>201</v>
      </c>
      <c r="D299" s="109">
        <f>'D) Ecrêtage'!E299</f>
        <v>25.34744241754192</v>
      </c>
      <c r="E299" s="34">
        <f t="shared" si="19"/>
        <v>23.040506681539526</v>
      </c>
      <c r="F299" s="271">
        <f t="shared" si="20"/>
        <v>101283.07210617917</v>
      </c>
      <c r="G299" s="33">
        <f>+'A) Base RI'!U300</f>
        <v>81</v>
      </c>
      <c r="H299" s="272">
        <f t="shared" si="21"/>
        <v>1.1982009464461567</v>
      </c>
      <c r="I299" s="55">
        <f t="shared" si="22"/>
        <v>121357.47285659822</v>
      </c>
    </row>
    <row r="300" spans="1:9" x14ac:dyDescent="0.25">
      <c r="A300" s="49">
        <f>'A) Base RI'!A301</f>
        <v>5924</v>
      </c>
      <c r="B300" s="32" t="str">
        <f>'A) Base RI'!B301</f>
        <v>Orges</v>
      </c>
      <c r="C300" s="95">
        <f>'A) Base RI'!V301</f>
        <v>367</v>
      </c>
      <c r="D300" s="109">
        <f>'D) Ecrêtage'!E300</f>
        <v>35.722533691729886</v>
      </c>
      <c r="E300" s="34">
        <f t="shared" si="19"/>
        <v>12.66541540735156</v>
      </c>
      <c r="F300" s="271">
        <f t="shared" si="20"/>
        <v>92871.184940870502</v>
      </c>
      <c r="G300" s="33">
        <f>+'A) Base RI'!U301</f>
        <v>74</v>
      </c>
      <c r="H300" s="272">
        <f t="shared" si="21"/>
        <v>1.0946527165063655</v>
      </c>
      <c r="I300" s="55">
        <f t="shared" si="22"/>
        <v>101661.69488068896</v>
      </c>
    </row>
    <row r="301" spans="1:9" x14ac:dyDescent="0.25">
      <c r="A301" s="49">
        <f>'A) Base RI'!A302</f>
        <v>5925</v>
      </c>
      <c r="B301" s="32" t="str">
        <f>'A) Base RI'!B302</f>
        <v>Orzens</v>
      </c>
      <c r="C301" s="95">
        <f>'A) Base RI'!V302</f>
        <v>202</v>
      </c>
      <c r="D301" s="109">
        <f>'D) Ecrêtage'!E301</f>
        <v>25.893994234866522</v>
      </c>
      <c r="E301" s="34">
        <f t="shared" si="19"/>
        <v>22.493954864214924</v>
      </c>
      <c r="F301" s="271">
        <f t="shared" si="20"/>
        <v>96918.803565248279</v>
      </c>
      <c r="G301" s="33">
        <f>+'A) Base RI'!U302</f>
        <v>79</v>
      </c>
      <c r="H301" s="272">
        <f t="shared" si="21"/>
        <v>1.1686157378919306</v>
      </c>
      <c r="I301" s="55">
        <f t="shared" si="22"/>
        <v>113260.8391440057</v>
      </c>
    </row>
    <row r="302" spans="1:9" x14ac:dyDescent="0.25">
      <c r="A302" s="49">
        <f>'A) Base RI'!A303</f>
        <v>5926</v>
      </c>
      <c r="B302" s="32" t="str">
        <f>'A) Base RI'!B303</f>
        <v>Pomy</v>
      </c>
      <c r="C302" s="95">
        <f>'A) Base RI'!V303</f>
        <v>838</v>
      </c>
      <c r="D302" s="109">
        <f>'D) Ecrêtage'!E302</f>
        <v>33.26384718814078</v>
      </c>
      <c r="E302" s="34">
        <f t="shared" si="19"/>
        <v>15.124101910940666</v>
      </c>
      <c r="F302" s="271">
        <f t="shared" si="20"/>
        <v>242960.53018422989</v>
      </c>
      <c r="G302" s="33">
        <f>+'A) Base RI'!U303</f>
        <v>71</v>
      </c>
      <c r="H302" s="272">
        <f t="shared" si="21"/>
        <v>1.0502749036750263</v>
      </c>
      <c r="I302" s="55">
        <f t="shared" si="22"/>
        <v>255175.34743607536</v>
      </c>
    </row>
    <row r="303" spans="1:9" x14ac:dyDescent="0.25">
      <c r="A303" s="49">
        <f>'A) Base RI'!A304</f>
        <v>5928</v>
      </c>
      <c r="B303" s="32" t="str">
        <f>'A) Base RI'!B304</f>
        <v>Rovray</v>
      </c>
      <c r="C303" s="95">
        <f>'A) Base RI'!V304</f>
        <v>206</v>
      </c>
      <c r="D303" s="109">
        <f>'D) Ecrêtage'!E303</f>
        <v>26.502236404372322</v>
      </c>
      <c r="E303" s="34">
        <f t="shared" si="19"/>
        <v>21.885712694709124</v>
      </c>
      <c r="F303" s="271">
        <f t="shared" si="20"/>
        <v>87035.758815700086</v>
      </c>
      <c r="G303" s="33">
        <f>+'A) Base RI'!U304</f>
        <v>71.5</v>
      </c>
      <c r="H303" s="272">
        <f t="shared" si="21"/>
        <v>1.0576712058135829</v>
      </c>
      <c r="I303" s="55">
        <f t="shared" si="22"/>
        <v>92055.215975501691</v>
      </c>
    </row>
    <row r="304" spans="1:9" x14ac:dyDescent="0.25">
      <c r="A304" s="49">
        <f>'A) Base RI'!A305</f>
        <v>5929</v>
      </c>
      <c r="B304" s="32" t="str">
        <f>'A) Base RI'!B305</f>
        <v>Suchy</v>
      </c>
      <c r="C304" s="95">
        <f>'A) Base RI'!V305</f>
        <v>656</v>
      </c>
      <c r="D304" s="109">
        <f>'D) Ecrêtage'!E304</f>
        <v>30.894799379355401</v>
      </c>
      <c r="E304" s="34">
        <f t="shared" si="19"/>
        <v>17.493149719726045</v>
      </c>
      <c r="F304" s="271">
        <f t="shared" si="20"/>
        <v>216887.06748505143</v>
      </c>
      <c r="G304" s="33">
        <f>+'A) Base RI'!U305</f>
        <v>70</v>
      </c>
      <c r="H304" s="272">
        <f t="shared" si="21"/>
        <v>1.0354822993979134</v>
      </c>
      <c r="I304" s="55">
        <f t="shared" si="22"/>
        <v>224582.71934909147</v>
      </c>
    </row>
    <row r="305" spans="1:9" x14ac:dyDescent="0.25">
      <c r="A305" s="49">
        <f>'A) Base RI'!A306</f>
        <v>5930</v>
      </c>
      <c r="B305" s="32" t="str">
        <f>'A) Base RI'!B306</f>
        <v>Suscévaz</v>
      </c>
      <c r="C305" s="95">
        <f>'A) Base RI'!V306</f>
        <v>215</v>
      </c>
      <c r="D305" s="109">
        <f>'D) Ecrêtage'!E305</f>
        <v>30.985180878552971</v>
      </c>
      <c r="E305" s="34">
        <f t="shared" si="19"/>
        <v>17.402768220528475</v>
      </c>
      <c r="F305" s="271">
        <f t="shared" si="20"/>
        <v>72736.610054520817</v>
      </c>
      <c r="G305" s="33">
        <f>+'A) Base RI'!U306</f>
        <v>72</v>
      </c>
      <c r="H305" s="272">
        <f t="shared" si="21"/>
        <v>1.0650675079521394</v>
      </c>
      <c r="I305" s="55">
        <f t="shared" si="22"/>
        <v>77469.400007655015</v>
      </c>
    </row>
    <row r="306" spans="1:9" x14ac:dyDescent="0.25">
      <c r="A306" s="49">
        <f>'A) Base RI'!A307</f>
        <v>5931</v>
      </c>
      <c r="B306" s="32" t="str">
        <f>'A) Base RI'!B307</f>
        <v>Treycovagnes</v>
      </c>
      <c r="C306" s="95">
        <f>'A) Base RI'!V307</f>
        <v>490</v>
      </c>
      <c r="D306" s="109">
        <f>'D) Ecrêtage'!E306</f>
        <v>31.165496870748292</v>
      </c>
      <c r="E306" s="34">
        <f t="shared" si="19"/>
        <v>17.222452228333154</v>
      </c>
      <c r="F306" s="271">
        <f t="shared" si="20"/>
        <v>170889.78223563571</v>
      </c>
      <c r="G306" s="33">
        <f>+'A) Base RI'!U307</f>
        <v>75</v>
      </c>
      <c r="H306" s="272">
        <f t="shared" si="21"/>
        <v>1.1094453207834785</v>
      </c>
      <c r="I306" s="55">
        <f t="shared" si="22"/>
        <v>189592.86927103365</v>
      </c>
    </row>
    <row r="307" spans="1:9" x14ac:dyDescent="0.25">
      <c r="A307" s="49">
        <f>'A) Base RI'!A308</f>
        <v>5932</v>
      </c>
      <c r="B307" s="32" t="str">
        <f>'A) Base RI'!B308</f>
        <v>Ursins</v>
      </c>
      <c r="C307" s="95">
        <f>'A) Base RI'!V308</f>
        <v>228</v>
      </c>
      <c r="D307" s="109">
        <f>'D) Ecrêtage'!E307</f>
        <v>33.786510526315801</v>
      </c>
      <c r="E307" s="34">
        <f t="shared" si="19"/>
        <v>14.601438572765645</v>
      </c>
      <c r="F307" s="271">
        <f t="shared" si="20"/>
        <v>67414.841890458993</v>
      </c>
      <c r="G307" s="33">
        <f>+'A) Base RI'!U308</f>
        <v>75</v>
      </c>
      <c r="H307" s="272">
        <f t="shared" si="21"/>
        <v>1.1094453207834785</v>
      </c>
      <c r="I307" s="55">
        <f t="shared" si="22"/>
        <v>74793.080886727752</v>
      </c>
    </row>
    <row r="308" spans="1:9" x14ac:dyDescent="0.25">
      <c r="A308" s="49">
        <f>'A) Base RI'!A309</f>
        <v>5933</v>
      </c>
      <c r="B308" s="32" t="str">
        <f>'A) Base RI'!B309</f>
        <v>Valeyres-sous-Montagny</v>
      </c>
      <c r="C308" s="95">
        <f>'A) Base RI'!V309</f>
        <v>697</v>
      </c>
      <c r="D308" s="109">
        <f>'D) Ecrêtage'!E308</f>
        <v>28.130664346693525</v>
      </c>
      <c r="E308" s="34">
        <f t="shared" si="19"/>
        <v>20.257284752387921</v>
      </c>
      <c r="F308" s="271">
        <f t="shared" si="20"/>
        <v>268761.39843740774</v>
      </c>
      <c r="G308" s="33">
        <f>+'A) Base RI'!U309</f>
        <v>70.5</v>
      </c>
      <c r="H308" s="272">
        <f t="shared" si="21"/>
        <v>1.0428786015364697</v>
      </c>
      <c r="I308" s="55">
        <f t="shared" si="22"/>
        <v>280285.51134938974</v>
      </c>
    </row>
    <row r="309" spans="1:9" x14ac:dyDescent="0.25">
      <c r="A309" s="49">
        <f>'A) Base RI'!A310</f>
        <v>5934</v>
      </c>
      <c r="B309" s="32" t="str">
        <f>'A) Base RI'!B310</f>
        <v>Valeyres-sous-Ursins</v>
      </c>
      <c r="C309" s="95">
        <f>'A) Base RI'!V310</f>
        <v>247</v>
      </c>
      <c r="D309" s="109">
        <f>'D) Ecrêtage'!E309</f>
        <v>28.414103790945898</v>
      </c>
      <c r="E309" s="34">
        <f t="shared" si="19"/>
        <v>19.973845308135548</v>
      </c>
      <c r="F309" s="271">
        <f t="shared" si="20"/>
        <v>102568.2922571661</v>
      </c>
      <c r="G309" s="33">
        <f>+'A) Base RI'!U310</f>
        <v>77</v>
      </c>
      <c r="H309" s="272">
        <f t="shared" si="21"/>
        <v>1.1390305293377045</v>
      </c>
      <c r="I309" s="55">
        <f t="shared" si="22"/>
        <v>116828.41622294429</v>
      </c>
    </row>
    <row r="310" spans="1:9" x14ac:dyDescent="0.25">
      <c r="A310" s="49">
        <f>'A) Base RI'!A311</f>
        <v>5935</v>
      </c>
      <c r="B310" s="32" t="str">
        <f>'A) Base RI'!B311</f>
        <v>Villars-Epeney</v>
      </c>
      <c r="C310" s="95">
        <f>'A) Base RI'!V311</f>
        <v>95</v>
      </c>
      <c r="D310" s="109">
        <f>'D) Ecrêtage'!E310</f>
        <v>36.297163157894737</v>
      </c>
      <c r="E310" s="34">
        <f t="shared" si="19"/>
        <v>12.090785941186709</v>
      </c>
      <c r="F310" s="271">
        <f t="shared" si="20"/>
        <v>18607.719563486342</v>
      </c>
      <c r="G310" s="33">
        <f>+'A) Base RI'!U311</f>
        <v>60</v>
      </c>
      <c r="H310" s="272">
        <f t="shared" si="21"/>
        <v>0.88755625662678284</v>
      </c>
      <c r="I310" s="55">
        <f t="shared" si="22"/>
        <v>16515.397920128889</v>
      </c>
    </row>
    <row r="311" spans="1:9" x14ac:dyDescent="0.25">
      <c r="A311" s="49">
        <f>'A) Base RI'!A312</f>
        <v>5937</v>
      </c>
      <c r="B311" s="32" t="str">
        <f>'A) Base RI'!B312</f>
        <v>Vugelles-La Mothe</v>
      </c>
      <c r="C311" s="95">
        <f>'A) Base RI'!V312</f>
        <v>140</v>
      </c>
      <c r="D311" s="109">
        <f>'D) Ecrêtage'!E311</f>
        <v>24.85553075801749</v>
      </c>
      <c r="E311" s="34">
        <f t="shared" si="19"/>
        <v>23.532418341063956</v>
      </c>
      <c r="F311" s="271">
        <f t="shared" si="20"/>
        <v>62266.778930455235</v>
      </c>
      <c r="G311" s="33">
        <f>+'A) Base RI'!U312</f>
        <v>70</v>
      </c>
      <c r="H311" s="272">
        <f t="shared" si="21"/>
        <v>1.0354822993979134</v>
      </c>
      <c r="I311" s="55">
        <f t="shared" si="22"/>
        <v>64476.14742300933</v>
      </c>
    </row>
    <row r="312" spans="1:9" x14ac:dyDescent="0.25">
      <c r="A312" s="49">
        <f>'A) Base RI'!A313</f>
        <v>5938</v>
      </c>
      <c r="B312" s="32" t="str">
        <f>'A) Base RI'!B313</f>
        <v>Yverdon-les-Bains</v>
      </c>
      <c r="C312" s="95">
        <f>'A) Base RI'!V313</f>
        <v>29710</v>
      </c>
      <c r="D312" s="109">
        <f>'D) Ecrêtage'!E312</f>
        <v>25.673857224279146</v>
      </c>
      <c r="E312" s="34">
        <f t="shared" si="19"/>
        <v>22.7140918748023</v>
      </c>
      <c r="F312" s="271">
        <f t="shared" si="20"/>
        <v>13665422.309407622</v>
      </c>
      <c r="G312" s="33">
        <f>+'A) Base RI'!U313</f>
        <v>75</v>
      </c>
      <c r="H312" s="272">
        <f t="shared" si="21"/>
        <v>1.1094453207834785</v>
      </c>
      <c r="I312" s="55">
        <f t="shared" si="22"/>
        <v>15161038.837702442</v>
      </c>
    </row>
    <row r="313" spans="1:9" x14ac:dyDescent="0.25">
      <c r="A313" s="49">
        <f>'A) Base RI'!A314</f>
        <v>5939</v>
      </c>
      <c r="B313" s="32" t="str">
        <f>'A) Base RI'!B314</f>
        <v>Yvonand</v>
      </c>
      <c r="C313" s="95">
        <f>'A) Base RI'!V314</f>
        <v>3512</v>
      </c>
      <c r="D313" s="109">
        <f>'D) Ecrêtage'!E313</f>
        <v>29.99341363078835</v>
      </c>
      <c r="E313" s="34">
        <f t="shared" si="19"/>
        <v>18.394535468293096</v>
      </c>
      <c r="F313" s="271">
        <f t="shared" si="20"/>
        <v>1247134.0533404786</v>
      </c>
      <c r="G313" s="33">
        <f>+'A) Base RI'!U314</f>
        <v>71.5</v>
      </c>
      <c r="H313" s="272">
        <f t="shared" si="21"/>
        <v>1.0576712058135829</v>
      </c>
      <c r="I313" s="55">
        <f t="shared" si="22"/>
        <v>1319057.7780078051</v>
      </c>
    </row>
    <row r="314" spans="1:9" x14ac:dyDescent="0.25">
      <c r="A314" s="30"/>
      <c r="B314" s="117">
        <f>COUNTA(B6:B313)</f>
        <v>308</v>
      </c>
      <c r="C314" s="97">
        <f>SUM(C6:C313)</f>
        <v>823879</v>
      </c>
      <c r="D314" s="108">
        <f>'D) Ecrêtage'!E314</f>
        <v>48.387949099081446</v>
      </c>
      <c r="E314" s="269"/>
      <c r="F314" s="11">
        <f>SUM(F6:F313)</f>
        <v>130189990.39680177</v>
      </c>
      <c r="G314" s="273">
        <f>'B) D RI'!S315</f>
        <v>67.601348705527727</v>
      </c>
      <c r="H314" s="270">
        <f>G314/G$314</f>
        <v>1</v>
      </c>
      <c r="I314" s="37">
        <f>SUM(I6:I313)</f>
        <v>140413800.40735322</v>
      </c>
    </row>
  </sheetData>
  <mergeCells count="8">
    <mergeCell ref="A4:A5"/>
    <mergeCell ref="I4:I5"/>
    <mergeCell ref="H4:H5"/>
    <mergeCell ref="G4:G5"/>
    <mergeCell ref="F4:F5"/>
    <mergeCell ref="B4:B5"/>
    <mergeCell ref="C4:C5"/>
    <mergeCell ref="D4:D5"/>
  </mergeCells>
  <phoneticPr fontId="21"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B050"/>
  </sheetPr>
  <dimension ref="A1:I343"/>
  <sheetViews>
    <sheetView zoomScaleNormal="100" workbookViewId="0"/>
  </sheetViews>
  <sheetFormatPr baseColWidth="10" defaultColWidth="11" defaultRowHeight="15" x14ac:dyDescent="0.25"/>
  <cols>
    <col min="1" max="1" width="9.375" style="13" customWidth="1"/>
    <col min="2" max="2" width="22.25" style="13" customWidth="1"/>
    <col min="3" max="3" width="11.75" style="13" customWidth="1"/>
    <col min="4" max="4" width="11.125" style="13" bestFit="1" customWidth="1"/>
    <col min="5" max="5" width="13" style="13" customWidth="1"/>
    <col min="6" max="7" width="12.375" style="13" customWidth="1"/>
    <col min="8" max="9" width="13" style="13" bestFit="1" customWidth="1"/>
    <col min="10" max="10" width="3.5" style="13" customWidth="1"/>
    <col min="11" max="16384" width="11" style="13"/>
  </cols>
  <sheetData>
    <row r="1" spans="1:9" ht="21" x14ac:dyDescent="0.25">
      <c r="A1" s="51" t="s">
        <v>556</v>
      </c>
      <c r="B1" s="42"/>
      <c r="C1" s="68"/>
      <c r="D1" s="68"/>
      <c r="E1" s="68"/>
      <c r="F1" s="68"/>
      <c r="G1" s="68"/>
      <c r="H1" s="68"/>
      <c r="I1" s="68"/>
    </row>
    <row r="2" spans="1:9" s="393" customFormat="1" ht="21" x14ac:dyDescent="0.25">
      <c r="A2" s="199">
        <f>Paramètres!B5</f>
        <v>2021</v>
      </c>
      <c r="B2" s="42"/>
      <c r="C2" s="397"/>
      <c r="D2" s="397"/>
      <c r="E2" s="397"/>
      <c r="F2" s="397"/>
      <c r="G2" s="397"/>
      <c r="H2" s="397"/>
      <c r="I2" s="397"/>
    </row>
    <row r="4" spans="1:9" x14ac:dyDescent="0.25">
      <c r="A4" s="119" t="s">
        <v>47</v>
      </c>
      <c r="B4" s="120"/>
      <c r="C4" s="121" t="s">
        <v>437</v>
      </c>
      <c r="D4" s="121" t="s">
        <v>394</v>
      </c>
      <c r="E4" s="68"/>
      <c r="F4" s="68"/>
      <c r="G4" s="68"/>
      <c r="H4" s="68"/>
      <c r="I4" s="68"/>
    </row>
    <row r="5" spans="1:9" x14ac:dyDescent="0.25">
      <c r="A5" s="75" t="s">
        <v>92</v>
      </c>
      <c r="B5" s="76"/>
      <c r="C5" s="11">
        <f>E324</f>
        <v>743665244.58031857</v>
      </c>
      <c r="D5" s="35"/>
      <c r="E5" s="68"/>
      <c r="F5" s="68"/>
      <c r="G5" s="68"/>
      <c r="H5" s="68"/>
      <c r="I5" s="68"/>
    </row>
    <row r="6" spans="1:9" x14ac:dyDescent="0.25">
      <c r="A6" s="81" t="s">
        <v>407</v>
      </c>
      <c r="B6" s="45"/>
      <c r="C6" s="10">
        <v>0</v>
      </c>
      <c r="D6" s="33">
        <f>C6/$C$324</f>
        <v>0</v>
      </c>
      <c r="E6" s="68"/>
      <c r="F6" s="68"/>
      <c r="G6" s="68"/>
      <c r="H6" s="68"/>
      <c r="I6" s="68"/>
    </row>
    <row r="7" spans="1:9" x14ac:dyDescent="0.25">
      <c r="A7" s="81" t="s">
        <v>406</v>
      </c>
      <c r="B7" s="45"/>
      <c r="C7" s="10">
        <f>Paramètres!B32</f>
        <v>7544004.9469441446</v>
      </c>
      <c r="D7" s="262">
        <f>C7/$C$324</f>
        <v>0.18923493537082678</v>
      </c>
      <c r="E7" s="68"/>
      <c r="F7" s="68"/>
      <c r="G7" s="68"/>
      <c r="H7" s="68"/>
      <c r="I7" s="68"/>
    </row>
    <row r="8" spans="1:9" x14ac:dyDescent="0.25">
      <c r="A8" s="81" t="s">
        <v>93</v>
      </c>
      <c r="B8" s="45"/>
      <c r="C8" s="10">
        <f>'I) Dépenses thématiques'!T314</f>
        <v>-173095875.67926502</v>
      </c>
      <c r="D8" s="262">
        <f>C8/$C$324</f>
        <v>-4.3419625354820051</v>
      </c>
      <c r="E8" s="68"/>
      <c r="F8" s="68"/>
      <c r="G8" s="68"/>
      <c r="H8" s="68"/>
      <c r="I8" s="68"/>
    </row>
    <row r="9" spans="1:9" x14ac:dyDescent="0.25">
      <c r="A9" s="83" t="s">
        <v>270</v>
      </c>
      <c r="B9" s="110"/>
      <c r="C9" s="18">
        <f>Paramètres!B33</f>
        <v>-450000</v>
      </c>
      <c r="D9" s="262">
        <f>C9/$C$324</f>
        <v>-1.1287866526567714E-2</v>
      </c>
      <c r="E9" s="68"/>
      <c r="F9" s="68"/>
      <c r="G9" s="68"/>
      <c r="H9" s="68"/>
      <c r="I9" s="68"/>
    </row>
    <row r="10" spans="1:9" x14ac:dyDescent="0.25">
      <c r="A10" s="83" t="s">
        <v>347</v>
      </c>
      <c r="B10" s="110"/>
      <c r="C10" s="18">
        <f>SUM(C6:C9)</f>
        <v>-166001870.73232087</v>
      </c>
      <c r="D10" s="98">
        <f>SUM(D6:D9)</f>
        <v>-4.1640154666377462</v>
      </c>
      <c r="E10" s="68"/>
      <c r="F10" s="68"/>
      <c r="G10" s="68"/>
      <c r="H10" s="68"/>
      <c r="I10" s="68"/>
    </row>
    <row r="11" spans="1:9" x14ac:dyDescent="0.25">
      <c r="A11" s="75" t="s">
        <v>410</v>
      </c>
      <c r="B11" s="76"/>
      <c r="C11" s="18">
        <f>-SUM(C5:C9)</f>
        <v>-577663373.84799767</v>
      </c>
      <c r="D11" s="98">
        <f>C11/$C$324</f>
        <v>-14.490193469517743</v>
      </c>
      <c r="E11" s="68"/>
      <c r="F11" s="68"/>
      <c r="G11" s="68"/>
      <c r="H11" s="68"/>
      <c r="I11" s="68"/>
    </row>
    <row r="12" spans="1:9" x14ac:dyDescent="0.25">
      <c r="A12" s="75" t="s">
        <v>346</v>
      </c>
      <c r="B12" s="77"/>
      <c r="C12" s="405">
        <f>C10+C11</f>
        <v>-743665244.58031857</v>
      </c>
      <c r="D12" s="98">
        <f>D11+D10</f>
        <v>-18.654208936155491</v>
      </c>
      <c r="E12" s="68"/>
      <c r="F12" s="68"/>
      <c r="G12" s="68"/>
      <c r="H12" s="68"/>
      <c r="I12" s="68"/>
    </row>
    <row r="14" spans="1:9" ht="60" customHeight="1" x14ac:dyDescent="0.25">
      <c r="A14" s="592" t="s">
        <v>46</v>
      </c>
      <c r="B14" s="592" t="s">
        <v>94</v>
      </c>
      <c r="C14" s="615" t="s">
        <v>509</v>
      </c>
      <c r="D14" s="615" t="s">
        <v>296</v>
      </c>
      <c r="E14" s="64" t="s">
        <v>92</v>
      </c>
      <c r="F14" s="64" t="s">
        <v>345</v>
      </c>
      <c r="G14" s="64" t="s">
        <v>409</v>
      </c>
      <c r="H14" s="64" t="s">
        <v>288</v>
      </c>
      <c r="I14" s="412" t="s">
        <v>393</v>
      </c>
    </row>
    <row r="15" spans="1:9" x14ac:dyDescent="0.25">
      <c r="A15" s="593"/>
      <c r="B15" s="593"/>
      <c r="C15" s="615"/>
      <c r="D15" s="615"/>
      <c r="E15" s="371">
        <f>-D10+F15+G15</f>
        <v>18.654208936155477</v>
      </c>
      <c r="F15" s="372">
        <f>F324/C324</f>
        <v>10.968032941770346</v>
      </c>
      <c r="G15" s="372">
        <f>G324/C324</f>
        <v>3.5221605277473835</v>
      </c>
      <c r="H15" s="372"/>
      <c r="I15" s="115"/>
    </row>
    <row r="16" spans="1:9" x14ac:dyDescent="0.25">
      <c r="A16" s="46">
        <f>'A) Base RI'!A7</f>
        <v>5401</v>
      </c>
      <c r="B16" s="289" t="str">
        <f>'A) Base RI'!B7</f>
        <v>Aigle</v>
      </c>
      <c r="C16" s="31">
        <f>'D) Ecrêtage'!C6</f>
        <v>280991.46517676767</v>
      </c>
      <c r="D16" s="14">
        <f>'A) Base RI'!V7</f>
        <v>10828</v>
      </c>
      <c r="E16" s="10">
        <f>C16*E$15</f>
        <v>5241673.5006838804</v>
      </c>
      <c r="F16" s="14">
        <f>'F) Population'!K9</f>
        <v>5767172.6358148884</v>
      </c>
      <c r="G16" s="10">
        <f>'G) Solidarité'!I6</f>
        <v>4226870.9000479542</v>
      </c>
      <c r="H16" s="14">
        <f>F16+G16</f>
        <v>9994043.5358628426</v>
      </c>
      <c r="I16" s="55">
        <f>E16-H16</f>
        <v>-4752370.0351789622</v>
      </c>
    </row>
    <row r="17" spans="1:9" x14ac:dyDescent="0.25">
      <c r="A17" s="49">
        <f>'A) Base RI'!A8</f>
        <v>5402</v>
      </c>
      <c r="B17" s="32" t="str">
        <f>'A) Base RI'!B8</f>
        <v>Bex</v>
      </c>
      <c r="C17" s="31">
        <f>'D) Ecrêtage'!C7</f>
        <v>192706.98084507044</v>
      </c>
      <c r="D17" s="14">
        <f>'A) Base RI'!V8</f>
        <v>8063</v>
      </c>
      <c r="E17" s="10">
        <f t="shared" ref="E17:E80" si="0">C17*E$15</f>
        <v>3594796.2841396555</v>
      </c>
      <c r="F17" s="14">
        <f>'F) Population'!K10</f>
        <v>3655430.1810865188</v>
      </c>
      <c r="G17" s="10">
        <f>'G) Solidarité'!I7</f>
        <v>3975313.2604583362</v>
      </c>
      <c r="H17" s="14">
        <f t="shared" ref="H17:H80" si="1">F17+G17</f>
        <v>7630743.441544855</v>
      </c>
      <c r="I17" s="55">
        <f t="shared" ref="I17:I80" si="2">E17-H17</f>
        <v>-4035947.1574051995</v>
      </c>
    </row>
    <row r="18" spans="1:9" x14ac:dyDescent="0.25">
      <c r="A18" s="49">
        <f>'A) Base RI'!A9</f>
        <v>5403</v>
      </c>
      <c r="B18" s="32" t="str">
        <f>'A) Base RI'!B9</f>
        <v>Chessel</v>
      </c>
      <c r="C18" s="31">
        <f>'D) Ecrêtage'!C8</f>
        <v>12090.332702702703</v>
      </c>
      <c r="D18" s="14">
        <f>'A) Base RI'!V9</f>
        <v>497</v>
      </c>
      <c r="E18" s="10">
        <f t="shared" si="0"/>
        <v>225535.59234384957</v>
      </c>
      <c r="F18" s="14">
        <f>'F) Population'!K11</f>
        <v>61999.999999999993</v>
      </c>
      <c r="G18" s="10">
        <f>'G) Solidarité'!I8</f>
        <v>261545.80094102884</v>
      </c>
      <c r="H18" s="14">
        <f t="shared" si="1"/>
        <v>323545.80094102881</v>
      </c>
      <c r="I18" s="55">
        <f t="shared" si="2"/>
        <v>-98010.20859717924</v>
      </c>
    </row>
    <row r="19" spans="1:9" x14ac:dyDescent="0.25">
      <c r="A19" s="49">
        <f>'A) Base RI'!A10</f>
        <v>5404</v>
      </c>
      <c r="B19" s="32" t="str">
        <f>'A) Base RI'!B10</f>
        <v>Corbeyrier</v>
      </c>
      <c r="C19" s="31">
        <f>'D) Ecrêtage'!C9</f>
        <v>11581.118783783784</v>
      </c>
      <c r="D19" s="14">
        <f>'A) Base RI'!V10</f>
        <v>439</v>
      </c>
      <c r="E19" s="10">
        <f t="shared" si="0"/>
        <v>216036.60950713753</v>
      </c>
      <c r="F19" s="14">
        <f>'F) Population'!K12</f>
        <v>54764.587525150899</v>
      </c>
      <c r="G19" s="10">
        <f>'G) Solidarité'!I9</f>
        <v>211301.46364962278</v>
      </c>
      <c r="H19" s="14">
        <f t="shared" si="1"/>
        <v>266066.05117477366</v>
      </c>
      <c r="I19" s="55">
        <f t="shared" si="2"/>
        <v>-50029.441667636129</v>
      </c>
    </row>
    <row r="20" spans="1:9" x14ac:dyDescent="0.25">
      <c r="A20" s="49">
        <f>'A) Base RI'!A11</f>
        <v>5405</v>
      </c>
      <c r="B20" s="32" t="str">
        <f>'A) Base RI'!B11</f>
        <v>Gryon</v>
      </c>
      <c r="C20" s="31">
        <f>'D) Ecrêtage'!C10</f>
        <v>78111.135102040818</v>
      </c>
      <c r="D20" s="14">
        <f>'A) Base RI'!V11</f>
        <v>1382</v>
      </c>
      <c r="E20" s="10">
        <f t="shared" si="0"/>
        <v>1457101.4344337375</v>
      </c>
      <c r="F20" s="14">
        <f>'F) Population'!K13</f>
        <v>258179.476861167</v>
      </c>
      <c r="G20" s="10">
        <f>'G) Solidarité'!I10</f>
        <v>0</v>
      </c>
      <c r="H20" s="14">
        <f t="shared" si="1"/>
        <v>258179.476861167</v>
      </c>
      <c r="I20" s="55">
        <f t="shared" si="2"/>
        <v>1198921.9575725705</v>
      </c>
    </row>
    <row r="21" spans="1:9" x14ac:dyDescent="0.25">
      <c r="A21" s="49">
        <f>'A) Base RI'!A12</f>
        <v>5406</v>
      </c>
      <c r="B21" s="32" t="str">
        <f>'A) Base RI'!B12</f>
        <v>Lavey-Morcles</v>
      </c>
      <c r="C21" s="31">
        <f>'D) Ecrêtage'!C11</f>
        <v>21513.822183969878</v>
      </c>
      <c r="D21" s="14">
        <f>'A) Base RI'!V12</f>
        <v>966</v>
      </c>
      <c r="E21" s="10">
        <f t="shared" si="0"/>
        <v>401323.33403507085</v>
      </c>
      <c r="F21" s="14">
        <f>'F) Population'!K14</f>
        <v>120507.04225352111</v>
      </c>
      <c r="G21" s="10">
        <f>'G) Solidarité'!I11</f>
        <v>515133.07257871487</v>
      </c>
      <c r="H21" s="14">
        <f t="shared" si="1"/>
        <v>635640.11483223597</v>
      </c>
      <c r="I21" s="55">
        <f t="shared" si="2"/>
        <v>-234316.78079716512</v>
      </c>
    </row>
    <row r="22" spans="1:9" x14ac:dyDescent="0.25">
      <c r="A22" s="49">
        <f>'A) Base RI'!A13</f>
        <v>5407</v>
      </c>
      <c r="B22" s="32" t="str">
        <f>'A) Base RI'!B13</f>
        <v>Leysin</v>
      </c>
      <c r="C22" s="31">
        <f>'D) Ecrêtage'!C12</f>
        <v>90687.443803418792</v>
      </c>
      <c r="D22" s="14">
        <f>'A) Base RI'!V13</f>
        <v>3637</v>
      </c>
      <c r="E22" s="10">
        <f t="shared" si="0"/>
        <v>1691702.5245948324</v>
      </c>
      <c r="F22" s="14">
        <f>'F) Population'!K15</f>
        <v>1141199.195171026</v>
      </c>
      <c r="G22" s="10">
        <f>'G) Solidarité'!I12</f>
        <v>2072737.1540708956</v>
      </c>
      <c r="H22" s="14">
        <f t="shared" si="1"/>
        <v>3213936.3492419217</v>
      </c>
      <c r="I22" s="55">
        <f t="shared" si="2"/>
        <v>-1522233.8246470892</v>
      </c>
    </row>
    <row r="23" spans="1:9" x14ac:dyDescent="0.25">
      <c r="A23" s="49">
        <f>'A) Base RI'!A14</f>
        <v>5408</v>
      </c>
      <c r="B23" s="32" t="str">
        <f>'A) Base RI'!B14</f>
        <v>Noville</v>
      </c>
      <c r="C23" s="31">
        <f>'D) Ecrêtage'!C13</f>
        <v>41389.442632696395</v>
      </c>
      <c r="D23" s="14">
        <f>'A) Base RI'!V14</f>
        <v>1169</v>
      </c>
      <c r="E23" s="10">
        <f t="shared" si="0"/>
        <v>772087.31062133959</v>
      </c>
      <c r="F23" s="14">
        <f>'F) Population'!K16</f>
        <v>183779.476861167</v>
      </c>
      <c r="G23" s="10">
        <f>'G) Solidarité'!I13</f>
        <v>373514.12869664369</v>
      </c>
      <c r="H23" s="14">
        <f t="shared" si="1"/>
        <v>557293.60555781075</v>
      </c>
      <c r="I23" s="55">
        <f t="shared" si="2"/>
        <v>214793.70506352885</v>
      </c>
    </row>
    <row r="24" spans="1:9" x14ac:dyDescent="0.25">
      <c r="A24" s="49">
        <f>'A) Base RI'!A15</f>
        <v>5409</v>
      </c>
      <c r="B24" s="32" t="str">
        <f>'A) Base RI'!B15</f>
        <v>Ollon</v>
      </c>
      <c r="C24" s="31">
        <f>'D) Ecrêtage'!C14</f>
        <v>428262.96074660635</v>
      </c>
      <c r="D24" s="14">
        <f>'A) Base RI'!V15</f>
        <v>7904</v>
      </c>
      <c r="E24" s="10">
        <f t="shared" si="0"/>
        <v>7988906.7493837466</v>
      </c>
      <c r="F24" s="14">
        <f>'F) Population'!K17</f>
        <v>3560222.1327967802</v>
      </c>
      <c r="G24" s="10">
        <f>'G) Solidarité'!I14</f>
        <v>0</v>
      </c>
      <c r="H24" s="14">
        <f t="shared" si="1"/>
        <v>3560222.1327967802</v>
      </c>
      <c r="I24" s="55">
        <f t="shared" si="2"/>
        <v>4428684.6165869664</v>
      </c>
    </row>
    <row r="25" spans="1:9" x14ac:dyDescent="0.25">
      <c r="A25" s="49">
        <f>'A) Base RI'!A16</f>
        <v>5410</v>
      </c>
      <c r="B25" s="32" t="str">
        <f>'A) Base RI'!B16</f>
        <v>Ormont-Dessous</v>
      </c>
      <c r="C25" s="31">
        <f>'D) Ecrêtage'!C15</f>
        <v>38614.348051948051</v>
      </c>
      <c r="D25" s="14">
        <f>'A) Base RI'!V16</f>
        <v>1162</v>
      </c>
      <c r="E25" s="10">
        <f t="shared" si="0"/>
        <v>720320.11649446713</v>
      </c>
      <c r="F25" s="14">
        <f>'F) Population'!K18</f>
        <v>181334.40643863179</v>
      </c>
      <c r="G25" s="10">
        <f>'G) Solidarité'!I15</f>
        <v>417070.61995487788</v>
      </c>
      <c r="H25" s="14">
        <f t="shared" si="1"/>
        <v>598405.0263935097</v>
      </c>
      <c r="I25" s="55">
        <f t="shared" si="2"/>
        <v>121915.09010095743</v>
      </c>
    </row>
    <row r="26" spans="1:9" x14ac:dyDescent="0.25">
      <c r="A26" s="49">
        <f>'A) Base RI'!A17</f>
        <v>5411</v>
      </c>
      <c r="B26" s="32" t="str">
        <f>'A) Base RI'!B17</f>
        <v>Ormont-Dessus</v>
      </c>
      <c r="C26" s="31">
        <f>'D) Ecrêtage'!C16</f>
        <v>77411.411228070181</v>
      </c>
      <c r="D26" s="14">
        <f>'A) Base RI'!V17</f>
        <v>1451</v>
      </c>
      <c r="E26" s="10">
        <f t="shared" si="0"/>
        <v>1444048.6390910733</v>
      </c>
      <c r="F26" s="14">
        <f>'F) Population'!K19</f>
        <v>282280.88531187118</v>
      </c>
      <c r="G26" s="10">
        <f>'G) Solidarité'!I16</f>
        <v>0</v>
      </c>
      <c r="H26" s="14">
        <f t="shared" si="1"/>
        <v>282280.88531187118</v>
      </c>
      <c r="I26" s="55">
        <f t="shared" si="2"/>
        <v>1161767.7537792022</v>
      </c>
    </row>
    <row r="27" spans="1:9" x14ac:dyDescent="0.25">
      <c r="A27" s="49">
        <f>'A) Base RI'!A18</f>
        <v>5412</v>
      </c>
      <c r="B27" s="32" t="str">
        <f>'A) Base RI'!B18</f>
        <v>Rennaz</v>
      </c>
      <c r="C27" s="31">
        <f>'D) Ecrêtage'!C17</f>
        <v>28875.999420289856</v>
      </c>
      <c r="D27" s="14">
        <f>'A) Base RI'!V18</f>
        <v>883</v>
      </c>
      <c r="E27" s="10">
        <f t="shared" si="0"/>
        <v>538658.92642639147</v>
      </c>
      <c r="F27" s="14">
        <f>'F) Population'!K20</f>
        <v>110152.91750503017</v>
      </c>
      <c r="G27" s="10">
        <f>'G) Solidarité'!I17</f>
        <v>263374.61062397424</v>
      </c>
      <c r="H27" s="14">
        <f t="shared" si="1"/>
        <v>373527.52812900441</v>
      </c>
      <c r="I27" s="55">
        <f t="shared" si="2"/>
        <v>165131.39829738706</v>
      </c>
    </row>
    <row r="28" spans="1:9" x14ac:dyDescent="0.25">
      <c r="A28" s="49">
        <f>'A) Base RI'!A19</f>
        <v>5413</v>
      </c>
      <c r="B28" s="32" t="str">
        <f>'A) Base RI'!B19</f>
        <v>Roche</v>
      </c>
      <c r="C28" s="31">
        <f>'D) Ecrêtage'!C18</f>
        <v>43148.541249999987</v>
      </c>
      <c r="D28" s="14">
        <f>'A) Base RI'!V19</f>
        <v>1874</v>
      </c>
      <c r="E28" s="10">
        <f t="shared" si="0"/>
        <v>804901.90376782301</v>
      </c>
      <c r="F28" s="14">
        <f>'F) Population'!K21</f>
        <v>430032.99798792752</v>
      </c>
      <c r="G28" s="10">
        <f>'G) Solidarité'!I18</f>
        <v>877805.68015052471</v>
      </c>
      <c r="H28" s="14">
        <f t="shared" si="1"/>
        <v>1307838.6781384521</v>
      </c>
      <c r="I28" s="55">
        <f t="shared" si="2"/>
        <v>-502936.77437062911</v>
      </c>
    </row>
    <row r="29" spans="1:9" x14ac:dyDescent="0.25">
      <c r="A29" s="49">
        <f>'A) Base RI'!A20</f>
        <v>5414</v>
      </c>
      <c r="B29" s="32" t="str">
        <f>'A) Base RI'!B20</f>
        <v>Villeneuve</v>
      </c>
      <c r="C29" s="31">
        <f>'D) Ecrêtage'!C19</f>
        <v>185712.20711111111</v>
      </c>
      <c r="D29" s="14">
        <f>'A) Base RI'!V20</f>
        <v>5921</v>
      </c>
      <c r="E29" s="10">
        <f t="shared" si="0"/>
        <v>3464314.3134452458</v>
      </c>
      <c r="F29" s="14">
        <f>'F) Population'!K22</f>
        <v>2372816.0965794767</v>
      </c>
      <c r="G29" s="10">
        <f>'G) Solidarité'!I19</f>
        <v>1834195.5245319658</v>
      </c>
      <c r="H29" s="14">
        <f t="shared" si="1"/>
        <v>4207011.6211114423</v>
      </c>
      <c r="I29" s="55">
        <f t="shared" si="2"/>
        <v>-742697.30766619649</v>
      </c>
    </row>
    <row r="30" spans="1:9" x14ac:dyDescent="0.25">
      <c r="A30" s="49">
        <f>'A) Base RI'!A21</f>
        <v>5415</v>
      </c>
      <c r="B30" s="32" t="str">
        <f>'A) Base RI'!B21</f>
        <v>Yvorne</v>
      </c>
      <c r="C30" s="31">
        <f>'D) Ecrêtage'!C20</f>
        <v>35910.274638694631</v>
      </c>
      <c r="D30" s="14">
        <f>'A) Base RI'!V21</f>
        <v>1038</v>
      </c>
      <c r="E30" s="10">
        <f t="shared" si="0"/>
        <v>669877.76606493478</v>
      </c>
      <c r="F30" s="14">
        <f>'F) Population'!K23</f>
        <v>138021.73038229375</v>
      </c>
      <c r="G30" s="10">
        <f>'G) Solidarité'!I20</f>
        <v>292317.49783944152</v>
      </c>
      <c r="H30" s="14">
        <f t="shared" si="1"/>
        <v>430339.22822173528</v>
      </c>
      <c r="I30" s="55">
        <f t="shared" si="2"/>
        <v>239538.53784319951</v>
      </c>
    </row>
    <row r="31" spans="1:9" x14ac:dyDescent="0.25">
      <c r="A31" s="49">
        <f>'A) Base RI'!A22</f>
        <v>5421</v>
      </c>
      <c r="B31" s="32" t="str">
        <f>'A) Base RI'!B22</f>
        <v>Apples</v>
      </c>
      <c r="C31" s="31">
        <f>'D) Ecrêtage'!C21</f>
        <v>68531.648243243253</v>
      </c>
      <c r="D31" s="14">
        <f>'A) Base RI'!V22</f>
        <v>1469</v>
      </c>
      <c r="E31" s="10">
        <f t="shared" si="0"/>
        <v>1278403.6850685722</v>
      </c>
      <c r="F31" s="14">
        <f>'F) Population'!K24</f>
        <v>288568.20925553318</v>
      </c>
      <c r="G31" s="10">
        <f>'G) Solidarité'!I21</f>
        <v>55776.906807353698</v>
      </c>
      <c r="H31" s="14">
        <f t="shared" si="1"/>
        <v>344345.1160628869</v>
      </c>
      <c r="I31" s="55">
        <f t="shared" si="2"/>
        <v>934058.56900568528</v>
      </c>
    </row>
    <row r="32" spans="1:9" x14ac:dyDescent="0.25">
      <c r="A32" s="49">
        <f>'A) Base RI'!A23</f>
        <v>5422</v>
      </c>
      <c r="B32" s="32" t="str">
        <f>'A) Base RI'!B23</f>
        <v>Aubonne</v>
      </c>
      <c r="C32" s="31">
        <f>'D) Ecrêtage'!C22</f>
        <v>364706.48499999999</v>
      </c>
      <c r="D32" s="14">
        <f>'A) Base RI'!V23</f>
        <v>3781</v>
      </c>
      <c r="E32" s="10">
        <f t="shared" si="0"/>
        <v>6803310.9715608535</v>
      </c>
      <c r="F32" s="14">
        <f>'F) Population'!K25</f>
        <v>1213054.3259557341</v>
      </c>
      <c r="G32" s="10">
        <f>'G) Solidarité'!I22</f>
        <v>0</v>
      </c>
      <c r="H32" s="14">
        <f t="shared" si="1"/>
        <v>1213054.3259557341</v>
      </c>
      <c r="I32" s="55">
        <f t="shared" si="2"/>
        <v>5590256.6456051189</v>
      </c>
    </row>
    <row r="33" spans="1:9" x14ac:dyDescent="0.25">
      <c r="A33" s="49">
        <f>'A) Base RI'!A24</f>
        <v>5423</v>
      </c>
      <c r="B33" s="32" t="str">
        <f>'A) Base RI'!B24</f>
        <v>Ballens</v>
      </c>
      <c r="C33" s="31">
        <f>'D) Ecrêtage'!C23</f>
        <v>16194.440273972601</v>
      </c>
      <c r="D33" s="14">
        <f>'A) Base RI'!V24</f>
        <v>567</v>
      </c>
      <c r="E33" s="10">
        <f t="shared" si="0"/>
        <v>302094.47247477586</v>
      </c>
      <c r="F33" s="14">
        <f>'F) Population'!K26</f>
        <v>70732.394366197172</v>
      </c>
      <c r="G33" s="10">
        <f>'G) Solidarité'!I23</f>
        <v>239265.13907173852</v>
      </c>
      <c r="H33" s="14">
        <f t="shared" si="1"/>
        <v>309997.53343793569</v>
      </c>
      <c r="I33" s="55">
        <f t="shared" si="2"/>
        <v>-7903.0609631598345</v>
      </c>
    </row>
    <row r="34" spans="1:9" x14ac:dyDescent="0.25">
      <c r="A34" s="49">
        <f>'A) Base RI'!A25</f>
        <v>5424</v>
      </c>
      <c r="B34" s="32" t="str">
        <f>'A) Base RI'!B25</f>
        <v>Berolle</v>
      </c>
      <c r="C34" s="31">
        <f>'D) Ecrêtage'!C24</f>
        <v>8301.8684768211915</v>
      </c>
      <c r="D34" s="14">
        <f>'A) Base RI'!V25</f>
        <v>308</v>
      </c>
      <c r="E34" s="10">
        <f t="shared" si="0"/>
        <v>154864.78912710532</v>
      </c>
      <c r="F34" s="14">
        <f>'F) Population'!K27</f>
        <v>38422.535211267605</v>
      </c>
      <c r="G34" s="10">
        <f>'G) Solidarité'!I24</f>
        <v>150297.86751924315</v>
      </c>
      <c r="H34" s="14">
        <f t="shared" si="1"/>
        <v>188720.40273051074</v>
      </c>
      <c r="I34" s="55">
        <f t="shared" si="2"/>
        <v>-33855.613603405422</v>
      </c>
    </row>
    <row r="35" spans="1:9" x14ac:dyDescent="0.25">
      <c r="A35" s="49">
        <f>'A) Base RI'!A26</f>
        <v>5425</v>
      </c>
      <c r="B35" s="32" t="str">
        <f>'A) Base RI'!B26</f>
        <v>Bière</v>
      </c>
      <c r="C35" s="31">
        <f>'D) Ecrêtage'!C25</f>
        <v>44230.498130934531</v>
      </c>
      <c r="D35" s="14">
        <f>'A) Base RI'!V26</f>
        <v>1634</v>
      </c>
      <c r="E35" s="10">
        <f t="shared" si="0"/>
        <v>825084.95348468702</v>
      </c>
      <c r="F35" s="14">
        <f>'F) Population'!K28</f>
        <v>346202.01207243459</v>
      </c>
      <c r="G35" s="10">
        <f>'G) Solidarité'!I25</f>
        <v>662410.9762023933</v>
      </c>
      <c r="H35" s="14">
        <f t="shared" si="1"/>
        <v>1008612.9882748278</v>
      </c>
      <c r="I35" s="55">
        <f t="shared" si="2"/>
        <v>-183528.03479014081</v>
      </c>
    </row>
    <row r="36" spans="1:9" x14ac:dyDescent="0.25">
      <c r="A36" s="49">
        <f>'A) Base RI'!A27</f>
        <v>5426</v>
      </c>
      <c r="B36" s="32" t="str">
        <f>'A) Base RI'!B27</f>
        <v>Bougy-Villars</v>
      </c>
      <c r="C36" s="31">
        <f>'D) Ecrêtage'!C26</f>
        <v>53043.718423772611</v>
      </c>
      <c r="D36" s="14">
        <f>'A) Base RI'!V27</f>
        <v>497</v>
      </c>
      <c r="E36" s="10">
        <f t="shared" si="0"/>
        <v>989488.60622765392</v>
      </c>
      <c r="F36" s="14">
        <f>'F) Population'!K29</f>
        <v>61999.999999999993</v>
      </c>
      <c r="G36" s="10">
        <f>'G) Solidarité'!I26</f>
        <v>0</v>
      </c>
      <c r="H36" s="14">
        <f t="shared" si="1"/>
        <v>61999.999999999993</v>
      </c>
      <c r="I36" s="55">
        <f t="shared" si="2"/>
        <v>927488.60622765392</v>
      </c>
    </row>
    <row r="37" spans="1:9" x14ac:dyDescent="0.25">
      <c r="A37" s="49">
        <f>'A) Base RI'!A28</f>
        <v>5427</v>
      </c>
      <c r="B37" s="32" t="str">
        <f>'A) Base RI'!B28</f>
        <v>Féchy</v>
      </c>
      <c r="C37" s="31">
        <f>'D) Ecrêtage'!C27</f>
        <v>88215.323569711545</v>
      </c>
      <c r="D37" s="14">
        <f>'A) Base RI'!V28</f>
        <v>893</v>
      </c>
      <c r="E37" s="10">
        <f t="shared" si="0"/>
        <v>1645587.07723996</v>
      </c>
      <c r="F37" s="14">
        <f>'F) Population'!K30</f>
        <v>111400.40241448692</v>
      </c>
      <c r="G37" s="10">
        <f>'G) Solidarité'!I27</f>
        <v>0</v>
      </c>
      <c r="H37" s="14">
        <f t="shared" si="1"/>
        <v>111400.40241448692</v>
      </c>
      <c r="I37" s="55">
        <f t="shared" si="2"/>
        <v>1534186.674825473</v>
      </c>
    </row>
    <row r="38" spans="1:9" x14ac:dyDescent="0.25">
      <c r="A38" s="49">
        <f>'A) Base RI'!A29</f>
        <v>5428</v>
      </c>
      <c r="B38" s="32" t="str">
        <f>'A) Base RI'!B29</f>
        <v>Gimel</v>
      </c>
      <c r="C38" s="31">
        <f>'D) Ecrêtage'!C28</f>
        <v>70558.698881431759</v>
      </c>
      <c r="D38" s="14">
        <f>'A) Base RI'!V29</f>
        <v>2402</v>
      </c>
      <c r="E38" s="10">
        <f t="shared" si="0"/>
        <v>1316216.7111975078</v>
      </c>
      <c r="F38" s="14">
        <f>'F) Population'!K31</f>
        <v>614461.16700201202</v>
      </c>
      <c r="G38" s="10">
        <f>'G) Solidarité'!I28</f>
        <v>1012380.8552345864</v>
      </c>
      <c r="H38" s="14">
        <f t="shared" si="1"/>
        <v>1626842.0222365984</v>
      </c>
      <c r="I38" s="55">
        <f t="shared" si="2"/>
        <v>-310625.31103909062</v>
      </c>
    </row>
    <row r="39" spans="1:9" x14ac:dyDescent="0.25">
      <c r="A39" s="49">
        <f>'A) Base RI'!A30</f>
        <v>5429</v>
      </c>
      <c r="B39" s="32" t="str">
        <f>'A) Base RI'!B30</f>
        <v>Longirod</v>
      </c>
      <c r="C39" s="31">
        <f>'D) Ecrêtage'!C29</f>
        <v>18574.452387096771</v>
      </c>
      <c r="D39" s="14">
        <f>'A) Base RI'!V30</f>
        <v>520</v>
      </c>
      <c r="E39" s="10">
        <f t="shared" si="0"/>
        <v>346491.71570357506</v>
      </c>
      <c r="F39" s="14">
        <f>'F) Population'!K32</f>
        <v>64869.215291750501</v>
      </c>
      <c r="G39" s="10">
        <f>'G) Solidarité'!I29</f>
        <v>158022.16517060637</v>
      </c>
      <c r="H39" s="14">
        <f t="shared" si="1"/>
        <v>222891.38046235687</v>
      </c>
      <c r="I39" s="55">
        <f t="shared" si="2"/>
        <v>123600.33524121818</v>
      </c>
    </row>
    <row r="40" spans="1:9" x14ac:dyDescent="0.25">
      <c r="A40" s="49">
        <f>'A) Base RI'!A31</f>
        <v>5430</v>
      </c>
      <c r="B40" s="32" t="str">
        <f>'A) Base RI'!B31</f>
        <v>Marchissy</v>
      </c>
      <c r="C40" s="31">
        <f>'D) Ecrêtage'!C30</f>
        <v>15580.981548387101</v>
      </c>
      <c r="D40" s="14">
        <f>'A) Base RI'!V31</f>
        <v>485</v>
      </c>
      <c r="E40" s="10">
        <f t="shared" si="0"/>
        <v>290650.88523399626</v>
      </c>
      <c r="F40" s="14">
        <f>'F) Population'!K33</f>
        <v>60503.018108651908</v>
      </c>
      <c r="G40" s="10">
        <f>'G) Solidarité'!I30</f>
        <v>189205.26512281239</v>
      </c>
      <c r="H40" s="14">
        <f t="shared" si="1"/>
        <v>249708.2832314643</v>
      </c>
      <c r="I40" s="55">
        <f t="shared" si="2"/>
        <v>40942.602002531959</v>
      </c>
    </row>
    <row r="41" spans="1:9" x14ac:dyDescent="0.25">
      <c r="A41" s="49">
        <f>'A) Base RI'!A32</f>
        <v>5431</v>
      </c>
      <c r="B41" s="32" t="str">
        <f>'A) Base RI'!B32</f>
        <v>Mollens</v>
      </c>
      <c r="C41" s="31">
        <f>'D) Ecrêtage'!C31</f>
        <v>10464.972567567567</v>
      </c>
      <c r="D41" s="14">
        <f>'A) Base RI'!V32</f>
        <v>319</v>
      </c>
      <c r="E41" s="10">
        <f t="shared" si="0"/>
        <v>195215.78478654084</v>
      </c>
      <c r="F41" s="14">
        <f>'F) Population'!K34</f>
        <v>39794.768611670021</v>
      </c>
      <c r="G41" s="10">
        <f>'G) Solidarité'!I31</f>
        <v>108716.80092572942</v>
      </c>
      <c r="H41" s="14">
        <f t="shared" si="1"/>
        <v>148511.56953739945</v>
      </c>
      <c r="I41" s="55">
        <f t="shared" si="2"/>
        <v>46704.215249141387</v>
      </c>
    </row>
    <row r="42" spans="1:9" x14ac:dyDescent="0.25">
      <c r="A42" s="49">
        <f>'A) Base RI'!A33</f>
        <v>5434</v>
      </c>
      <c r="B42" s="32" t="str">
        <f>'A) Base RI'!B33</f>
        <v>Saint-George</v>
      </c>
      <c r="C42" s="31">
        <f>'D) Ecrêtage'!C32</f>
        <v>43544.748513189443</v>
      </c>
      <c r="D42" s="14">
        <f>'A) Base RI'!V33</f>
        <v>1072</v>
      </c>
      <c r="E42" s="10">
        <f t="shared" si="0"/>
        <v>812292.83683738147</v>
      </c>
      <c r="F42" s="14">
        <f>'F) Population'!K35</f>
        <v>149897.78672032192</v>
      </c>
      <c r="G42" s="10">
        <f>'G) Solidarité'!I32</f>
        <v>160647.32925800327</v>
      </c>
      <c r="H42" s="14">
        <f t="shared" si="1"/>
        <v>310545.11597832519</v>
      </c>
      <c r="I42" s="55">
        <f t="shared" si="2"/>
        <v>501747.72085905628</v>
      </c>
    </row>
    <row r="43" spans="1:9" x14ac:dyDescent="0.25">
      <c r="A43" s="49">
        <f>'A) Base RI'!A34</f>
        <v>5435</v>
      </c>
      <c r="B43" s="32" t="str">
        <f>'A) Base RI'!B34</f>
        <v>Saint-Livres</v>
      </c>
      <c r="C43" s="31">
        <f>'D) Ecrêtage'!C33</f>
        <v>25854.309855072468</v>
      </c>
      <c r="D43" s="14">
        <f>'A) Base RI'!V34</f>
        <v>674</v>
      </c>
      <c r="E43" s="10">
        <f t="shared" si="0"/>
        <v>482291.69793662545</v>
      </c>
      <c r="F43" s="14">
        <f>'F) Population'!K36</f>
        <v>84080.482897384296</v>
      </c>
      <c r="G43" s="10">
        <f>'G) Solidarité'!I33</f>
        <v>128528.61143624758</v>
      </c>
      <c r="H43" s="14">
        <f t="shared" si="1"/>
        <v>212609.09433363186</v>
      </c>
      <c r="I43" s="55">
        <f t="shared" si="2"/>
        <v>269682.60360299359</v>
      </c>
    </row>
    <row r="44" spans="1:9" x14ac:dyDescent="0.25">
      <c r="A44" s="49">
        <f>'A) Base RI'!A35</f>
        <v>5436</v>
      </c>
      <c r="B44" s="32" t="str">
        <f>'A) Base RI'!B35</f>
        <v>Saint-Oyens</v>
      </c>
      <c r="C44" s="31">
        <f>'D) Ecrêtage'!C34</f>
        <v>16868.339629629631</v>
      </c>
      <c r="D44" s="14">
        <f>'A) Base RI'!V35</f>
        <v>458</v>
      </c>
      <c r="E44" s="10">
        <f t="shared" si="0"/>
        <v>314665.53185714263</v>
      </c>
      <c r="F44" s="14">
        <f>'F) Population'!K37</f>
        <v>57134.80885311871</v>
      </c>
      <c r="G44" s="10">
        <f>'G) Solidarité'!I34</f>
        <v>138710.17462119152</v>
      </c>
      <c r="H44" s="14">
        <f t="shared" si="1"/>
        <v>195844.98347431023</v>
      </c>
      <c r="I44" s="55">
        <f t="shared" si="2"/>
        <v>118820.54838283241</v>
      </c>
    </row>
    <row r="45" spans="1:9" x14ac:dyDescent="0.25">
      <c r="A45" s="49">
        <f>'A) Base RI'!A36</f>
        <v>5437</v>
      </c>
      <c r="B45" s="32" t="str">
        <f>'A) Base RI'!B36</f>
        <v>Saubraz</v>
      </c>
      <c r="C45" s="31">
        <f>'D) Ecrêtage'!C35</f>
        <v>13551.757374999997</v>
      </c>
      <c r="D45" s="14">
        <f>'A) Base RI'!V36</f>
        <v>444</v>
      </c>
      <c r="E45" s="10">
        <f t="shared" si="0"/>
        <v>252797.31352533583</v>
      </c>
      <c r="F45" s="14">
        <f>'F) Population'!K38</f>
        <v>55388.329979879272</v>
      </c>
      <c r="G45" s="10">
        <f>'G) Solidarité'!I35</f>
        <v>202767.34830980701</v>
      </c>
      <c r="H45" s="14">
        <f t="shared" si="1"/>
        <v>258155.67828968627</v>
      </c>
      <c r="I45" s="55">
        <f t="shared" si="2"/>
        <v>-5358.3647643504373</v>
      </c>
    </row>
    <row r="46" spans="1:9" x14ac:dyDescent="0.25">
      <c r="A46" s="49">
        <f>'A) Base RI'!A37</f>
        <v>5451</v>
      </c>
      <c r="B46" s="32" t="str">
        <f>'A) Base RI'!B37</f>
        <v>Avenches</v>
      </c>
      <c r="C46" s="31">
        <f>'D) Ecrêtage'!C36</f>
        <v>137890.8513283208</v>
      </c>
      <c r="D46" s="14">
        <f>'A) Base RI'!V37</f>
        <v>4616</v>
      </c>
      <c r="E46" s="10">
        <f t="shared" si="0"/>
        <v>2572244.7510628481</v>
      </c>
      <c r="F46" s="14">
        <f>'F) Population'!K39</f>
        <v>1629714.2857142854</v>
      </c>
      <c r="G46" s="10">
        <f>'G) Solidarité'!I36</f>
        <v>1509575.496478772</v>
      </c>
      <c r="H46" s="14">
        <f t="shared" si="1"/>
        <v>3139289.7821930572</v>
      </c>
      <c r="I46" s="55">
        <f t="shared" si="2"/>
        <v>-567045.0311302091</v>
      </c>
    </row>
    <row r="47" spans="1:9" x14ac:dyDescent="0.25">
      <c r="A47" s="49">
        <f>'A) Base RI'!A38</f>
        <v>5456</v>
      </c>
      <c r="B47" s="32" t="str">
        <f>'A) Base RI'!B38</f>
        <v>Cudrefin</v>
      </c>
      <c r="C47" s="31">
        <f>'D) Ecrêtage'!C37</f>
        <v>64144.951694915253</v>
      </c>
      <c r="D47" s="14">
        <f>'A) Base RI'!V38</f>
        <v>1836</v>
      </c>
      <c r="E47" s="10">
        <f t="shared" si="0"/>
        <v>1196573.3311165494</v>
      </c>
      <c r="F47" s="14">
        <f>'F) Population'!K40</f>
        <v>416759.75855130784</v>
      </c>
      <c r="G47" s="10">
        <f>'G) Solidarité'!I37</f>
        <v>343342.16006654693</v>
      </c>
      <c r="H47" s="14">
        <f t="shared" si="1"/>
        <v>760101.91861785483</v>
      </c>
      <c r="I47" s="55">
        <f t="shared" si="2"/>
        <v>436471.41249869461</v>
      </c>
    </row>
    <row r="48" spans="1:9" x14ac:dyDescent="0.25">
      <c r="A48" s="49">
        <f>'A) Base RI'!A39</f>
        <v>5458</v>
      </c>
      <c r="B48" s="32" t="str">
        <f>'A) Base RI'!B39</f>
        <v>Faoug</v>
      </c>
      <c r="C48" s="31">
        <f>'D) Ecrêtage'!C38</f>
        <v>34721.352769230762</v>
      </c>
      <c r="D48" s="14">
        <f>'A) Base RI'!V39</f>
        <v>866</v>
      </c>
      <c r="E48" s="10">
        <f t="shared" si="0"/>
        <v>647699.36910319119</v>
      </c>
      <c r="F48" s="14">
        <f>'F) Population'!K41</f>
        <v>108032.19315895371</v>
      </c>
      <c r="G48" s="10">
        <f>'G) Solidarité'!I38</f>
        <v>121204.14498989203</v>
      </c>
      <c r="H48" s="14">
        <f t="shared" si="1"/>
        <v>229236.33814884574</v>
      </c>
      <c r="I48" s="55">
        <f t="shared" si="2"/>
        <v>418463.03095434548</v>
      </c>
    </row>
    <row r="49" spans="1:9" x14ac:dyDescent="0.25">
      <c r="A49" s="49">
        <f>'A) Base RI'!A40</f>
        <v>5464</v>
      </c>
      <c r="B49" s="32" t="str">
        <f>'A) Base RI'!B40</f>
        <v>Vully-les-Lacs</v>
      </c>
      <c r="C49" s="31">
        <f>'D) Ecrêtage'!C39</f>
        <v>119169.3065671642</v>
      </c>
      <c r="D49" s="14">
        <f>'A) Base RI'!V40</f>
        <v>3465</v>
      </c>
      <c r="E49" s="10">
        <f t="shared" si="0"/>
        <v>2223009.143480646</v>
      </c>
      <c r="F49" s="14">
        <f>'F) Population'!K42</f>
        <v>1055372.2334004024</v>
      </c>
      <c r="G49" s="10">
        <f>'G) Solidarité'!I39</f>
        <v>869469.61402003968</v>
      </c>
      <c r="H49" s="14">
        <f t="shared" si="1"/>
        <v>1924841.8474204419</v>
      </c>
      <c r="I49" s="55">
        <f t="shared" si="2"/>
        <v>298167.29606020404</v>
      </c>
    </row>
    <row r="50" spans="1:9" x14ac:dyDescent="0.25">
      <c r="A50" s="49">
        <f>'A) Base RI'!A41</f>
        <v>5471</v>
      </c>
      <c r="B50" s="32" t="str">
        <f>'A) Base RI'!B41</f>
        <v>Bettens</v>
      </c>
      <c r="C50" s="31">
        <f>'D) Ecrêtage'!C40</f>
        <v>22893.023698412693</v>
      </c>
      <c r="D50" s="14">
        <f>'A) Base RI'!V41</f>
        <v>626</v>
      </c>
      <c r="E50" s="10">
        <f t="shared" si="0"/>
        <v>427051.24725054915</v>
      </c>
      <c r="F50" s="14">
        <f>'F) Population'!K43</f>
        <v>78092.555331991942</v>
      </c>
      <c r="G50" s="10">
        <f>'G) Solidarité'!I40</f>
        <v>144780.13386381976</v>
      </c>
      <c r="H50" s="14">
        <f t="shared" si="1"/>
        <v>222872.68919581169</v>
      </c>
      <c r="I50" s="55">
        <f t="shared" si="2"/>
        <v>204178.55805473746</v>
      </c>
    </row>
    <row r="51" spans="1:9" x14ac:dyDescent="0.25">
      <c r="A51" s="49">
        <f>'A) Base RI'!A42</f>
        <v>5472</v>
      </c>
      <c r="B51" s="32" t="str">
        <f>'A) Base RI'!B42</f>
        <v>Bournens</v>
      </c>
      <c r="C51" s="31">
        <f>'D) Ecrêtage'!C41</f>
        <v>22178.441944444447</v>
      </c>
      <c r="D51" s="14">
        <f>'A) Base RI'!V42</f>
        <v>507</v>
      </c>
      <c r="E51" s="10">
        <f t="shared" si="0"/>
        <v>413721.28991006105</v>
      </c>
      <c r="F51" s="14">
        <f>'F) Population'!K44</f>
        <v>63247.484909456733</v>
      </c>
      <c r="G51" s="10">
        <f>'G) Solidarité'!I41</f>
        <v>48744.503652139778</v>
      </c>
      <c r="H51" s="14">
        <f t="shared" si="1"/>
        <v>111991.98856159652</v>
      </c>
      <c r="I51" s="55">
        <f t="shared" si="2"/>
        <v>301729.30134846456</v>
      </c>
    </row>
    <row r="52" spans="1:9" x14ac:dyDescent="0.25">
      <c r="A52" s="49">
        <f>'A) Base RI'!A43</f>
        <v>5473</v>
      </c>
      <c r="B52" s="32" t="str">
        <f>'A) Base RI'!B43</f>
        <v>Boussens</v>
      </c>
      <c r="C52" s="31">
        <f>'D) Ecrêtage'!C42</f>
        <v>37059.012888888894</v>
      </c>
      <c r="D52" s="14">
        <f>'A) Base RI'!V43</f>
        <v>1001</v>
      </c>
      <c r="E52" s="10">
        <f t="shared" si="0"/>
        <v>691306.56939701224</v>
      </c>
      <c r="F52" s="14">
        <f>'F) Population'!K45</f>
        <v>125097.78672032194</v>
      </c>
      <c r="G52" s="10">
        <f>'G) Solidarité'!I42</f>
        <v>207040.86874326091</v>
      </c>
      <c r="H52" s="14">
        <f t="shared" si="1"/>
        <v>332138.65546358284</v>
      </c>
      <c r="I52" s="55">
        <f t="shared" si="2"/>
        <v>359167.9139334294</v>
      </c>
    </row>
    <row r="53" spans="1:9" x14ac:dyDescent="0.25">
      <c r="A53" s="49">
        <f>'A) Base RI'!A44</f>
        <v>5474</v>
      </c>
      <c r="B53" s="32" t="str">
        <f>'A) Base RI'!B44</f>
        <v>La Chaux (Cossonay)</v>
      </c>
      <c r="C53" s="31">
        <f>'D) Ecrêtage'!C43</f>
        <v>12905.016929824562</v>
      </c>
      <c r="D53" s="14">
        <f>'A) Base RI'!V44</f>
        <v>398</v>
      </c>
      <c r="E53" s="10">
        <f t="shared" si="0"/>
        <v>240732.88213357105</v>
      </c>
      <c r="F53" s="14">
        <f>'F) Population'!K46</f>
        <v>49649.899396378263</v>
      </c>
      <c r="G53" s="10">
        <f>'G) Solidarité'!I43</f>
        <v>146568.58169505143</v>
      </c>
      <c r="H53" s="14">
        <f t="shared" si="1"/>
        <v>196218.48109142968</v>
      </c>
      <c r="I53" s="55">
        <f t="shared" si="2"/>
        <v>44514.40104214137</v>
      </c>
    </row>
    <row r="54" spans="1:9" x14ac:dyDescent="0.25">
      <c r="A54" s="49">
        <f>'A) Base RI'!A45</f>
        <v>5475</v>
      </c>
      <c r="B54" s="32" t="str">
        <f>'A) Base RI'!B45</f>
        <v>Chavannes-le-Veyron</v>
      </c>
      <c r="C54" s="31">
        <f>'D) Ecrêtage'!C44</f>
        <v>4277.2722666666668</v>
      </c>
      <c r="D54" s="14">
        <f>'A) Base RI'!V45</f>
        <v>155</v>
      </c>
      <c r="E54" s="10">
        <f t="shared" si="0"/>
        <v>79789.130539223333</v>
      </c>
      <c r="F54" s="14">
        <f>'F) Population'!K47</f>
        <v>19336.016096579475</v>
      </c>
      <c r="G54" s="10">
        <f>'G) Solidarité'!I44</f>
        <v>72405.632155759085</v>
      </c>
      <c r="H54" s="14">
        <f t="shared" si="1"/>
        <v>91741.648252338564</v>
      </c>
      <c r="I54" s="55">
        <f t="shared" si="2"/>
        <v>-11952.51771311523</v>
      </c>
    </row>
    <row r="55" spans="1:9" x14ac:dyDescent="0.25">
      <c r="A55" s="49">
        <f>'A) Base RI'!A46</f>
        <v>5476</v>
      </c>
      <c r="B55" s="32" t="str">
        <f>'A) Base RI'!B46</f>
        <v>Chevilly</v>
      </c>
      <c r="C55" s="31">
        <f>'D) Ecrêtage'!C45</f>
        <v>12075.307586206898</v>
      </c>
      <c r="D55" s="14">
        <f>'A) Base RI'!V46</f>
        <v>322</v>
      </c>
      <c r="E55" s="10">
        <f t="shared" si="0"/>
        <v>225255.31068144675</v>
      </c>
      <c r="F55" s="14">
        <f>'F) Population'!K48</f>
        <v>40169.014084507042</v>
      </c>
      <c r="G55" s="10">
        <f>'G) Solidarité'!I45</f>
        <v>73594.992690939282</v>
      </c>
      <c r="H55" s="14">
        <f t="shared" si="1"/>
        <v>113764.00677544632</v>
      </c>
      <c r="I55" s="55">
        <f t="shared" si="2"/>
        <v>111491.30390600042</v>
      </c>
    </row>
    <row r="56" spans="1:9" x14ac:dyDescent="0.25">
      <c r="A56" s="49">
        <f>'A) Base RI'!A47</f>
        <v>5477</v>
      </c>
      <c r="B56" s="32" t="str">
        <f>'A) Base RI'!B47</f>
        <v>Cossonay</v>
      </c>
      <c r="C56" s="31">
        <f>'D) Ecrêtage'!C46</f>
        <v>142597.98359712231</v>
      </c>
      <c r="D56" s="14">
        <f>'A) Base RI'!V47</f>
        <v>4326</v>
      </c>
      <c r="E56" s="10">
        <f t="shared" si="0"/>
        <v>2660052.5798951909</v>
      </c>
      <c r="F56" s="14">
        <f>'F) Population'!K49</f>
        <v>1485006.0362173035</v>
      </c>
      <c r="G56" s="10">
        <f>'G) Solidarité'!I46</f>
        <v>1287324.3102095935</v>
      </c>
      <c r="H56" s="14">
        <f t="shared" si="1"/>
        <v>2772330.3464268968</v>
      </c>
      <c r="I56" s="55">
        <f t="shared" si="2"/>
        <v>-112277.76653170586</v>
      </c>
    </row>
    <row r="57" spans="1:9" x14ac:dyDescent="0.25">
      <c r="A57" s="49">
        <f>'A) Base RI'!A48</f>
        <v>5478</v>
      </c>
      <c r="B57" s="32" t="str">
        <f>'A) Base RI'!B48</f>
        <v>Cottens</v>
      </c>
      <c r="C57" s="31">
        <f>'D) Ecrêtage'!C47</f>
        <v>15741.229189189189</v>
      </c>
      <c r="D57" s="14">
        <f>'A) Base RI'!V48</f>
        <v>484</v>
      </c>
      <c r="E57" s="10">
        <f t="shared" si="0"/>
        <v>293640.17820704443</v>
      </c>
      <c r="F57" s="14">
        <f>'F) Population'!K50</f>
        <v>60378.269617706232</v>
      </c>
      <c r="G57" s="10">
        <f>'G) Solidarité'!I47</f>
        <v>167938.54678267756</v>
      </c>
      <c r="H57" s="14">
        <f t="shared" si="1"/>
        <v>228316.81640038377</v>
      </c>
      <c r="I57" s="55">
        <f t="shared" si="2"/>
        <v>65323.361806660658</v>
      </c>
    </row>
    <row r="58" spans="1:9" x14ac:dyDescent="0.25">
      <c r="A58" s="49">
        <f>'A) Base RI'!A49</f>
        <v>5479</v>
      </c>
      <c r="B58" s="32" t="str">
        <f>'A) Base RI'!B49</f>
        <v>Cuarnens</v>
      </c>
      <c r="C58" s="31">
        <f>'D) Ecrêtage'!C48</f>
        <v>17984.87649350649</v>
      </c>
      <c r="D58" s="14">
        <f>'A) Base RI'!V49</f>
        <v>531</v>
      </c>
      <c r="E58" s="10">
        <f t="shared" si="0"/>
        <v>335493.64380082133</v>
      </c>
      <c r="F58" s="14">
        <f>'F) Population'!K51</f>
        <v>66241.448692152917</v>
      </c>
      <c r="G58" s="10">
        <f>'G) Solidarité'!I48</f>
        <v>182555.49592721253</v>
      </c>
      <c r="H58" s="14">
        <f t="shared" si="1"/>
        <v>248796.94461936544</v>
      </c>
      <c r="I58" s="55">
        <f t="shared" si="2"/>
        <v>86696.699181455886</v>
      </c>
    </row>
    <row r="59" spans="1:9" x14ac:dyDescent="0.25">
      <c r="A59" s="49">
        <f>'A) Base RI'!A50</f>
        <v>5480</v>
      </c>
      <c r="B59" s="32" t="str">
        <f>'A) Base RI'!B50</f>
        <v>Daillens</v>
      </c>
      <c r="C59" s="31">
        <f>'D) Ecrêtage'!C49</f>
        <v>41284.66095959596</v>
      </c>
      <c r="D59" s="14">
        <f>'A) Base RI'!V50</f>
        <v>1051</v>
      </c>
      <c r="E59" s="10">
        <f t="shared" si="0"/>
        <v>770132.69139864412</v>
      </c>
      <c r="F59" s="14">
        <f>'F) Population'!K52</f>
        <v>142562.57545271629</v>
      </c>
      <c r="G59" s="10">
        <f>'G) Solidarité'!I49</f>
        <v>166516.36737398719</v>
      </c>
      <c r="H59" s="14">
        <f t="shared" si="1"/>
        <v>309078.94282670348</v>
      </c>
      <c r="I59" s="55">
        <f t="shared" si="2"/>
        <v>461053.74857194064</v>
      </c>
    </row>
    <row r="60" spans="1:9" x14ac:dyDescent="0.25">
      <c r="A60" s="49">
        <f>'A) Base RI'!A51</f>
        <v>5481</v>
      </c>
      <c r="B60" s="32" t="str">
        <f>'A) Base RI'!B51</f>
        <v>Dizy</v>
      </c>
      <c r="C60" s="31">
        <f>'D) Ecrêtage'!C50</f>
        <v>8120.887333333334</v>
      </c>
      <c r="D60" s="14">
        <f>'A) Base RI'!V51</f>
        <v>225</v>
      </c>
      <c r="E60" s="10">
        <f t="shared" si="0"/>
        <v>151488.7290629785</v>
      </c>
      <c r="F60" s="14">
        <f>'F) Population'!K53</f>
        <v>28068.410462776657</v>
      </c>
      <c r="G60" s="10">
        <f>'G) Solidarité'!I50</f>
        <v>62150.710365312363</v>
      </c>
      <c r="H60" s="14">
        <f t="shared" si="1"/>
        <v>90219.120828089013</v>
      </c>
      <c r="I60" s="55">
        <f t="shared" si="2"/>
        <v>61269.608234889485</v>
      </c>
    </row>
    <row r="61" spans="1:9" x14ac:dyDescent="0.25">
      <c r="A61" s="49">
        <f>'A) Base RI'!A52</f>
        <v>5482</v>
      </c>
      <c r="B61" s="32" t="str">
        <f>'A) Base RI'!B52</f>
        <v>Eclépens</v>
      </c>
      <c r="C61" s="31">
        <f>'D) Ecrêtage'!C51</f>
        <v>54196.336086956522</v>
      </c>
      <c r="D61" s="14">
        <f>'A) Base RI'!V52</f>
        <v>1198</v>
      </c>
      <c r="E61" s="10">
        <f t="shared" si="0"/>
        <v>1010989.7769401899</v>
      </c>
      <c r="F61" s="14">
        <f>'F) Population'!K54</f>
        <v>193909.05432595575</v>
      </c>
      <c r="G61" s="10">
        <f>'G) Solidarité'!I51</f>
        <v>31881.95201806445</v>
      </c>
      <c r="H61" s="14">
        <f t="shared" si="1"/>
        <v>225791.00634402019</v>
      </c>
      <c r="I61" s="55">
        <f t="shared" si="2"/>
        <v>785198.77059616963</v>
      </c>
    </row>
    <row r="62" spans="1:9" x14ac:dyDescent="0.25">
      <c r="A62" s="49">
        <f>'A) Base RI'!A53</f>
        <v>5483</v>
      </c>
      <c r="B62" s="32" t="str">
        <f>'A) Base RI'!B53</f>
        <v>Ferreyres</v>
      </c>
      <c r="C62" s="31">
        <f>'D) Ecrêtage'!C52</f>
        <v>10537.122500000001</v>
      </c>
      <c r="D62" s="14">
        <f>'A) Base RI'!V53</f>
        <v>319</v>
      </c>
      <c r="E62" s="10">
        <f t="shared" si="0"/>
        <v>196561.68470086498</v>
      </c>
      <c r="F62" s="14">
        <f>'F) Population'!K55</f>
        <v>39794.768611670021</v>
      </c>
      <c r="G62" s="10">
        <f>'G) Solidarité'!I52</f>
        <v>113008.34512901009</v>
      </c>
      <c r="H62" s="14">
        <f t="shared" si="1"/>
        <v>152803.1137406801</v>
      </c>
      <c r="I62" s="55">
        <f t="shared" si="2"/>
        <v>43758.570960184879</v>
      </c>
    </row>
    <row r="63" spans="1:9" x14ac:dyDescent="0.25">
      <c r="A63" s="49">
        <f>'A) Base RI'!A54</f>
        <v>5484</v>
      </c>
      <c r="B63" s="32" t="str">
        <f>'A) Base RI'!B54</f>
        <v>Gollion</v>
      </c>
      <c r="C63" s="31">
        <f>'D) Ecrêtage'!C53</f>
        <v>35950.666081081094</v>
      </c>
      <c r="D63" s="14">
        <f>'A) Base RI'!V54</f>
        <v>1018</v>
      </c>
      <c r="E63" s="10">
        <f t="shared" si="0"/>
        <v>670631.23647044459</v>
      </c>
      <c r="F63" s="14">
        <f>'F) Population'!K56</f>
        <v>131035.81488933602</v>
      </c>
      <c r="G63" s="10">
        <f>'G) Solidarité'!I53</f>
        <v>291067.23421333864</v>
      </c>
      <c r="H63" s="14">
        <f t="shared" si="1"/>
        <v>422103.04910267465</v>
      </c>
      <c r="I63" s="55">
        <f t="shared" si="2"/>
        <v>248528.18736776995</v>
      </c>
    </row>
    <row r="64" spans="1:9" x14ac:dyDescent="0.25">
      <c r="A64" s="49">
        <f>'A) Base RI'!A55</f>
        <v>5485</v>
      </c>
      <c r="B64" s="32" t="str">
        <f>'A) Base RI'!B55</f>
        <v>Grancy</v>
      </c>
      <c r="C64" s="31">
        <f>'D) Ecrêtage'!C54</f>
        <v>24488.659571428572</v>
      </c>
      <c r="D64" s="14">
        <f>'A) Base RI'!V55</f>
        <v>445</v>
      </c>
      <c r="E64" s="10">
        <f t="shared" si="0"/>
        <v>456816.57221181225</v>
      </c>
      <c r="F64" s="14">
        <f>'F) Population'!K57</f>
        <v>55513.078470824948</v>
      </c>
      <c r="G64" s="10">
        <f>'G) Solidarité'!I54</f>
        <v>0</v>
      </c>
      <c r="H64" s="14">
        <f t="shared" si="1"/>
        <v>55513.078470824948</v>
      </c>
      <c r="I64" s="55">
        <f t="shared" si="2"/>
        <v>401303.49374098732</v>
      </c>
    </row>
    <row r="65" spans="1:9" x14ac:dyDescent="0.25">
      <c r="A65" s="49">
        <f>'A) Base RI'!A56</f>
        <v>5486</v>
      </c>
      <c r="B65" s="32" t="str">
        <f>'A) Base RI'!B56</f>
        <v>L'Isle</v>
      </c>
      <c r="C65" s="31">
        <f>'D) Ecrêtage'!C55</f>
        <v>29230.387866666671</v>
      </c>
      <c r="D65" s="14">
        <f>'A) Base RI'!V56</f>
        <v>1079</v>
      </c>
      <c r="E65" s="10">
        <f t="shared" si="0"/>
        <v>545269.76254966401</v>
      </c>
      <c r="F65" s="14">
        <f>'F) Population'!K58</f>
        <v>152342.85714285713</v>
      </c>
      <c r="G65" s="10">
        <f>'G) Solidarité'!I55</f>
        <v>516279.53299577074</v>
      </c>
      <c r="H65" s="14">
        <f t="shared" si="1"/>
        <v>668622.39013862784</v>
      </c>
      <c r="I65" s="55">
        <f t="shared" si="2"/>
        <v>-123352.62758896383</v>
      </c>
    </row>
    <row r="66" spans="1:9" x14ac:dyDescent="0.25">
      <c r="A66" s="49">
        <f>'A) Base RI'!A57</f>
        <v>5487</v>
      </c>
      <c r="B66" s="32" t="str">
        <f>'A) Base RI'!B57</f>
        <v>Lussery-Villars</v>
      </c>
      <c r="C66" s="31">
        <f>'D) Ecrêtage'!C56</f>
        <v>16622.441866666668</v>
      </c>
      <c r="D66" s="14">
        <f>'A) Base RI'!V57</f>
        <v>475</v>
      </c>
      <c r="E66" s="10">
        <f t="shared" si="0"/>
        <v>310078.50360989827</v>
      </c>
      <c r="F66" s="14">
        <f>'F) Population'!K59</f>
        <v>59255.533199195168</v>
      </c>
      <c r="G66" s="10">
        <f>'G) Solidarité'!I56</f>
        <v>142926.66499668758</v>
      </c>
      <c r="H66" s="14">
        <f t="shared" si="1"/>
        <v>202182.19819588275</v>
      </c>
      <c r="I66" s="55">
        <f t="shared" si="2"/>
        <v>107896.30541401551</v>
      </c>
    </row>
    <row r="67" spans="1:9" x14ac:dyDescent="0.25">
      <c r="A67" s="49">
        <f>'A) Base RI'!A58</f>
        <v>5488</v>
      </c>
      <c r="B67" s="32" t="str">
        <f>'A) Base RI'!B58</f>
        <v>Mauraz</v>
      </c>
      <c r="C67" s="31">
        <f>'D) Ecrêtage'!C57</f>
        <v>1729.1857142857141</v>
      </c>
      <c r="D67" s="14">
        <f>'A) Base RI'!V58</f>
        <v>60</v>
      </c>
      <c r="E67" s="10">
        <f t="shared" si="0"/>
        <v>32256.591603700959</v>
      </c>
      <c r="F67" s="14">
        <f>'F) Population'!K60</f>
        <v>7484.9094567404418</v>
      </c>
      <c r="G67" s="10">
        <f>'G) Solidarité'!I57</f>
        <v>27803.00248984923</v>
      </c>
      <c r="H67" s="14">
        <f t="shared" si="1"/>
        <v>35287.911946589673</v>
      </c>
      <c r="I67" s="55">
        <f t="shared" si="2"/>
        <v>-3031.3203428887136</v>
      </c>
    </row>
    <row r="68" spans="1:9" x14ac:dyDescent="0.25">
      <c r="A68" s="49">
        <f>'A) Base RI'!A59</f>
        <v>5489</v>
      </c>
      <c r="B68" s="32" t="str">
        <f>'A) Base RI'!B59</f>
        <v>Mex</v>
      </c>
      <c r="C68" s="31">
        <f>'D) Ecrêtage'!C58</f>
        <v>50879.929915966379</v>
      </c>
      <c r="D68" s="14">
        <f>'A) Base RI'!V59</f>
        <v>795</v>
      </c>
      <c r="E68" s="10">
        <f t="shared" si="0"/>
        <v>949124.84330938442</v>
      </c>
      <c r="F68" s="14">
        <f>'F) Population'!K61</f>
        <v>99175.050301810857</v>
      </c>
      <c r="G68" s="10">
        <f>'G) Solidarité'!I58</f>
        <v>0</v>
      </c>
      <c r="H68" s="14">
        <f t="shared" si="1"/>
        <v>99175.050301810857</v>
      </c>
      <c r="I68" s="55">
        <f t="shared" si="2"/>
        <v>849949.79300757358</v>
      </c>
    </row>
    <row r="69" spans="1:9" x14ac:dyDescent="0.25">
      <c r="A69" s="49">
        <f>'A) Base RI'!A60</f>
        <v>5490</v>
      </c>
      <c r="B69" s="32" t="str">
        <f>'A) Base RI'!B60</f>
        <v>Moiry</v>
      </c>
      <c r="C69" s="31">
        <f>'D) Ecrêtage'!C59</f>
        <v>9056.9</v>
      </c>
      <c r="D69" s="14">
        <f>'A) Base RI'!V60</f>
        <v>301</v>
      </c>
      <c r="E69" s="10">
        <f t="shared" si="0"/>
        <v>168949.30491386654</v>
      </c>
      <c r="F69" s="14">
        <f>'F) Population'!K62</f>
        <v>37549.295774647886</v>
      </c>
      <c r="G69" s="10">
        <f>'G) Solidarité'!I59</f>
        <v>132128.25551377266</v>
      </c>
      <c r="H69" s="14">
        <f t="shared" si="1"/>
        <v>169677.55128842054</v>
      </c>
      <c r="I69" s="55">
        <f t="shared" si="2"/>
        <v>-728.24637455400079</v>
      </c>
    </row>
    <row r="70" spans="1:9" x14ac:dyDescent="0.25">
      <c r="A70" s="49">
        <f>'A) Base RI'!A61</f>
        <v>5491</v>
      </c>
      <c r="B70" s="32" t="str">
        <f>'A) Base RI'!B61</f>
        <v>Mont-la-Ville</v>
      </c>
      <c r="C70" s="31">
        <f>'D) Ecrêtage'!C60</f>
        <v>13648.930789473685</v>
      </c>
      <c r="D70" s="14">
        <f>'A) Base RI'!V61</f>
        <v>508</v>
      </c>
      <c r="E70" s="10">
        <f t="shared" si="0"/>
        <v>254610.00670196765</v>
      </c>
      <c r="F70" s="14">
        <f>'F) Population'!K63</f>
        <v>63372.233400402409</v>
      </c>
      <c r="G70" s="10">
        <f>'G) Solidarité'!I60</f>
        <v>252197.66715005884</v>
      </c>
      <c r="H70" s="14">
        <f t="shared" si="1"/>
        <v>315569.90055046126</v>
      </c>
      <c r="I70" s="55">
        <f t="shared" si="2"/>
        <v>-60959.893848493608</v>
      </c>
    </row>
    <row r="71" spans="1:9" x14ac:dyDescent="0.25">
      <c r="A71" s="49">
        <f>'A) Base RI'!A62</f>
        <v>5492</v>
      </c>
      <c r="B71" s="32" t="str">
        <f>'A) Base RI'!B62</f>
        <v>Montricher</v>
      </c>
      <c r="C71" s="31">
        <f>'D) Ecrêtage'!C61</f>
        <v>175268.45531250001</v>
      </c>
      <c r="D71" s="14">
        <f>'A) Base RI'!V62</f>
        <v>981</v>
      </c>
      <c r="E71" s="10">
        <f t="shared" si="0"/>
        <v>3269494.3853166047</v>
      </c>
      <c r="F71" s="14">
        <f>'F) Population'!K64</f>
        <v>122378.26961770623</v>
      </c>
      <c r="G71" s="10">
        <f>'G) Solidarité'!I61</f>
        <v>0</v>
      </c>
      <c r="H71" s="14">
        <f t="shared" si="1"/>
        <v>122378.26961770623</v>
      </c>
      <c r="I71" s="55">
        <f t="shared" si="2"/>
        <v>3147116.1156988987</v>
      </c>
    </row>
    <row r="72" spans="1:9" x14ac:dyDescent="0.25">
      <c r="A72" s="49">
        <f>'A) Base RI'!A63</f>
        <v>5493</v>
      </c>
      <c r="B72" s="32" t="str">
        <f>'A) Base RI'!B63</f>
        <v>Orny</v>
      </c>
      <c r="C72" s="31">
        <f>'D) Ecrêtage'!C62</f>
        <v>13489.946448893574</v>
      </c>
      <c r="D72" s="14">
        <f>'A) Base RI'!V63</f>
        <v>480</v>
      </c>
      <c r="E72" s="10">
        <f t="shared" si="0"/>
        <v>251644.27959520934</v>
      </c>
      <c r="F72" s="14">
        <f>'F) Population'!K65</f>
        <v>59879.275653923534</v>
      </c>
      <c r="G72" s="10">
        <f>'G) Solidarité'!I62</f>
        <v>207227.16875120596</v>
      </c>
      <c r="H72" s="14">
        <f t="shared" si="1"/>
        <v>267106.44440512947</v>
      </c>
      <c r="I72" s="55">
        <f t="shared" si="2"/>
        <v>-15462.164809920127</v>
      </c>
    </row>
    <row r="73" spans="1:9" x14ac:dyDescent="0.25">
      <c r="A73" s="49">
        <f>'A) Base RI'!A64</f>
        <v>5494</v>
      </c>
      <c r="B73" s="32" t="str">
        <f>'A) Base RI'!B64</f>
        <v>Pampigny</v>
      </c>
      <c r="C73" s="31">
        <f>'D) Ecrêtage'!C63</f>
        <v>43210.558962818002</v>
      </c>
      <c r="D73" s="14">
        <f>'A) Base RI'!V64</f>
        <v>1185</v>
      </c>
      <c r="E73" s="10">
        <f t="shared" si="0"/>
        <v>806058.79514047271</v>
      </c>
      <c r="F73" s="14">
        <f>'F) Population'!K66</f>
        <v>189368.20925553318</v>
      </c>
      <c r="G73" s="10">
        <f>'G) Solidarité'!I63</f>
        <v>300725.66165400186</v>
      </c>
      <c r="H73" s="14">
        <f t="shared" si="1"/>
        <v>490093.87090953504</v>
      </c>
      <c r="I73" s="55">
        <f t="shared" si="2"/>
        <v>315964.92423093767</v>
      </c>
    </row>
    <row r="74" spans="1:9" x14ac:dyDescent="0.25">
      <c r="A74" s="49">
        <f>'A) Base RI'!A65</f>
        <v>5495</v>
      </c>
      <c r="B74" s="32" t="str">
        <f>'A) Base RI'!B65</f>
        <v>Penthalaz</v>
      </c>
      <c r="C74" s="31">
        <f>'D) Ecrêtage'!C64</f>
        <v>95314.520135135113</v>
      </c>
      <c r="D74" s="14">
        <f>'A) Base RI'!V65</f>
        <v>3210</v>
      </c>
      <c r="E74" s="10">
        <f t="shared" si="0"/>
        <v>1778016.9732502087</v>
      </c>
      <c r="F74" s="14">
        <f>'F) Population'!K67</f>
        <v>928128.77263581473</v>
      </c>
      <c r="G74" s="10">
        <f>'G) Solidarité'!I64</f>
        <v>1312505.8079481935</v>
      </c>
      <c r="H74" s="14">
        <f t="shared" si="1"/>
        <v>2240634.5805840082</v>
      </c>
      <c r="I74" s="55">
        <f t="shared" si="2"/>
        <v>-462617.60733379959</v>
      </c>
    </row>
    <row r="75" spans="1:9" x14ac:dyDescent="0.25">
      <c r="A75" s="49">
        <f>'A) Base RI'!A66</f>
        <v>5496</v>
      </c>
      <c r="B75" s="32" t="str">
        <f>'A) Base RI'!B66</f>
        <v>Penthaz</v>
      </c>
      <c r="C75" s="31">
        <f>'D) Ecrêtage'!C65</f>
        <v>56267.911654676267</v>
      </c>
      <c r="D75" s="14">
        <f>'A) Base RI'!V66</f>
        <v>1890</v>
      </c>
      <c r="E75" s="10">
        <f t="shared" si="0"/>
        <v>1049633.3804074689</v>
      </c>
      <c r="F75" s="14">
        <f>'F) Population'!K68</f>
        <v>435621.7303822937</v>
      </c>
      <c r="G75" s="10">
        <f>'G) Solidarité'!I65</f>
        <v>678796.22895698238</v>
      </c>
      <c r="H75" s="14">
        <f t="shared" si="1"/>
        <v>1114417.959339276</v>
      </c>
      <c r="I75" s="55">
        <f t="shared" si="2"/>
        <v>-64784.578931807075</v>
      </c>
    </row>
    <row r="76" spans="1:9" x14ac:dyDescent="0.25">
      <c r="A76" s="49">
        <f>'A) Base RI'!A67</f>
        <v>5497</v>
      </c>
      <c r="B76" s="32" t="str">
        <f>'A) Base RI'!B67</f>
        <v>Pompaples</v>
      </c>
      <c r="C76" s="31">
        <f>'D) Ecrêtage'!C66</f>
        <v>22253.499393939397</v>
      </c>
      <c r="D76" s="14">
        <f>'A) Base RI'!V67</f>
        <v>849</v>
      </c>
      <c r="E76" s="10">
        <f t="shared" si="0"/>
        <v>415121.42725515482</v>
      </c>
      <c r="F76" s="14">
        <f>'F) Population'!K69</f>
        <v>105911.46881287725</v>
      </c>
      <c r="G76" s="10">
        <f>'G) Solidarité'!I66</f>
        <v>327564.96981760394</v>
      </c>
      <c r="H76" s="14">
        <f t="shared" si="1"/>
        <v>433476.43863048119</v>
      </c>
      <c r="I76" s="55">
        <f t="shared" si="2"/>
        <v>-18355.011375326372</v>
      </c>
    </row>
    <row r="77" spans="1:9" x14ac:dyDescent="0.25">
      <c r="A77" s="49">
        <f>'A) Base RI'!A68</f>
        <v>5498</v>
      </c>
      <c r="B77" s="32" t="str">
        <f>'A) Base RI'!B68</f>
        <v>La Sarraz</v>
      </c>
      <c r="C77" s="31">
        <f>'D) Ecrêtage'!C67</f>
        <v>74682.149090909108</v>
      </c>
      <c r="D77" s="14">
        <f>'A) Base RI'!V68</f>
        <v>2620</v>
      </c>
      <c r="E77" s="10">
        <f t="shared" si="0"/>
        <v>1393136.4129429322</v>
      </c>
      <c r="F77" s="14">
        <f>'F) Population'!K70</f>
        <v>690607.64587525139</v>
      </c>
      <c r="G77" s="10">
        <f>'G) Solidarité'!I67</f>
        <v>906329.87187056837</v>
      </c>
      <c r="H77" s="14">
        <f t="shared" si="1"/>
        <v>1596937.5177458199</v>
      </c>
      <c r="I77" s="55">
        <f t="shared" si="2"/>
        <v>-203801.10480288765</v>
      </c>
    </row>
    <row r="78" spans="1:9" x14ac:dyDescent="0.25">
      <c r="A78" s="49">
        <f>'A) Base RI'!A69</f>
        <v>5499</v>
      </c>
      <c r="B78" s="32" t="str">
        <f>'A) Base RI'!B69</f>
        <v>Senarclens</v>
      </c>
      <c r="C78" s="31">
        <f>'D) Ecrêtage'!C68</f>
        <v>18238.904233576643</v>
      </c>
      <c r="D78" s="14">
        <f>'A) Base RI'!V69</f>
        <v>491</v>
      </c>
      <c r="E78" s="10">
        <f t="shared" si="0"/>
        <v>340232.33033966937</v>
      </c>
      <c r="F78" s="14">
        <f>'F) Population'!K71</f>
        <v>61251.50905432595</v>
      </c>
      <c r="G78" s="10">
        <f>'G) Solidarité'!I68</f>
        <v>103441.66025701296</v>
      </c>
      <c r="H78" s="14">
        <f t="shared" si="1"/>
        <v>164693.16931133892</v>
      </c>
      <c r="I78" s="55">
        <f t="shared" si="2"/>
        <v>175539.16102833045</v>
      </c>
    </row>
    <row r="79" spans="1:9" x14ac:dyDescent="0.25">
      <c r="A79" s="49">
        <f>'A) Base RI'!A70</f>
        <v>5500</v>
      </c>
      <c r="B79" s="32" t="str">
        <f>'A) Base RI'!B70</f>
        <v>Sévery</v>
      </c>
      <c r="C79" s="31">
        <f>'D) Ecrêtage'!C69</f>
        <v>7230.3632420091335</v>
      </c>
      <c r="D79" s="14">
        <f>'A) Base RI'!V70</f>
        <v>220</v>
      </c>
      <c r="E79" s="10">
        <f t="shared" si="0"/>
        <v>134876.70660073686</v>
      </c>
      <c r="F79" s="14">
        <f>'F) Population'!K72</f>
        <v>27444.668008048287</v>
      </c>
      <c r="G79" s="10">
        <f>'G) Solidarité'!I69</f>
        <v>72684.698857037976</v>
      </c>
      <c r="H79" s="14">
        <f t="shared" si="1"/>
        <v>100129.36686508627</v>
      </c>
      <c r="I79" s="55">
        <f t="shared" si="2"/>
        <v>34747.339735650588</v>
      </c>
    </row>
    <row r="80" spans="1:9" x14ac:dyDescent="0.25">
      <c r="A80" s="49">
        <f>'A) Base RI'!A71</f>
        <v>5501</v>
      </c>
      <c r="B80" s="32" t="str">
        <f>'A) Base RI'!B71</f>
        <v>Sullens</v>
      </c>
      <c r="C80" s="31">
        <f>'D) Ecrêtage'!C70</f>
        <v>43195.598978102193</v>
      </c>
      <c r="D80" s="14">
        <f>'A) Base RI'!V71</f>
        <v>1143</v>
      </c>
      <c r="E80" s="10">
        <f t="shared" si="0"/>
        <v>805779.72845990234</v>
      </c>
      <c r="F80" s="14">
        <f>'F) Population'!K73</f>
        <v>174697.78672032192</v>
      </c>
      <c r="G80" s="10">
        <f>'G) Solidarité'!I70</f>
        <v>226986.06697714858</v>
      </c>
      <c r="H80" s="14">
        <f t="shared" si="1"/>
        <v>401683.85369747051</v>
      </c>
      <c r="I80" s="55">
        <f t="shared" si="2"/>
        <v>404095.87476243183</v>
      </c>
    </row>
    <row r="81" spans="1:9" x14ac:dyDescent="0.25">
      <c r="A81" s="49">
        <f>'A) Base RI'!A72</f>
        <v>5503</v>
      </c>
      <c r="B81" s="32" t="str">
        <f>'A) Base RI'!B72</f>
        <v>Vufflens-la-Ville</v>
      </c>
      <c r="C81" s="31">
        <f>'D) Ecrêtage'!C71</f>
        <v>79029.714875621881</v>
      </c>
      <c r="D81" s="14">
        <f>'A) Base RI'!V72</f>
        <v>1346</v>
      </c>
      <c r="E81" s="10">
        <f t="shared" ref="E81:E144" si="3">C81*E$15</f>
        <v>1474236.8134546452</v>
      </c>
      <c r="F81" s="14">
        <f>'F) Population'!K74</f>
        <v>245604.82897384305</v>
      </c>
      <c r="G81" s="10">
        <f>'G) Solidarité'!I71</f>
        <v>0</v>
      </c>
      <c r="H81" s="14">
        <f t="shared" ref="H81:H144" si="4">F81+G81</f>
        <v>245604.82897384305</v>
      </c>
      <c r="I81" s="55">
        <f t="shared" ref="I81:I144" si="5">E81-H81</f>
        <v>1228631.9844808022</v>
      </c>
    </row>
    <row r="82" spans="1:9" x14ac:dyDescent="0.25">
      <c r="A82" s="49">
        <f>'A) Base RI'!A73</f>
        <v>5511</v>
      </c>
      <c r="B82" s="32" t="str">
        <f>'A) Base RI'!B73</f>
        <v>Assens</v>
      </c>
      <c r="C82" s="31">
        <f>'D) Ecrêtage'!C72</f>
        <v>47333.455142857143</v>
      </c>
      <c r="D82" s="14">
        <f>'A) Base RI'!V73</f>
        <v>1151</v>
      </c>
      <c r="E82" s="10">
        <f t="shared" si="3"/>
        <v>882968.1619050001</v>
      </c>
      <c r="F82" s="14">
        <f>'F) Population'!K75</f>
        <v>177492.15291750501</v>
      </c>
      <c r="G82" s="10">
        <f>'G) Solidarité'!I72</f>
        <v>163631.36936276904</v>
      </c>
      <c r="H82" s="14">
        <f t="shared" si="4"/>
        <v>341123.52228027408</v>
      </c>
      <c r="I82" s="55">
        <f t="shared" si="5"/>
        <v>541844.63962472603</v>
      </c>
    </row>
    <row r="83" spans="1:9" x14ac:dyDescent="0.25">
      <c r="A83" s="49">
        <f>'A) Base RI'!A74</f>
        <v>5512</v>
      </c>
      <c r="B83" s="32" t="str">
        <f>'A) Base RI'!B74</f>
        <v>Bercher</v>
      </c>
      <c r="C83" s="31">
        <f>'D) Ecrêtage'!C73</f>
        <v>40764.12544303797</v>
      </c>
      <c r="D83" s="14">
        <f>'A) Base RI'!V74</f>
        <v>1320</v>
      </c>
      <c r="E83" s="10">
        <f t="shared" si="3"/>
        <v>760422.51311408181</v>
      </c>
      <c r="F83" s="14">
        <f>'F) Population'!K76</f>
        <v>236523.138832998</v>
      </c>
      <c r="G83" s="10">
        <f>'G) Solidarité'!I73</f>
        <v>576002.45140064391</v>
      </c>
      <c r="H83" s="14">
        <f t="shared" si="4"/>
        <v>812525.59023364191</v>
      </c>
      <c r="I83" s="55">
        <f t="shared" si="5"/>
        <v>-52103.077119560097</v>
      </c>
    </row>
    <row r="84" spans="1:9" x14ac:dyDescent="0.25">
      <c r="A84" s="49">
        <f>'A) Base RI'!A75</f>
        <v>5513</v>
      </c>
      <c r="B84" s="32" t="str">
        <f>'A) Base RI'!B75</f>
        <v>Bioley-Orjulaz</v>
      </c>
      <c r="C84" s="31">
        <f>'D) Ecrêtage'!C74</f>
        <v>22739.022647058824</v>
      </c>
      <c r="D84" s="14">
        <f>'A) Base RI'!V75</f>
        <v>518</v>
      </c>
      <c r="E84" s="10">
        <f t="shared" si="3"/>
        <v>424178.47946220648</v>
      </c>
      <c r="F84" s="14">
        <f>'F) Population'!K77</f>
        <v>64619.718309859149</v>
      </c>
      <c r="G84" s="10">
        <f>'G) Solidarité'!I74</f>
        <v>42955.996696189221</v>
      </c>
      <c r="H84" s="14">
        <f t="shared" si="4"/>
        <v>107575.71500604837</v>
      </c>
      <c r="I84" s="55">
        <f t="shared" si="5"/>
        <v>316602.7644561581</v>
      </c>
    </row>
    <row r="85" spans="1:9" x14ac:dyDescent="0.25">
      <c r="A85" s="49">
        <f>'A) Base RI'!A76</f>
        <v>5514</v>
      </c>
      <c r="B85" s="32" t="str">
        <f>'A) Base RI'!B76</f>
        <v>Bottens</v>
      </c>
      <c r="C85" s="31">
        <f>'D) Ecrêtage'!C75</f>
        <v>44223.41544827586</v>
      </c>
      <c r="D85" s="14">
        <f>'A) Base RI'!V76</f>
        <v>1357</v>
      </c>
      <c r="E85" s="10">
        <f t="shared" si="3"/>
        <v>824952.83164254378</v>
      </c>
      <c r="F85" s="14">
        <f>'F) Population'!K78</f>
        <v>249447.08249496983</v>
      </c>
      <c r="G85" s="10">
        <f>'G) Solidarité'!I75</f>
        <v>450079.85890771938</v>
      </c>
      <c r="H85" s="14">
        <f t="shared" si="4"/>
        <v>699526.9414026892</v>
      </c>
      <c r="I85" s="55">
        <f t="shared" si="5"/>
        <v>125425.89023985458</v>
      </c>
    </row>
    <row r="86" spans="1:9" x14ac:dyDescent="0.25">
      <c r="A86" s="49">
        <f>'A) Base RI'!A77</f>
        <v>5515</v>
      </c>
      <c r="B86" s="32" t="str">
        <f>'A) Base RI'!B77</f>
        <v>Bretigny-sur-Morrens</v>
      </c>
      <c r="C86" s="31">
        <f>'D) Ecrêtage'!C76</f>
        <v>32348.775256410252</v>
      </c>
      <c r="D86" s="14">
        <f>'A) Base RI'!V77</f>
        <v>882</v>
      </c>
      <c r="E86" s="10">
        <f t="shared" si="3"/>
        <v>603440.81246181333</v>
      </c>
      <c r="F86" s="14">
        <f>'F) Population'!K79</f>
        <v>110028.1690140845</v>
      </c>
      <c r="G86" s="10">
        <f>'G) Solidarité'!I76</f>
        <v>250999.31137637689</v>
      </c>
      <c r="H86" s="14">
        <f t="shared" si="4"/>
        <v>361027.48039046139</v>
      </c>
      <c r="I86" s="55">
        <f t="shared" si="5"/>
        <v>242413.33207135194</v>
      </c>
    </row>
    <row r="87" spans="1:9" x14ac:dyDescent="0.25">
      <c r="A87" s="49">
        <f>'A) Base RI'!A78</f>
        <v>5516</v>
      </c>
      <c r="B87" s="32" t="str">
        <f>'A) Base RI'!B78</f>
        <v>Cugy</v>
      </c>
      <c r="C87" s="31">
        <f>'D) Ecrêtage'!C77</f>
        <v>111604.91621794872</v>
      </c>
      <c r="D87" s="14">
        <f>'A) Base RI'!V78</f>
        <v>2733</v>
      </c>
      <c r="E87" s="10">
        <f t="shared" si="3"/>
        <v>2081901.4254317423</v>
      </c>
      <c r="F87" s="14">
        <f>'F) Population'!K80</f>
        <v>730078.0684104627</v>
      </c>
      <c r="G87" s="10">
        <f>'G) Solidarité'!I77</f>
        <v>501526.16659557732</v>
      </c>
      <c r="H87" s="14">
        <f t="shared" si="4"/>
        <v>1231604.23500604</v>
      </c>
      <c r="I87" s="55">
        <f t="shared" si="5"/>
        <v>850297.19042570237</v>
      </c>
    </row>
    <row r="88" spans="1:9" x14ac:dyDescent="0.25">
      <c r="A88" s="49">
        <f>'A) Base RI'!A79</f>
        <v>5518</v>
      </c>
      <c r="B88" s="32" t="str">
        <f>'A) Base RI'!B79</f>
        <v>Echallens</v>
      </c>
      <c r="C88" s="31">
        <f>'D) Ecrêtage'!C78</f>
        <v>183030.51158620688</v>
      </c>
      <c r="D88" s="14">
        <f>'A) Base RI'!V79</f>
        <v>5739</v>
      </c>
      <c r="E88" s="10">
        <f t="shared" si="3"/>
        <v>3414289.4048205288</v>
      </c>
      <c r="F88" s="14">
        <f>'F) Population'!K81</f>
        <v>2263835.8148893355</v>
      </c>
      <c r="G88" s="10">
        <f>'G) Solidarité'!I78</f>
        <v>1987409.1724139571</v>
      </c>
      <c r="H88" s="14">
        <f t="shared" si="4"/>
        <v>4251244.9873032924</v>
      </c>
      <c r="I88" s="55">
        <f t="shared" si="5"/>
        <v>-836955.58248276357</v>
      </c>
    </row>
    <row r="89" spans="1:9" x14ac:dyDescent="0.25">
      <c r="A89" s="49">
        <f>'A) Base RI'!A80</f>
        <v>5520</v>
      </c>
      <c r="B89" s="32" t="str">
        <f>'A) Base RI'!B80</f>
        <v>Essertines-sur-Yverdon</v>
      </c>
      <c r="C89" s="31">
        <f>'D) Ecrêtage'!C79</f>
        <v>31696.699178082192</v>
      </c>
      <c r="D89" s="14">
        <f>'A) Base RI'!V80</f>
        <v>1059</v>
      </c>
      <c r="E89" s="10">
        <f t="shared" si="3"/>
        <v>591276.8490544128</v>
      </c>
      <c r="F89" s="14">
        <f>'F) Population'!K82</f>
        <v>145356.94164989938</v>
      </c>
      <c r="G89" s="10">
        <f>'G) Solidarité'!I79</f>
        <v>416020.85753746738</v>
      </c>
      <c r="H89" s="14">
        <f t="shared" si="4"/>
        <v>561377.79918736673</v>
      </c>
      <c r="I89" s="55">
        <f t="shared" si="5"/>
        <v>29899.049867046066</v>
      </c>
    </row>
    <row r="90" spans="1:9" x14ac:dyDescent="0.25">
      <c r="A90" s="49">
        <f>'A) Base RI'!A81</f>
        <v>5521</v>
      </c>
      <c r="B90" s="32" t="str">
        <f>'A) Base RI'!B81</f>
        <v>Etagnières</v>
      </c>
      <c r="C90" s="31">
        <f>'D) Ecrêtage'!C80</f>
        <v>42645.35479452055</v>
      </c>
      <c r="D90" s="14">
        <f>'A) Base RI'!V81</f>
        <v>1148</v>
      </c>
      <c r="E90" s="10">
        <f t="shared" si="3"/>
        <v>795515.35849346605</v>
      </c>
      <c r="F90" s="14">
        <f>'F) Population'!K83</f>
        <v>176444.26559356137</v>
      </c>
      <c r="G90" s="10">
        <f>'G) Solidarité'!I80</f>
        <v>274649.51770175865</v>
      </c>
      <c r="H90" s="14">
        <f t="shared" si="4"/>
        <v>451093.78329532</v>
      </c>
      <c r="I90" s="55">
        <f t="shared" si="5"/>
        <v>344421.57519814605</v>
      </c>
    </row>
    <row r="91" spans="1:9" x14ac:dyDescent="0.25">
      <c r="A91" s="49">
        <f>'A) Base RI'!A82</f>
        <v>5522</v>
      </c>
      <c r="B91" s="32" t="str">
        <f>'A) Base RI'!B82</f>
        <v>Fey</v>
      </c>
      <c r="C91" s="31">
        <f>'D) Ecrêtage'!C81</f>
        <v>23924.3328</v>
      </c>
      <c r="D91" s="14">
        <f>'A) Base RI'!V82</f>
        <v>754</v>
      </c>
      <c r="E91" s="10">
        <f t="shared" si="3"/>
        <v>446289.5027093176</v>
      </c>
      <c r="F91" s="14">
        <f>'F) Population'!K84</f>
        <v>94060.362173038229</v>
      </c>
      <c r="G91" s="10">
        <f>'G) Solidarité'!I81</f>
        <v>282180.38525449659</v>
      </c>
      <c r="H91" s="14">
        <f t="shared" si="4"/>
        <v>376240.74742753484</v>
      </c>
      <c r="I91" s="55">
        <f t="shared" si="5"/>
        <v>70048.755281782767</v>
      </c>
    </row>
    <row r="92" spans="1:9" x14ac:dyDescent="0.25">
      <c r="A92" s="49">
        <f>'A) Base RI'!A83</f>
        <v>5523</v>
      </c>
      <c r="B92" s="32" t="str">
        <f>'A) Base RI'!B83</f>
        <v>Froideville</v>
      </c>
      <c r="C92" s="31">
        <f>'D) Ecrêtage'!C82</f>
        <v>93741.085555555546</v>
      </c>
      <c r="D92" s="14">
        <f>'A) Base RI'!V83</f>
        <v>2673</v>
      </c>
      <c r="E92" s="10">
        <f t="shared" si="3"/>
        <v>1748665.7958553594</v>
      </c>
      <c r="F92" s="14">
        <f>'F) Population'!K85</f>
        <v>709120.32193158951</v>
      </c>
      <c r="G92" s="10">
        <f>'G) Solidarité'!I82</f>
        <v>737092.85874006187</v>
      </c>
      <c r="H92" s="14">
        <f t="shared" si="4"/>
        <v>1446213.1806716514</v>
      </c>
      <c r="I92" s="55">
        <f t="shared" si="5"/>
        <v>302452.61518370803</v>
      </c>
    </row>
    <row r="93" spans="1:9" x14ac:dyDescent="0.25">
      <c r="A93" s="49">
        <f>'A) Base RI'!A84</f>
        <v>5527</v>
      </c>
      <c r="B93" s="32" t="str">
        <f>'A) Base RI'!B84</f>
        <v>Morrens</v>
      </c>
      <c r="C93" s="31">
        <f>'D) Ecrêtage'!C83</f>
        <v>39310.302027027028</v>
      </c>
      <c r="D93" s="14">
        <f>'A) Base RI'!V84</f>
        <v>1156</v>
      </c>
      <c r="E93" s="10">
        <f t="shared" si="3"/>
        <v>733302.58735553839</v>
      </c>
      <c r="F93" s="14">
        <f>'F) Population'!K86</f>
        <v>179238.63179074446</v>
      </c>
      <c r="G93" s="10">
        <f>'G) Solidarité'!I83</f>
        <v>363633.58273163805</v>
      </c>
      <c r="H93" s="14">
        <f t="shared" si="4"/>
        <v>542872.21452238248</v>
      </c>
      <c r="I93" s="55">
        <f t="shared" si="5"/>
        <v>190430.37283315591</v>
      </c>
    </row>
    <row r="94" spans="1:9" x14ac:dyDescent="0.25">
      <c r="A94" s="49">
        <f>'A) Base RI'!A85</f>
        <v>5529</v>
      </c>
      <c r="B94" s="32" t="str">
        <f>'A) Base RI'!B85</f>
        <v>Oulens-sous-Echallens</v>
      </c>
      <c r="C94" s="31">
        <f>'D) Ecrêtage'!C84</f>
        <v>21162.231857142859</v>
      </c>
      <c r="D94" s="14">
        <f>'A) Base RI'!V85</f>
        <v>619</v>
      </c>
      <c r="E94" s="10">
        <f t="shared" si="3"/>
        <v>394764.69461850845</v>
      </c>
      <c r="F94" s="14">
        <f>'F) Population'!K87</f>
        <v>77219.31589537223</v>
      </c>
      <c r="G94" s="10">
        <f>'G) Solidarité'!I84</f>
        <v>172023.92181568354</v>
      </c>
      <c r="H94" s="14">
        <f t="shared" si="4"/>
        <v>249243.23771105579</v>
      </c>
      <c r="I94" s="55">
        <f t="shared" si="5"/>
        <v>145521.45690745267</v>
      </c>
    </row>
    <row r="95" spans="1:9" x14ac:dyDescent="0.25">
      <c r="A95" s="49">
        <f>'A) Base RI'!A86</f>
        <v>5530</v>
      </c>
      <c r="B95" s="32" t="str">
        <f>'A) Base RI'!B86</f>
        <v>Pailly</v>
      </c>
      <c r="C95" s="31">
        <f>'D) Ecrêtage'!C85</f>
        <v>19305.859890350872</v>
      </c>
      <c r="D95" s="14">
        <f>'A) Base RI'!V86</f>
        <v>575</v>
      </c>
      <c r="E95" s="10">
        <f t="shared" si="3"/>
        <v>360135.54408674885</v>
      </c>
      <c r="F95" s="14">
        <f>'F) Population'!K88</f>
        <v>71730.382293762566</v>
      </c>
      <c r="G95" s="10">
        <f>'G) Solidarité'!I85</f>
        <v>196486.62202857196</v>
      </c>
      <c r="H95" s="14">
        <f t="shared" si="4"/>
        <v>268217.00432233454</v>
      </c>
      <c r="I95" s="55">
        <f t="shared" si="5"/>
        <v>91918.539764414309</v>
      </c>
    </row>
    <row r="96" spans="1:9" x14ac:dyDescent="0.25">
      <c r="A96" s="49">
        <f>'A) Base RI'!A87</f>
        <v>5531</v>
      </c>
      <c r="B96" s="32" t="str">
        <f>'A) Base RI'!B87</f>
        <v>Penthéréaz</v>
      </c>
      <c r="C96" s="31">
        <f>'D) Ecrêtage'!C86</f>
        <v>14300.817432432432</v>
      </c>
      <c r="D96" s="14">
        <f>'A) Base RI'!V87</f>
        <v>417</v>
      </c>
      <c r="E96" s="10">
        <f t="shared" si="3"/>
        <v>266770.43634240911</v>
      </c>
      <c r="F96" s="14">
        <f>'F) Population'!K89</f>
        <v>52020.120724346074</v>
      </c>
      <c r="G96" s="10">
        <f>'G) Solidarité'!I86</f>
        <v>128535.8818353369</v>
      </c>
      <c r="H96" s="14">
        <f t="shared" si="4"/>
        <v>180556.00255968297</v>
      </c>
      <c r="I96" s="55">
        <f t="shared" si="5"/>
        <v>86214.433782726148</v>
      </c>
    </row>
    <row r="97" spans="1:9" x14ac:dyDescent="0.25">
      <c r="A97" s="49">
        <f>'A) Base RI'!A88</f>
        <v>5533</v>
      </c>
      <c r="B97" s="32" t="str">
        <f>'A) Base RI'!B88</f>
        <v>Poliez-Pittet</v>
      </c>
      <c r="C97" s="31">
        <f>'D) Ecrêtage'!C87</f>
        <v>27502.031917808214</v>
      </c>
      <c r="D97" s="14">
        <f>'A) Base RI'!V88</f>
        <v>833</v>
      </c>
      <c r="E97" s="10">
        <f t="shared" si="3"/>
        <v>513028.64956361114</v>
      </c>
      <c r="F97" s="14">
        <f>'F) Population'!K90</f>
        <v>103915.49295774646</v>
      </c>
      <c r="G97" s="10">
        <f>'G) Solidarité'!I87</f>
        <v>272544.9283595754</v>
      </c>
      <c r="H97" s="14">
        <f t="shared" si="4"/>
        <v>376460.42131732183</v>
      </c>
      <c r="I97" s="55">
        <f t="shared" si="5"/>
        <v>136568.22824628931</v>
      </c>
    </row>
    <row r="98" spans="1:9" x14ac:dyDescent="0.25">
      <c r="A98" s="49">
        <f>'A) Base RI'!A89</f>
        <v>5534</v>
      </c>
      <c r="B98" s="32" t="str">
        <f>'A) Base RI'!B89</f>
        <v>Rueyres</v>
      </c>
      <c r="C98" s="31">
        <f>'D) Ecrêtage'!C88</f>
        <v>13106.991872146118</v>
      </c>
      <c r="D98" s="14">
        <f>'A) Base RI'!V89</f>
        <v>304</v>
      </c>
      <c r="E98" s="10">
        <f t="shared" si="3"/>
        <v>244500.56490750532</v>
      </c>
      <c r="F98" s="14">
        <f>'F) Population'!K91</f>
        <v>37923.541247484907</v>
      </c>
      <c r="G98" s="10">
        <f>'G) Solidarité'!I88</f>
        <v>34117.142640524617</v>
      </c>
      <c r="H98" s="14">
        <f t="shared" si="4"/>
        <v>72040.683888009517</v>
      </c>
      <c r="I98" s="55">
        <f t="shared" si="5"/>
        <v>172459.88101949581</v>
      </c>
    </row>
    <row r="99" spans="1:9" x14ac:dyDescent="0.25">
      <c r="A99" s="49">
        <f>'A) Base RI'!A90</f>
        <v>5535</v>
      </c>
      <c r="B99" s="32" t="str">
        <f>'A) Base RI'!B90</f>
        <v>Saint-Barthélemy</v>
      </c>
      <c r="C99" s="31">
        <f>'D) Ecrêtage'!C89</f>
        <v>25080.318533333328</v>
      </c>
      <c r="D99" s="14">
        <f>'A) Base RI'!V90</f>
        <v>809</v>
      </c>
      <c r="E99" s="10">
        <f t="shared" si="3"/>
        <v>467853.50210613239</v>
      </c>
      <c r="F99" s="14">
        <f>'F) Population'!K92</f>
        <v>100921.52917505029</v>
      </c>
      <c r="G99" s="10">
        <f>'G) Solidarité'!I89</f>
        <v>316000.01436635945</v>
      </c>
      <c r="H99" s="14">
        <f t="shared" si="4"/>
        <v>416921.54354140977</v>
      </c>
      <c r="I99" s="55">
        <f t="shared" si="5"/>
        <v>50931.958564722619</v>
      </c>
    </row>
    <row r="100" spans="1:9" x14ac:dyDescent="0.25">
      <c r="A100" s="49">
        <f>'A) Base RI'!A91</f>
        <v>5537</v>
      </c>
      <c r="B100" s="32" t="str">
        <f>'A) Base RI'!B91</f>
        <v>Villars-le-Terroir</v>
      </c>
      <c r="C100" s="31">
        <f>'D) Ecrêtage'!C90</f>
        <v>42917.816052631584</v>
      </c>
      <c r="D100" s="14">
        <f>'A) Base RI'!V91</f>
        <v>1316</v>
      </c>
      <c r="E100" s="10">
        <f t="shared" si="3"/>
        <v>800597.90772927704</v>
      </c>
      <c r="F100" s="14">
        <f>'F) Population'!K93</f>
        <v>235125.95573440642</v>
      </c>
      <c r="G100" s="10">
        <f>'G) Solidarité'!I90</f>
        <v>478936.68413920124</v>
      </c>
      <c r="H100" s="14">
        <f t="shared" si="4"/>
        <v>714062.63987360767</v>
      </c>
      <c r="I100" s="55">
        <f t="shared" si="5"/>
        <v>86535.267855669372</v>
      </c>
    </row>
    <row r="101" spans="1:9" x14ac:dyDescent="0.25">
      <c r="A101" s="49">
        <f>'A) Base RI'!A92</f>
        <v>5539</v>
      </c>
      <c r="B101" s="32" t="str">
        <f>'A) Base RI'!B92</f>
        <v>Vuarrens</v>
      </c>
      <c r="C101" s="31">
        <f>'D) Ecrêtage'!C91</f>
        <v>34558.047482993185</v>
      </c>
      <c r="D101" s="14">
        <f>'A) Base RI'!V92</f>
        <v>1097</v>
      </c>
      <c r="E101" s="10">
        <f t="shared" si="3"/>
        <v>644653.03817333677</v>
      </c>
      <c r="F101" s="14">
        <f>'F) Population'!K94</f>
        <v>158630.18108651909</v>
      </c>
      <c r="G101" s="10">
        <f>'G) Solidarité'!I91</f>
        <v>399674.92082648928</v>
      </c>
      <c r="H101" s="14">
        <f t="shared" si="4"/>
        <v>558305.10191300837</v>
      </c>
      <c r="I101" s="55">
        <f t="shared" si="5"/>
        <v>86347.936260328395</v>
      </c>
    </row>
    <row r="102" spans="1:9" x14ac:dyDescent="0.25">
      <c r="A102" s="49">
        <f>'A) Base RI'!A93</f>
        <v>5540</v>
      </c>
      <c r="B102" s="32" t="str">
        <f>'A) Base RI'!B93</f>
        <v>Montilliez</v>
      </c>
      <c r="C102" s="31">
        <f>'D) Ecrêtage'!C92</f>
        <v>63315.990655172413</v>
      </c>
      <c r="D102" s="14">
        <f>'A) Base RI'!V93</f>
        <v>1883</v>
      </c>
      <c r="E102" s="10">
        <f t="shared" si="3"/>
        <v>1181109.718681254</v>
      </c>
      <c r="F102" s="14">
        <f>'F) Population'!K95</f>
        <v>433176.65995975852</v>
      </c>
      <c r="G102" s="10">
        <f>'G) Solidarité'!I92</f>
        <v>583587.59562783304</v>
      </c>
      <c r="H102" s="14">
        <f t="shared" si="4"/>
        <v>1016764.2555875916</v>
      </c>
      <c r="I102" s="55">
        <f t="shared" si="5"/>
        <v>164345.4630936624</v>
      </c>
    </row>
    <row r="103" spans="1:9" x14ac:dyDescent="0.25">
      <c r="A103" s="49">
        <f>'A) Base RI'!A94</f>
        <v>5541</v>
      </c>
      <c r="B103" s="32" t="str">
        <f>'A) Base RI'!B94</f>
        <v>Goumoëns</v>
      </c>
      <c r="C103" s="31">
        <f>'D) Ecrêtage'!C93</f>
        <v>41279.032715231784</v>
      </c>
      <c r="D103" s="14">
        <f>'A) Base RI'!V94</f>
        <v>1166</v>
      </c>
      <c r="E103" s="10">
        <f t="shared" si="3"/>
        <v>770027.70095233107</v>
      </c>
      <c r="F103" s="14">
        <f>'F) Population'!K96</f>
        <v>182731.58953722334</v>
      </c>
      <c r="G103" s="10">
        <f>'G) Solidarité'!I93</f>
        <v>344719.5611912905</v>
      </c>
      <c r="H103" s="14">
        <f t="shared" si="4"/>
        <v>527451.15072851384</v>
      </c>
      <c r="I103" s="55">
        <f t="shared" si="5"/>
        <v>242576.55022381723</v>
      </c>
    </row>
    <row r="104" spans="1:9" x14ac:dyDescent="0.25">
      <c r="A104" s="49">
        <f>'A) Base RI'!A95</f>
        <v>5551</v>
      </c>
      <c r="B104" s="32" t="str">
        <f>'A) Base RI'!B95</f>
        <v>Bonvillars</v>
      </c>
      <c r="C104" s="31">
        <f>'D) Ecrêtage'!C94</f>
        <v>18707.412</v>
      </c>
      <c r="D104" s="14">
        <f>'A) Base RI'!V95</f>
        <v>481</v>
      </c>
      <c r="E104" s="10">
        <f t="shared" si="3"/>
        <v>348971.97210274223</v>
      </c>
      <c r="F104" s="14">
        <f>'F) Population'!K97</f>
        <v>60004.02414486921</v>
      </c>
      <c r="G104" s="10">
        <f>'G) Solidarité'!I94</f>
        <v>55180.166411761893</v>
      </c>
      <c r="H104" s="14">
        <f t="shared" si="4"/>
        <v>115184.1905566311</v>
      </c>
      <c r="I104" s="55">
        <f t="shared" si="5"/>
        <v>233787.78154611113</v>
      </c>
    </row>
    <row r="105" spans="1:9" x14ac:dyDescent="0.25">
      <c r="A105" s="49">
        <f>'A) Base RI'!A96</f>
        <v>5552</v>
      </c>
      <c r="B105" s="32" t="str">
        <f>'A) Base RI'!B96</f>
        <v>Bullet</v>
      </c>
      <c r="C105" s="31">
        <f>'D) Ecrêtage'!C95</f>
        <v>19599.59230769231</v>
      </c>
      <c r="D105" s="14">
        <f>'A) Base RI'!V96</f>
        <v>657</v>
      </c>
      <c r="E105" s="10">
        <f t="shared" si="3"/>
        <v>365614.88997115806</v>
      </c>
      <c r="F105" s="14">
        <f>'F) Population'!K98</f>
        <v>81959.758551307837</v>
      </c>
      <c r="G105" s="10">
        <f>'G) Solidarité'!I95</f>
        <v>248925.94141296769</v>
      </c>
      <c r="H105" s="14">
        <f t="shared" si="4"/>
        <v>330885.69996427553</v>
      </c>
      <c r="I105" s="55">
        <f t="shared" si="5"/>
        <v>34729.190006882534</v>
      </c>
    </row>
    <row r="106" spans="1:9" x14ac:dyDescent="0.25">
      <c r="A106" s="49">
        <f>'A) Base RI'!A97</f>
        <v>5553</v>
      </c>
      <c r="B106" s="32" t="str">
        <f>'A) Base RI'!B97</f>
        <v>Champagne</v>
      </c>
      <c r="C106" s="31">
        <f>'D) Ecrêtage'!C96</f>
        <v>40087.525538461538</v>
      </c>
      <c r="D106" s="14">
        <f>'A) Base RI'!V97</f>
        <v>1085</v>
      </c>
      <c r="E106" s="10">
        <f t="shared" si="3"/>
        <v>747801.07712793013</v>
      </c>
      <c r="F106" s="14">
        <f>'F) Population'!K99</f>
        <v>154438.63179074446</v>
      </c>
      <c r="G106" s="10">
        <f>'G) Solidarité'!I96</f>
        <v>209471.9328443711</v>
      </c>
      <c r="H106" s="14">
        <f t="shared" si="4"/>
        <v>363910.56463511556</v>
      </c>
      <c r="I106" s="55">
        <f t="shared" si="5"/>
        <v>383890.51249281457</v>
      </c>
    </row>
    <row r="107" spans="1:9" x14ac:dyDescent="0.25">
      <c r="A107" s="49">
        <f>'A) Base RI'!A98</f>
        <v>5554</v>
      </c>
      <c r="B107" s="32" t="str">
        <f>'A) Base RI'!B98</f>
        <v>Concise</v>
      </c>
      <c r="C107" s="31">
        <f>'D) Ecrêtage'!C97</f>
        <v>31501.78373333333</v>
      </c>
      <c r="D107" s="14">
        <f>'A) Base RI'!V98</f>
        <v>1004</v>
      </c>
      <c r="E107" s="10">
        <f t="shared" si="3"/>
        <v>587640.85562318389</v>
      </c>
      <c r="F107" s="14">
        <f>'F) Population'!K100</f>
        <v>126145.67404426559</v>
      </c>
      <c r="G107" s="10">
        <f>'G) Solidarité'!I97</f>
        <v>383717.49878839002</v>
      </c>
      <c r="H107" s="14">
        <f t="shared" si="4"/>
        <v>509863.1728326556</v>
      </c>
      <c r="I107" s="55">
        <f t="shared" si="5"/>
        <v>77777.682790528284</v>
      </c>
    </row>
    <row r="108" spans="1:9" x14ac:dyDescent="0.25">
      <c r="A108" s="49">
        <f>'A) Base RI'!A99</f>
        <v>5555</v>
      </c>
      <c r="B108" s="32" t="str">
        <f>'A) Base RI'!B99</f>
        <v>Corcelles-près-Concise</v>
      </c>
      <c r="C108" s="31">
        <f>'D) Ecrêtage'!C98</f>
        <v>13878.246956521738</v>
      </c>
      <c r="D108" s="14">
        <f>'A) Base RI'!V99</f>
        <v>417</v>
      </c>
      <c r="E108" s="10">
        <f t="shared" si="3"/>
        <v>258887.71839452037</v>
      </c>
      <c r="F108" s="14">
        <f>'F) Population'!K101</f>
        <v>52020.120724346074</v>
      </c>
      <c r="G108" s="10">
        <f>'G) Solidarité'!I98</f>
        <v>119788.35006999013</v>
      </c>
      <c r="H108" s="14">
        <f t="shared" si="4"/>
        <v>171808.4707943362</v>
      </c>
      <c r="I108" s="55">
        <f t="shared" si="5"/>
        <v>87079.247600184171</v>
      </c>
    </row>
    <row r="109" spans="1:9" x14ac:dyDescent="0.25">
      <c r="A109" s="49">
        <f>'A) Base RI'!A100</f>
        <v>5556</v>
      </c>
      <c r="B109" s="32" t="str">
        <f>'A) Base RI'!B100</f>
        <v>Fiez</v>
      </c>
      <c r="C109" s="31">
        <f>'D) Ecrêtage'!C99</f>
        <v>14577.66780193237</v>
      </c>
      <c r="D109" s="14">
        <f>'A) Base RI'!V100</f>
        <v>442</v>
      </c>
      <c r="E109" s="10">
        <f t="shared" si="3"/>
        <v>271934.8609791128</v>
      </c>
      <c r="F109" s="14">
        <f>'F) Population'!K102</f>
        <v>55138.832997987927</v>
      </c>
      <c r="G109" s="10">
        <f>'G) Solidarité'!I99</f>
        <v>129491.51312250865</v>
      </c>
      <c r="H109" s="14">
        <f t="shared" si="4"/>
        <v>184630.34612049657</v>
      </c>
      <c r="I109" s="55">
        <f t="shared" si="5"/>
        <v>87304.514858616225</v>
      </c>
    </row>
    <row r="110" spans="1:9" x14ac:dyDescent="0.25">
      <c r="A110" s="49">
        <f>'A) Base RI'!A101</f>
        <v>5557</v>
      </c>
      <c r="B110" s="32" t="str">
        <f>'A) Base RI'!B101</f>
        <v>Fontaines-sur-Grandson</v>
      </c>
      <c r="C110" s="31">
        <f>'D) Ecrêtage'!C100</f>
        <v>4232.7450724637674</v>
      </c>
      <c r="D110" s="14">
        <f>'A) Base RI'!V101</f>
        <v>220</v>
      </c>
      <c r="E110" s="10">
        <f t="shared" si="3"/>
        <v>78958.510955221675</v>
      </c>
      <c r="F110" s="14">
        <f>'F) Population'!K103</f>
        <v>27444.668008048287</v>
      </c>
      <c r="G110" s="10">
        <f>'G) Solidarité'!I100</f>
        <v>121938.53930125994</v>
      </c>
      <c r="H110" s="14">
        <f t="shared" si="4"/>
        <v>149383.20730930823</v>
      </c>
      <c r="I110" s="55">
        <f t="shared" si="5"/>
        <v>-70424.696354086554</v>
      </c>
    </row>
    <row r="111" spans="1:9" x14ac:dyDescent="0.25">
      <c r="A111" s="49">
        <f>'A) Base RI'!A102</f>
        <v>5559</v>
      </c>
      <c r="B111" s="32" t="str">
        <f>'A) Base RI'!B102</f>
        <v>Giez</v>
      </c>
      <c r="C111" s="31">
        <f>'D) Ecrêtage'!C101</f>
        <v>23436.990303030303</v>
      </c>
      <c r="D111" s="14">
        <f>'A) Base RI'!V102</f>
        <v>443</v>
      </c>
      <c r="E111" s="10">
        <f t="shared" si="3"/>
        <v>437198.51394737716</v>
      </c>
      <c r="F111" s="14">
        <f>'F) Population'!K104</f>
        <v>55263.581488933596</v>
      </c>
      <c r="G111" s="10">
        <f>'G) Solidarité'!I101</f>
        <v>0</v>
      </c>
      <c r="H111" s="14">
        <f t="shared" si="4"/>
        <v>55263.581488933596</v>
      </c>
      <c r="I111" s="55">
        <f t="shared" si="5"/>
        <v>381934.93245844357</v>
      </c>
    </row>
    <row r="112" spans="1:9" x14ac:dyDescent="0.25">
      <c r="A112" s="49">
        <f>'A) Base RI'!A103</f>
        <v>5560</v>
      </c>
      <c r="B112" s="32" t="str">
        <f>'A) Base RI'!B103</f>
        <v>Grandevent</v>
      </c>
      <c r="C112" s="31">
        <f>'D) Ecrêtage'!C102</f>
        <v>7003.7466176470589</v>
      </c>
      <c r="D112" s="14">
        <f>'A) Base RI'!V103</f>
        <v>238</v>
      </c>
      <c r="E112" s="10">
        <f t="shared" si="3"/>
        <v>130649.35274148047</v>
      </c>
      <c r="F112" s="14">
        <f>'F) Population'!K105</f>
        <v>29690.140845070422</v>
      </c>
      <c r="G112" s="10">
        <f>'G) Solidarité'!I102</f>
        <v>83339.64577913766</v>
      </c>
      <c r="H112" s="14">
        <f t="shared" si="4"/>
        <v>113029.78662420808</v>
      </c>
      <c r="I112" s="55">
        <f t="shared" si="5"/>
        <v>17619.566117272392</v>
      </c>
    </row>
    <row r="113" spans="1:9" x14ac:dyDescent="0.25">
      <c r="A113" s="49">
        <f>'A) Base RI'!A104</f>
        <v>5561</v>
      </c>
      <c r="B113" s="32" t="str">
        <f>'A) Base RI'!B104</f>
        <v>Grandson</v>
      </c>
      <c r="C113" s="31">
        <f>'D) Ecrêtage'!C103</f>
        <v>114506.05043478261</v>
      </c>
      <c r="D113" s="14">
        <f>'A) Base RI'!V104</f>
        <v>3366</v>
      </c>
      <c r="E113" s="10">
        <f t="shared" si="3"/>
        <v>2136019.7892643916</v>
      </c>
      <c r="F113" s="14">
        <f>'F) Population'!K106</f>
        <v>1005971.8309859154</v>
      </c>
      <c r="G113" s="10">
        <f>'G) Solidarité'!I103</f>
        <v>919735.17332351184</v>
      </c>
      <c r="H113" s="14">
        <f t="shared" si="4"/>
        <v>1925707.0043094272</v>
      </c>
      <c r="I113" s="55">
        <f t="shared" si="5"/>
        <v>210312.78495496442</v>
      </c>
    </row>
    <row r="114" spans="1:9" x14ac:dyDescent="0.25">
      <c r="A114" s="49">
        <f>'A) Base RI'!A105</f>
        <v>5562</v>
      </c>
      <c r="B114" s="32" t="str">
        <f>'A) Base RI'!B105</f>
        <v>Mauborget</v>
      </c>
      <c r="C114" s="31">
        <f>'D) Ecrêtage'!C104</f>
        <v>6099.4916904761894</v>
      </c>
      <c r="D114" s="14">
        <f>'A) Base RI'!V105</f>
        <v>137</v>
      </c>
      <c r="E114" s="10">
        <f t="shared" si="3"/>
        <v>113781.19239848701</v>
      </c>
      <c r="F114" s="14">
        <f>'F) Population'!K107</f>
        <v>17090.543259557344</v>
      </c>
      <c r="G114" s="10">
        <f>'G) Solidarité'!I104</f>
        <v>10365.720049610698</v>
      </c>
      <c r="H114" s="14">
        <f t="shared" si="4"/>
        <v>27456.26330916804</v>
      </c>
      <c r="I114" s="55">
        <f t="shared" si="5"/>
        <v>86324.929089318961</v>
      </c>
    </row>
    <row r="115" spans="1:9" x14ac:dyDescent="0.25">
      <c r="A115" s="49">
        <f>'A) Base RI'!A106</f>
        <v>5563</v>
      </c>
      <c r="B115" s="32" t="str">
        <f>'A) Base RI'!B106</f>
        <v>Mutrux</v>
      </c>
      <c r="C115" s="31">
        <f>'D) Ecrêtage'!C105</f>
        <v>4282.2314999999999</v>
      </c>
      <c r="D115" s="14">
        <f>'A) Base RI'!V106</f>
        <v>151</v>
      </c>
      <c r="E115" s="10">
        <f t="shared" si="3"/>
        <v>79881.641113986465</v>
      </c>
      <c r="F115" s="14">
        <f>'F) Population'!K108</f>
        <v>18837.022132796781</v>
      </c>
      <c r="G115" s="10">
        <f>'G) Solidarité'!I105</f>
        <v>77307.255707130447</v>
      </c>
      <c r="H115" s="14">
        <f t="shared" si="4"/>
        <v>96144.277839927236</v>
      </c>
      <c r="I115" s="55">
        <f t="shared" si="5"/>
        <v>-16262.636725940771</v>
      </c>
    </row>
    <row r="116" spans="1:9" x14ac:dyDescent="0.25">
      <c r="A116" s="49">
        <f>'A) Base RI'!A107</f>
        <v>5564</v>
      </c>
      <c r="B116" s="32" t="str">
        <f>'A) Base RI'!B107</f>
        <v>Novalles</v>
      </c>
      <c r="C116" s="31">
        <f>'D) Ecrêtage'!C106</f>
        <v>2099.5480592105264</v>
      </c>
      <c r="D116" s="14">
        <f>'A) Base RI'!V107</f>
        <v>103</v>
      </c>
      <c r="E116" s="10">
        <f t="shared" si="3"/>
        <v>39165.408168012887</v>
      </c>
      <c r="F116" s="14">
        <f>'F) Population'!K109</f>
        <v>12849.094567404425</v>
      </c>
      <c r="G116" s="10">
        <f>'G) Solidarité'!I106</f>
        <v>66541.515189757221</v>
      </c>
      <c r="H116" s="14">
        <f t="shared" si="4"/>
        <v>79390.609757161641</v>
      </c>
      <c r="I116" s="55">
        <f t="shared" si="5"/>
        <v>-40225.201589148754</v>
      </c>
    </row>
    <row r="117" spans="1:9" x14ac:dyDescent="0.25">
      <c r="A117" s="49">
        <f>'A) Base RI'!A108</f>
        <v>5565</v>
      </c>
      <c r="B117" s="32" t="str">
        <f>'A) Base RI'!B108</f>
        <v>Onnens</v>
      </c>
      <c r="C117" s="31">
        <f>'D) Ecrêtage'!C107</f>
        <v>22703.427716535429</v>
      </c>
      <c r="D117" s="14">
        <f>'A) Base RI'!V108</f>
        <v>495</v>
      </c>
      <c r="E117" s="10">
        <f t="shared" si="3"/>
        <v>423514.48419115512</v>
      </c>
      <c r="F117" s="14">
        <f>'F) Population'!K110</f>
        <v>61750.503018108648</v>
      </c>
      <c r="G117" s="10">
        <f>'G) Solidarité'!I107</f>
        <v>20108.591422437352</v>
      </c>
      <c r="H117" s="14">
        <f t="shared" si="4"/>
        <v>81859.094440546003</v>
      </c>
      <c r="I117" s="55">
        <f t="shared" si="5"/>
        <v>341655.38975060912</v>
      </c>
    </row>
    <row r="118" spans="1:9" x14ac:dyDescent="0.25">
      <c r="A118" s="49">
        <f>'A) Base RI'!A109</f>
        <v>5566</v>
      </c>
      <c r="B118" s="32" t="str">
        <f>'A) Base RI'!B109</f>
        <v>Provence</v>
      </c>
      <c r="C118" s="31">
        <f>'D) Ecrêtage'!C108</f>
        <v>9377.8413580246925</v>
      </c>
      <c r="D118" s="14">
        <f>'A) Base RI'!V109</f>
        <v>403</v>
      </c>
      <c r="E118" s="10">
        <f t="shared" si="3"/>
        <v>174936.21206271264</v>
      </c>
      <c r="F118" s="14">
        <f>'F) Population'!K111</f>
        <v>50273.641851106637</v>
      </c>
      <c r="G118" s="10">
        <f>'G) Solidarité'!I108</f>
        <v>265256.6729755986</v>
      </c>
      <c r="H118" s="14">
        <f t="shared" si="4"/>
        <v>315530.31482670526</v>
      </c>
      <c r="I118" s="55">
        <f t="shared" si="5"/>
        <v>-140594.10276399262</v>
      </c>
    </row>
    <row r="119" spans="1:9" x14ac:dyDescent="0.25">
      <c r="A119" s="49">
        <f>'A) Base RI'!A110</f>
        <v>5568</v>
      </c>
      <c r="B119" s="32" t="str">
        <f>'A) Base RI'!B110</f>
        <v>Sainte-Croix</v>
      </c>
      <c r="C119" s="31">
        <f>'D) Ecrêtage'!C109</f>
        <v>109171.87199999999</v>
      </c>
      <c r="D119" s="14">
        <f>'A) Base RI'!V110</f>
        <v>4948</v>
      </c>
      <c r="E119" s="10">
        <f t="shared" si="3"/>
        <v>2036514.9102392218</v>
      </c>
      <c r="F119" s="14">
        <f>'F) Population'!K112</f>
        <v>1795380.2816901407</v>
      </c>
      <c r="G119" s="10">
        <f>'G) Solidarité'!I109</f>
        <v>2549105.9363156259</v>
      </c>
      <c r="H119" s="14">
        <f t="shared" si="4"/>
        <v>4344486.2180057671</v>
      </c>
      <c r="I119" s="55">
        <f t="shared" si="5"/>
        <v>-2307971.3077665456</v>
      </c>
    </row>
    <row r="120" spans="1:9" x14ac:dyDescent="0.25">
      <c r="A120" s="49">
        <f>'A) Base RI'!A111</f>
        <v>5571</v>
      </c>
      <c r="B120" s="32" t="str">
        <f>'A) Base RI'!B111</f>
        <v>Tévenon</v>
      </c>
      <c r="C120" s="31">
        <f>'D) Ecrêtage'!C110</f>
        <v>25325.239790209791</v>
      </c>
      <c r="D120" s="14">
        <f>'A) Base RI'!V111</f>
        <v>883</v>
      </c>
      <c r="E120" s="10">
        <f t="shared" si="3"/>
        <v>472422.31440481177</v>
      </c>
      <c r="F120" s="14">
        <f>'F) Population'!K113</f>
        <v>110152.91750503017</v>
      </c>
      <c r="G120" s="10">
        <f>'G) Solidarité'!I110</f>
        <v>355306.09892129159</v>
      </c>
      <c r="H120" s="14">
        <f t="shared" si="4"/>
        <v>465459.01642632176</v>
      </c>
      <c r="I120" s="55">
        <f t="shared" si="5"/>
        <v>6963.297978490009</v>
      </c>
    </row>
    <row r="121" spans="1:9" x14ac:dyDescent="0.25">
      <c r="A121" s="49">
        <f>'A) Base RI'!A112</f>
        <v>5581</v>
      </c>
      <c r="B121" s="32" t="str">
        <f>'A) Base RI'!B112</f>
        <v>Belmont-sur-Lausanne</v>
      </c>
      <c r="C121" s="31">
        <f>'D) Ecrêtage'!C111</f>
        <v>215435.94296296299</v>
      </c>
      <c r="D121" s="14">
        <f>'A) Base RI'!V112</f>
        <v>3871</v>
      </c>
      <c r="E121" s="10">
        <f t="shared" si="3"/>
        <v>4018787.0923887859</v>
      </c>
      <c r="F121" s="14">
        <f>'F) Population'!K114</f>
        <v>1257963.7826961768</v>
      </c>
      <c r="G121" s="10">
        <f>'G) Solidarité'!I111</f>
        <v>0</v>
      </c>
      <c r="H121" s="14">
        <f t="shared" si="4"/>
        <v>1257963.7826961768</v>
      </c>
      <c r="I121" s="55">
        <f t="shared" si="5"/>
        <v>2760823.3096926091</v>
      </c>
    </row>
    <row r="122" spans="1:9" x14ac:dyDescent="0.25">
      <c r="A122" s="49">
        <f>'A) Base RI'!A113</f>
        <v>5582</v>
      </c>
      <c r="B122" s="32" t="str">
        <f>'A) Base RI'!B113</f>
        <v>Cheseaux-sur-Lausanne</v>
      </c>
      <c r="C122" s="31">
        <f>'D) Ecrêtage'!C112</f>
        <v>167506.84698630136</v>
      </c>
      <c r="D122" s="14">
        <f>'A) Base RI'!V113</f>
        <v>4449</v>
      </c>
      <c r="E122" s="10">
        <f t="shared" si="3"/>
        <v>3124707.721919091</v>
      </c>
      <c r="F122" s="14">
        <f>'F) Population'!K115</f>
        <v>1546382.2937625754</v>
      </c>
      <c r="G122" s="10">
        <f>'G) Solidarité'!I112</f>
        <v>1016762.9581953433</v>
      </c>
      <c r="H122" s="14">
        <f t="shared" si="4"/>
        <v>2563145.2519579185</v>
      </c>
      <c r="I122" s="55">
        <f t="shared" si="5"/>
        <v>561562.46996117244</v>
      </c>
    </row>
    <row r="123" spans="1:9" x14ac:dyDescent="0.25">
      <c r="A123" s="49">
        <f>'A) Base RI'!A114</f>
        <v>5583</v>
      </c>
      <c r="B123" s="32" t="str">
        <f>'A) Base RI'!B114</f>
        <v>Crissier</v>
      </c>
      <c r="C123" s="31">
        <f>'D) Ecrêtage'!C113</f>
        <v>337550.36173228343</v>
      </c>
      <c r="D123" s="14">
        <f>'A) Base RI'!V114</f>
        <v>8974</v>
      </c>
      <c r="E123" s="10">
        <f t="shared" si="3"/>
        <v>6296734.9742288757</v>
      </c>
      <c r="F123" s="14">
        <f>'F) Population'!K116</f>
        <v>4200930.3822937626</v>
      </c>
      <c r="G123" s="10">
        <f>'G) Solidarité'!I113</f>
        <v>1557063.7422711425</v>
      </c>
      <c r="H123" s="14">
        <f t="shared" si="4"/>
        <v>5757994.1245649047</v>
      </c>
      <c r="I123" s="55">
        <f t="shared" si="5"/>
        <v>538740.84966397099</v>
      </c>
    </row>
    <row r="124" spans="1:9" x14ac:dyDescent="0.25">
      <c r="A124" s="49">
        <f>'A) Base RI'!A115</f>
        <v>5584</v>
      </c>
      <c r="B124" s="32" t="str">
        <f>'A) Base RI'!B115</f>
        <v>Epalinges</v>
      </c>
      <c r="C124" s="31">
        <f>'D) Ecrêtage'!C114</f>
        <v>516766.84201550385</v>
      </c>
      <c r="D124" s="14">
        <f>'A) Base RI'!V115</f>
        <v>9813</v>
      </c>
      <c r="E124" s="10">
        <f t="shared" si="3"/>
        <v>9639876.6422344577</v>
      </c>
      <c r="F124" s="14">
        <f>'F) Population'!K117</f>
        <v>4906158.5513078459</v>
      </c>
      <c r="G124" s="10">
        <f>'G) Solidarité'!I114</f>
        <v>0</v>
      </c>
      <c r="H124" s="14">
        <f t="shared" si="4"/>
        <v>4906158.5513078459</v>
      </c>
      <c r="I124" s="55">
        <f t="shared" si="5"/>
        <v>4733718.0909266118</v>
      </c>
    </row>
    <row r="125" spans="1:9" x14ac:dyDescent="0.25">
      <c r="A125" s="49">
        <f>'A) Base RI'!A116</f>
        <v>5585</v>
      </c>
      <c r="B125" s="32" t="str">
        <f>'A) Base RI'!B116</f>
        <v>Jouxtens-Mézery</v>
      </c>
      <c r="C125" s="31">
        <f>'D) Ecrêtage'!C115</f>
        <v>191744.87050847456</v>
      </c>
      <c r="D125" s="14">
        <f>'A) Base RI'!V116</f>
        <v>1460</v>
      </c>
      <c r="E125" s="10">
        <f t="shared" si="3"/>
        <v>3576848.8769011609</v>
      </c>
      <c r="F125" s="14">
        <f>'F) Population'!K118</f>
        <v>285424.54728370218</v>
      </c>
      <c r="G125" s="10">
        <f>'G) Solidarité'!I115</f>
        <v>0</v>
      </c>
      <c r="H125" s="14">
        <f t="shared" si="4"/>
        <v>285424.54728370218</v>
      </c>
      <c r="I125" s="55">
        <f t="shared" si="5"/>
        <v>3291424.3296174589</v>
      </c>
    </row>
    <row r="126" spans="1:9" x14ac:dyDescent="0.25">
      <c r="A126" s="49">
        <f>'A) Base RI'!A117</f>
        <v>5586</v>
      </c>
      <c r="B126" s="32" t="str">
        <f>'A) Base RI'!B117</f>
        <v>Lausanne</v>
      </c>
      <c r="C126" s="31">
        <f>'D) Ecrêtage'!C116</f>
        <v>6461491.7137154993</v>
      </c>
      <c r="D126" s="14">
        <f>'A) Base RI'!V117</f>
        <v>140824</v>
      </c>
      <c r="E126" s="10">
        <f t="shared" si="3"/>
        <v>120534016.46688624</v>
      </c>
      <c r="F126" s="14">
        <f>'F) Population'!K119</f>
        <v>141604706.63983902</v>
      </c>
      <c r="G126" s="10">
        <f>'G) Solidarité'!I116</f>
        <v>8680492.1402040236</v>
      </c>
      <c r="H126" s="14">
        <f t="shared" si="4"/>
        <v>150285198.78004304</v>
      </c>
      <c r="I126" s="55">
        <f t="shared" si="5"/>
        <v>-29751182.313156798</v>
      </c>
    </row>
    <row r="127" spans="1:9" x14ac:dyDescent="0.25">
      <c r="A127" s="49">
        <f>'A) Base RI'!A118</f>
        <v>5587</v>
      </c>
      <c r="B127" s="32" t="str">
        <f>'A) Base RI'!B118</f>
        <v>Le Mont-sur-Lausanne</v>
      </c>
      <c r="C127" s="31">
        <f>'D) Ecrêtage'!C117</f>
        <v>495058.05378684809</v>
      </c>
      <c r="D127" s="14">
        <f>'A) Base RI'!V118</f>
        <v>9217</v>
      </c>
      <c r="E127" s="10">
        <f t="shared" si="3"/>
        <v>9234916.3708663601</v>
      </c>
      <c r="F127" s="14">
        <f>'F) Population'!K120</f>
        <v>4400577.8672032179</v>
      </c>
      <c r="G127" s="10">
        <f>'G) Solidarité'!I117</f>
        <v>0</v>
      </c>
      <c r="H127" s="14">
        <f t="shared" si="4"/>
        <v>4400577.8672032179</v>
      </c>
      <c r="I127" s="55">
        <f t="shared" si="5"/>
        <v>4834338.5036631422</v>
      </c>
    </row>
    <row r="128" spans="1:9" x14ac:dyDescent="0.25">
      <c r="A128" s="49">
        <f>'A) Base RI'!A119</f>
        <v>5588</v>
      </c>
      <c r="B128" s="32" t="str">
        <f>'A) Base RI'!B119</f>
        <v>Paudex</v>
      </c>
      <c r="C128" s="31">
        <f>'D) Ecrêtage'!C118</f>
        <v>215756.29785177234</v>
      </c>
      <c r="D128" s="14">
        <f>'A) Base RI'!V119</f>
        <v>1545</v>
      </c>
      <c r="E128" s="10">
        <f t="shared" si="3"/>
        <v>4024763.0594183542</v>
      </c>
      <c r="F128" s="14">
        <f>'F) Population'!K121</f>
        <v>315114.68812877266</v>
      </c>
      <c r="G128" s="10">
        <f>'G) Solidarité'!I118</f>
        <v>0</v>
      </c>
      <c r="H128" s="14">
        <f t="shared" si="4"/>
        <v>315114.68812877266</v>
      </c>
      <c r="I128" s="55">
        <f t="shared" si="5"/>
        <v>3709648.3712895815</v>
      </c>
    </row>
    <row r="129" spans="1:9" x14ac:dyDescent="0.25">
      <c r="A129" s="49">
        <f>'A) Base RI'!A120</f>
        <v>5589</v>
      </c>
      <c r="B129" s="32" t="str">
        <f>'A) Base RI'!B120</f>
        <v>Prilly</v>
      </c>
      <c r="C129" s="31">
        <f>'D) Ecrêtage'!C119</f>
        <v>419549.81642440322</v>
      </c>
      <c r="D129" s="14">
        <f>'A) Base RI'!V120</f>
        <v>12341</v>
      </c>
      <c r="E129" s="10">
        <f t="shared" si="3"/>
        <v>7826369.9347064923</v>
      </c>
      <c r="F129" s="14">
        <f>'F) Population'!K122</f>
        <v>7101682.0925553311</v>
      </c>
      <c r="G129" s="10">
        <f>'G) Solidarité'!I119</f>
        <v>3728564.9783762908</v>
      </c>
      <c r="H129" s="14">
        <f t="shared" si="4"/>
        <v>10830247.070931621</v>
      </c>
      <c r="I129" s="55">
        <f t="shared" si="5"/>
        <v>-3003877.1362251285</v>
      </c>
    </row>
    <row r="130" spans="1:9" x14ac:dyDescent="0.25">
      <c r="A130" s="49">
        <f>'A) Base RI'!A121</f>
        <v>5590</v>
      </c>
      <c r="B130" s="32" t="str">
        <f>'A) Base RI'!B121</f>
        <v>Pully</v>
      </c>
      <c r="C130" s="31">
        <f>'D) Ecrêtage'!C120</f>
        <v>1603030.9692740045</v>
      </c>
      <c r="D130" s="14">
        <f>'A) Base RI'!V121</f>
        <v>18946</v>
      </c>
      <c r="E130" s="10">
        <f t="shared" si="3"/>
        <v>29903274.631965112</v>
      </c>
      <c r="F130" s="14">
        <f>'F) Population'!K123</f>
        <v>13890295.372233398</v>
      </c>
      <c r="G130" s="10">
        <f>'G) Solidarité'!I120</f>
        <v>0</v>
      </c>
      <c r="H130" s="14">
        <f t="shared" si="4"/>
        <v>13890295.372233398</v>
      </c>
      <c r="I130" s="55">
        <f t="shared" si="5"/>
        <v>16012979.259731714</v>
      </c>
    </row>
    <row r="131" spans="1:9" x14ac:dyDescent="0.25">
      <c r="A131" s="49">
        <f>'A) Base RI'!A122</f>
        <v>5591</v>
      </c>
      <c r="B131" s="32" t="str">
        <f>'A) Base RI'!B122</f>
        <v>Renens</v>
      </c>
      <c r="C131" s="31">
        <f>'D) Ecrêtage'!C121</f>
        <v>569784.47115027823</v>
      </c>
      <c r="D131" s="14">
        <f>'A) Base RI'!V122</f>
        <v>20917</v>
      </c>
      <c r="E131" s="10">
        <f t="shared" si="3"/>
        <v>10628878.573414143</v>
      </c>
      <c r="F131" s="14">
        <f>'F) Population'!K124</f>
        <v>15955681.287726358</v>
      </c>
      <c r="G131" s="10">
        <f>'G) Solidarité'!I121</f>
        <v>10474956.154038383</v>
      </c>
      <c r="H131" s="14">
        <f t="shared" si="4"/>
        <v>26430637.441764742</v>
      </c>
      <c r="I131" s="55">
        <f t="shared" si="5"/>
        <v>-15801758.868350599</v>
      </c>
    </row>
    <row r="132" spans="1:9" x14ac:dyDescent="0.25">
      <c r="A132" s="49">
        <f>'A) Base RI'!A123</f>
        <v>5592</v>
      </c>
      <c r="B132" s="32" t="str">
        <f>'A) Base RI'!B123</f>
        <v>Romanel-sur-Lausanne</v>
      </c>
      <c r="C132" s="31">
        <f>'D) Ecrêtage'!C122</f>
        <v>121086.56368794327</v>
      </c>
      <c r="D132" s="14">
        <f>'A) Base RI'!V123</f>
        <v>3482</v>
      </c>
      <c r="E132" s="10">
        <f t="shared" si="3"/>
        <v>2258774.0583959906</v>
      </c>
      <c r="F132" s="14">
        <f>'F) Population'!K125</f>
        <v>1063855.1307847081</v>
      </c>
      <c r="G132" s="10">
        <f>'G) Solidarité'!I122</f>
        <v>940952.06471209065</v>
      </c>
      <c r="H132" s="14">
        <f t="shared" si="4"/>
        <v>2004807.1954967987</v>
      </c>
      <c r="I132" s="55">
        <f t="shared" si="5"/>
        <v>253966.86289919191</v>
      </c>
    </row>
    <row r="133" spans="1:9" x14ac:dyDescent="0.25">
      <c r="A133" s="49">
        <f>'A) Base RI'!A124</f>
        <v>5601</v>
      </c>
      <c r="B133" s="32" t="str">
        <f>'A) Base RI'!B124</f>
        <v>Chexbres</v>
      </c>
      <c r="C133" s="31">
        <f>'D) Ecrêtage'!C123</f>
        <v>105973.06044444445</v>
      </c>
      <c r="D133" s="14">
        <f>'A) Base RI'!V124</f>
        <v>2229</v>
      </c>
      <c r="E133" s="10">
        <f t="shared" si="3"/>
        <v>1976843.6111345002</v>
      </c>
      <c r="F133" s="14">
        <f>'F) Population'!K126</f>
        <v>554032.99798792752</v>
      </c>
      <c r="G133" s="10">
        <f>'G) Solidarité'!I123</f>
        <v>34278.56535154803</v>
      </c>
      <c r="H133" s="14">
        <f t="shared" si="4"/>
        <v>588311.56333947554</v>
      </c>
      <c r="I133" s="55">
        <f t="shared" si="5"/>
        <v>1388532.0477950247</v>
      </c>
    </row>
    <row r="134" spans="1:9" x14ac:dyDescent="0.25">
      <c r="A134" s="49">
        <f>'A) Base RI'!A125</f>
        <v>5604</v>
      </c>
      <c r="B134" s="32" t="str">
        <f>'A) Base RI'!B125</f>
        <v>Forel (Lavaux)</v>
      </c>
      <c r="C134" s="31">
        <f>'D) Ecrêtage'!C124</f>
        <v>75818.919130434777</v>
      </c>
      <c r="D134" s="14">
        <f>'A) Base RI'!V125</f>
        <v>2110</v>
      </c>
      <c r="E134" s="10">
        <f t="shared" si="3"/>
        <v>1414341.958772606</v>
      </c>
      <c r="F134" s="14">
        <f>'F) Population'!K127</f>
        <v>512466.80080482899</v>
      </c>
      <c r="G134" s="10">
        <f>'G) Solidarité'!I124</f>
        <v>499719.41079858568</v>
      </c>
      <c r="H134" s="14">
        <f t="shared" si="4"/>
        <v>1012186.2116034147</v>
      </c>
      <c r="I134" s="55">
        <f t="shared" si="5"/>
        <v>402155.74716919125</v>
      </c>
    </row>
    <row r="135" spans="1:9" x14ac:dyDescent="0.25">
      <c r="A135" s="49">
        <f>'A) Base RI'!A126</f>
        <v>5606</v>
      </c>
      <c r="B135" s="32" t="str">
        <f>'A) Base RI'!B126</f>
        <v>Lutry</v>
      </c>
      <c r="C135" s="31">
        <f>'D) Ecrêtage'!C125</f>
        <v>941137.19529100519</v>
      </c>
      <c r="D135" s="14">
        <f>'A) Base RI'!V126</f>
        <v>10704</v>
      </c>
      <c r="E135" s="10">
        <f t="shared" si="3"/>
        <v>17556169.878545772</v>
      </c>
      <c r="F135" s="14">
        <f>'F) Population'!K128</f>
        <v>5661984.7082494963</v>
      </c>
      <c r="G135" s="10">
        <f>'G) Solidarité'!I125</f>
        <v>0</v>
      </c>
      <c r="H135" s="14">
        <f t="shared" si="4"/>
        <v>5661984.7082494963</v>
      </c>
      <c r="I135" s="55">
        <f t="shared" si="5"/>
        <v>11894185.170296276</v>
      </c>
    </row>
    <row r="136" spans="1:9" x14ac:dyDescent="0.25">
      <c r="A136" s="49">
        <f>'A) Base RI'!A127</f>
        <v>5607</v>
      </c>
      <c r="B136" s="32" t="str">
        <f>'A) Base RI'!B127</f>
        <v>Puidoux</v>
      </c>
      <c r="C136" s="31">
        <f>'D) Ecrêtage'!C126</f>
        <v>111580.38136464616</v>
      </c>
      <c r="D136" s="14">
        <f>'A) Base RI'!V127</f>
        <v>2924</v>
      </c>
      <c r="E136" s="10">
        <f t="shared" si="3"/>
        <v>2081443.7471520186</v>
      </c>
      <c r="F136" s="14">
        <f>'F) Population'!K129</f>
        <v>796793.56136820919</v>
      </c>
      <c r="G136" s="10">
        <f>'G) Solidarité'!I126</f>
        <v>560463.85707003565</v>
      </c>
      <c r="H136" s="14">
        <f t="shared" si="4"/>
        <v>1357257.4184382448</v>
      </c>
      <c r="I136" s="55">
        <f t="shared" si="5"/>
        <v>724186.32871377375</v>
      </c>
    </row>
    <row r="137" spans="1:9" x14ac:dyDescent="0.25">
      <c r="A137" s="49">
        <f>'A) Base RI'!A128</f>
        <v>5609</v>
      </c>
      <c r="B137" s="32" t="str">
        <f>'A) Base RI'!B128</f>
        <v>Rivaz</v>
      </c>
      <c r="C137" s="31">
        <f>'D) Ecrêtage'!C127</f>
        <v>14896.510161290325</v>
      </c>
      <c r="D137" s="14">
        <f>'A) Base RI'!V128</f>
        <v>331</v>
      </c>
      <c r="E137" s="10">
        <f t="shared" si="3"/>
        <v>277882.61296827288</v>
      </c>
      <c r="F137" s="14">
        <f>'F) Population'!K130</f>
        <v>41291.750503018106</v>
      </c>
      <c r="G137" s="10">
        <f>'G) Solidarité'!I127</f>
        <v>17193.78181475461</v>
      </c>
      <c r="H137" s="14">
        <f t="shared" si="4"/>
        <v>58485.532317772711</v>
      </c>
      <c r="I137" s="55">
        <f t="shared" si="5"/>
        <v>219397.08065050017</v>
      </c>
    </row>
    <row r="138" spans="1:9" x14ac:dyDescent="0.25">
      <c r="A138" s="49">
        <f>'A) Base RI'!A129</f>
        <v>5610</v>
      </c>
      <c r="B138" s="32" t="str">
        <f>'A) Base RI'!B129</f>
        <v>St-Saphorin (Lavaux)</v>
      </c>
      <c r="C138" s="31">
        <f>'D) Ecrêtage'!C128</f>
        <v>23448.462152777778</v>
      </c>
      <c r="D138" s="14">
        <f>'A) Base RI'!V129</f>
        <v>396</v>
      </c>
      <c r="E138" s="10">
        <f t="shared" si="3"/>
        <v>437412.51222945075</v>
      </c>
      <c r="F138" s="14">
        <f>'F) Population'!K131</f>
        <v>49400.402414486918</v>
      </c>
      <c r="G138" s="10">
        <f>'G) Solidarité'!I128</f>
        <v>0</v>
      </c>
      <c r="H138" s="14">
        <f t="shared" si="4"/>
        <v>49400.402414486918</v>
      </c>
      <c r="I138" s="55">
        <f t="shared" si="5"/>
        <v>388012.10981496383</v>
      </c>
    </row>
    <row r="139" spans="1:9" x14ac:dyDescent="0.25">
      <c r="A139" s="49">
        <f>'A) Base RI'!A130</f>
        <v>5611</v>
      </c>
      <c r="B139" s="32" t="str">
        <f>'A) Base RI'!B130</f>
        <v>Savigny</v>
      </c>
      <c r="C139" s="31">
        <f>'D) Ecrêtage'!C129</f>
        <v>140983.13330917869</v>
      </c>
      <c r="D139" s="14">
        <f>'A) Base RI'!V130</f>
        <v>3370</v>
      </c>
      <c r="E139" s="10">
        <f t="shared" si="3"/>
        <v>2629928.8252232801</v>
      </c>
      <c r="F139" s="14">
        <f>'F) Population'!K132</f>
        <v>1007967.8068410461</v>
      </c>
      <c r="G139" s="10">
        <f>'G) Solidarité'!I129</f>
        <v>419942.02804157976</v>
      </c>
      <c r="H139" s="14">
        <f t="shared" si="4"/>
        <v>1427909.8348826258</v>
      </c>
      <c r="I139" s="55">
        <f t="shared" si="5"/>
        <v>1202018.9903406543</v>
      </c>
    </row>
    <row r="140" spans="1:9" x14ac:dyDescent="0.25">
      <c r="A140" s="49">
        <f>'A) Base RI'!A131</f>
        <v>5613</v>
      </c>
      <c r="B140" s="32" t="str">
        <f>'A) Base RI'!B131</f>
        <v>Bourg-en-Lavaux</v>
      </c>
      <c r="C140" s="31">
        <f>'D) Ecrêtage'!C130</f>
        <v>357210.57141333341</v>
      </c>
      <c r="D140" s="14">
        <f>'A) Base RI'!V131</f>
        <v>5367</v>
      </c>
      <c r="E140" s="10">
        <f t="shared" si="3"/>
        <v>6663480.6333478084</v>
      </c>
      <c r="F140" s="14">
        <f>'F) Population'!K133</f>
        <v>2041084.9094567401</v>
      </c>
      <c r="G140" s="10">
        <f>'G) Solidarité'!I130</f>
        <v>0</v>
      </c>
      <c r="H140" s="14">
        <f t="shared" si="4"/>
        <v>2041084.9094567401</v>
      </c>
      <c r="I140" s="55">
        <f t="shared" si="5"/>
        <v>4622395.7238910682</v>
      </c>
    </row>
    <row r="141" spans="1:9" x14ac:dyDescent="0.25">
      <c r="A141" s="49">
        <f>'A) Base RI'!A132</f>
        <v>5621</v>
      </c>
      <c r="B141" s="32" t="str">
        <f>'A) Base RI'!B132</f>
        <v>Aclens</v>
      </c>
      <c r="C141" s="31">
        <f>'D) Ecrêtage'!C131</f>
        <v>32271.293782991204</v>
      </c>
      <c r="D141" s="14">
        <f>'A) Base RI'!V132</f>
        <v>517</v>
      </c>
      <c r="E141" s="10">
        <f t="shared" si="3"/>
        <v>601995.4568679732</v>
      </c>
      <c r="F141" s="14">
        <f>'F) Population'!K134</f>
        <v>64494.96981891348</v>
      </c>
      <c r="G141" s="10">
        <f>'G) Solidarité'!I131</f>
        <v>0</v>
      </c>
      <c r="H141" s="14">
        <f t="shared" si="4"/>
        <v>64494.96981891348</v>
      </c>
      <c r="I141" s="55">
        <f t="shared" si="5"/>
        <v>537500.48704905971</v>
      </c>
    </row>
    <row r="142" spans="1:9" x14ac:dyDescent="0.25">
      <c r="A142" s="49">
        <f>'A) Base RI'!A133</f>
        <v>5622</v>
      </c>
      <c r="B142" s="32" t="str">
        <f>'A) Base RI'!B133</f>
        <v>Bremblens</v>
      </c>
      <c r="C142" s="31">
        <f>'D) Ecrêtage'!C132</f>
        <v>28643.938676470589</v>
      </c>
      <c r="D142" s="14">
        <f>'A) Base RI'!V133</f>
        <v>607</v>
      </c>
      <c r="E142" s="10">
        <f t="shared" si="3"/>
        <v>534330.01682530716</v>
      </c>
      <c r="F142" s="14">
        <f>'F) Population'!K135</f>
        <v>75722.334004024146</v>
      </c>
      <c r="G142" s="10">
        <f>'G) Solidarité'!I132</f>
        <v>13436.524273028226</v>
      </c>
      <c r="H142" s="14">
        <f t="shared" si="4"/>
        <v>89158.858277052379</v>
      </c>
      <c r="I142" s="55">
        <f t="shared" si="5"/>
        <v>445171.15854825475</v>
      </c>
    </row>
    <row r="143" spans="1:9" x14ac:dyDescent="0.25">
      <c r="A143" s="49">
        <f>'A) Base RI'!A134</f>
        <v>5623</v>
      </c>
      <c r="B143" s="32" t="str">
        <f>'A) Base RI'!B134</f>
        <v>Buchillon</v>
      </c>
      <c r="C143" s="31">
        <f>'D) Ecrêtage'!C133</f>
        <v>89231.951153846152</v>
      </c>
      <c r="D143" s="14">
        <f>'A) Base RI'!V134</f>
        <v>669</v>
      </c>
      <c r="E143" s="10">
        <f t="shared" si="3"/>
        <v>1664551.460604666</v>
      </c>
      <c r="F143" s="14">
        <f>'F) Population'!K136</f>
        <v>83456.740442655937</v>
      </c>
      <c r="G143" s="10">
        <f>'G) Solidarité'!I133</f>
        <v>0</v>
      </c>
      <c r="H143" s="14">
        <f t="shared" si="4"/>
        <v>83456.740442655937</v>
      </c>
      <c r="I143" s="55">
        <f t="shared" si="5"/>
        <v>1581094.7201620101</v>
      </c>
    </row>
    <row r="144" spans="1:9" x14ac:dyDescent="0.25">
      <c r="A144" s="49">
        <f>'A) Base RI'!A135</f>
        <v>5624</v>
      </c>
      <c r="B144" s="32" t="str">
        <f>'A) Base RI'!B135</f>
        <v>Bussigny</v>
      </c>
      <c r="C144" s="31">
        <f>'D) Ecrêtage'!C134</f>
        <v>441979.60352000006</v>
      </c>
      <c r="D144" s="14">
        <f>'A) Base RI'!V135</f>
        <v>10253</v>
      </c>
      <c r="E144" s="10">
        <f t="shared" si="3"/>
        <v>8244779.8695812402</v>
      </c>
      <c r="F144" s="14">
        <f>'F) Population'!K137</f>
        <v>5279406.036217303</v>
      </c>
      <c r="G144" s="10">
        <f>'G) Solidarité'!I134</f>
        <v>844701.06620462984</v>
      </c>
      <c r="H144" s="14">
        <f t="shared" si="4"/>
        <v>6124107.1024219329</v>
      </c>
      <c r="I144" s="55">
        <f t="shared" si="5"/>
        <v>2120672.7671593074</v>
      </c>
    </row>
    <row r="145" spans="1:9" x14ac:dyDescent="0.25">
      <c r="A145" s="49">
        <f>'A) Base RI'!A136</f>
        <v>5625</v>
      </c>
      <c r="B145" s="32" t="str">
        <f>'A) Base RI'!B136</f>
        <v>Bussy-Chardonney</v>
      </c>
      <c r="C145" s="31">
        <f>'D) Ecrêtage'!C135</f>
        <v>21108.495740740738</v>
      </c>
      <c r="D145" s="14">
        <f>'A) Base RI'!V136</f>
        <v>412</v>
      </c>
      <c r="E145" s="10">
        <f t="shared" ref="E145:E208" si="6">C145*E$15</f>
        <v>393762.28987572569</v>
      </c>
      <c r="F145" s="14">
        <f>'F) Population'!K138</f>
        <v>51396.3782696177</v>
      </c>
      <c r="G145" s="10">
        <f>'G) Solidarité'!I135</f>
        <v>0</v>
      </c>
      <c r="H145" s="14">
        <f t="shared" ref="H145:H208" si="7">F145+G145</f>
        <v>51396.3782696177</v>
      </c>
      <c r="I145" s="55">
        <f t="shared" ref="I145:I208" si="8">E145-H145</f>
        <v>342365.91160610801</v>
      </c>
    </row>
    <row r="146" spans="1:9" x14ac:dyDescent="0.25">
      <c r="A146" s="49">
        <f>'A) Base RI'!A137</f>
        <v>5627</v>
      </c>
      <c r="B146" s="32" t="str">
        <f>'A) Base RI'!B137</f>
        <v>Chavannes-près-Renens</v>
      </c>
      <c r="C146" s="31">
        <f>'D) Ecrêtage'!C136</f>
        <v>194072.91458064516</v>
      </c>
      <c r="D146" s="14">
        <f>'A) Base RI'!V137</f>
        <v>8767</v>
      </c>
      <c r="E146" s="10">
        <f t="shared" si="6"/>
        <v>3620276.6974360095</v>
      </c>
      <c r="F146" s="14">
        <f>'F) Population'!K139</f>
        <v>4076980.2816901403</v>
      </c>
      <c r="G146" s="10">
        <f>'G) Solidarité'!I136</f>
        <v>5520925.7880287822</v>
      </c>
      <c r="H146" s="14">
        <f t="shared" si="7"/>
        <v>9597906.0697189234</v>
      </c>
      <c r="I146" s="55">
        <f t="shared" si="8"/>
        <v>-5977629.3722829139</v>
      </c>
    </row>
    <row r="147" spans="1:9" x14ac:dyDescent="0.25">
      <c r="A147" s="49">
        <f>'A) Base RI'!A138</f>
        <v>5628</v>
      </c>
      <c r="B147" s="32" t="str">
        <f>'A) Base RI'!B138</f>
        <v>Chigny</v>
      </c>
      <c r="C147" s="31">
        <f>'D) Ecrêtage'!C137</f>
        <v>25790.901129032256</v>
      </c>
      <c r="D147" s="14">
        <f>'A) Base RI'!V138</f>
        <v>405</v>
      </c>
      <c r="E147" s="10">
        <f t="shared" si="6"/>
        <v>481108.85831269587</v>
      </c>
      <c r="F147" s="14">
        <f>'F) Population'!K140</f>
        <v>50523.138832997982</v>
      </c>
      <c r="G147" s="10">
        <f>'G) Solidarité'!I137</f>
        <v>0</v>
      </c>
      <c r="H147" s="14">
        <f t="shared" si="7"/>
        <v>50523.138832997982</v>
      </c>
      <c r="I147" s="55">
        <f t="shared" si="8"/>
        <v>430585.71947969787</v>
      </c>
    </row>
    <row r="148" spans="1:9" x14ac:dyDescent="0.25">
      <c r="A148" s="49">
        <f>'A) Base RI'!A139</f>
        <v>5629</v>
      </c>
      <c r="B148" s="32" t="str">
        <f>'A) Base RI'!B139</f>
        <v>Clarmont</v>
      </c>
      <c r="C148" s="31">
        <f>'D) Ecrêtage'!C138</f>
        <v>9948.0614965986406</v>
      </c>
      <c r="D148" s="14">
        <f>'A) Base RI'!V139</f>
        <v>211</v>
      </c>
      <c r="E148" s="10">
        <f t="shared" si="6"/>
        <v>185573.21766727458</v>
      </c>
      <c r="F148" s="14">
        <f>'F) Population'!K141</f>
        <v>26321.93158953722</v>
      </c>
      <c r="G148" s="10">
        <f>'G) Solidarité'!I138</f>
        <v>5648.6633941577702</v>
      </c>
      <c r="H148" s="14">
        <f t="shared" si="7"/>
        <v>31970.594983694991</v>
      </c>
      <c r="I148" s="55">
        <f t="shared" si="8"/>
        <v>153602.6226835796</v>
      </c>
    </row>
    <row r="149" spans="1:9" x14ac:dyDescent="0.25">
      <c r="A149" s="49">
        <f>'A) Base RI'!A140</f>
        <v>5631</v>
      </c>
      <c r="B149" s="32" t="str">
        <f>'A) Base RI'!B140</f>
        <v>Denens</v>
      </c>
      <c r="C149" s="31">
        <f>'D) Ecrêtage'!C139</f>
        <v>43290.229264705871</v>
      </c>
      <c r="D149" s="14">
        <f>'A) Base RI'!V140</f>
        <v>733</v>
      </c>
      <c r="E149" s="10">
        <f t="shared" si="6"/>
        <v>807544.98159789562</v>
      </c>
      <c r="F149" s="14">
        <f>'F) Population'!K142</f>
        <v>91440.643863179066</v>
      </c>
      <c r="G149" s="10">
        <f>'G) Solidarité'!I139</f>
        <v>0</v>
      </c>
      <c r="H149" s="14">
        <f t="shared" si="7"/>
        <v>91440.643863179066</v>
      </c>
      <c r="I149" s="55">
        <f t="shared" si="8"/>
        <v>716104.3377347166</v>
      </c>
    </row>
    <row r="150" spans="1:9" x14ac:dyDescent="0.25">
      <c r="A150" s="49">
        <f>'A) Base RI'!A141</f>
        <v>5632</v>
      </c>
      <c r="B150" s="32" t="str">
        <f>'A) Base RI'!B141</f>
        <v>Denges</v>
      </c>
      <c r="C150" s="31">
        <f>'D) Ecrêtage'!C140</f>
        <v>80521.21435483871</v>
      </c>
      <c r="D150" s="14">
        <f>'A) Base RI'!V141</f>
        <v>1744</v>
      </c>
      <c r="E150" s="10">
        <f t="shared" si="6"/>
        <v>1502059.556368123</v>
      </c>
      <c r="F150" s="14">
        <f>'F) Population'!K143</f>
        <v>384624.54728370218</v>
      </c>
      <c r="G150" s="10">
        <f>'G) Solidarité'!I140</f>
        <v>59375.513710375097</v>
      </c>
      <c r="H150" s="14">
        <f t="shared" si="7"/>
        <v>444000.0609940773</v>
      </c>
      <c r="I150" s="55">
        <f t="shared" si="8"/>
        <v>1058059.4953740458</v>
      </c>
    </row>
    <row r="151" spans="1:9" x14ac:dyDescent="0.25">
      <c r="A151" s="49">
        <f>'A) Base RI'!A142</f>
        <v>5633</v>
      </c>
      <c r="B151" s="32" t="str">
        <f>'A) Base RI'!B142</f>
        <v>Echandens</v>
      </c>
      <c r="C151" s="31">
        <f>'D) Ecrêtage'!C141</f>
        <v>168845.50793388431</v>
      </c>
      <c r="D151" s="14">
        <f>'A) Base RI'!V142</f>
        <v>2775</v>
      </c>
      <c r="E151" s="10">
        <f t="shared" si="6"/>
        <v>3149679.3829299752</v>
      </c>
      <c r="F151" s="14">
        <f>'F) Population'!K144</f>
        <v>744748.49094567401</v>
      </c>
      <c r="G151" s="10">
        <f>'G) Solidarité'!I141</f>
        <v>0</v>
      </c>
      <c r="H151" s="14">
        <f t="shared" si="7"/>
        <v>744748.49094567401</v>
      </c>
      <c r="I151" s="55">
        <f t="shared" si="8"/>
        <v>2404930.8919843012</v>
      </c>
    </row>
    <row r="152" spans="1:9" x14ac:dyDescent="0.25">
      <c r="A152" s="49">
        <f>'A) Base RI'!A143</f>
        <v>5634</v>
      </c>
      <c r="B152" s="32" t="str">
        <f>'A) Base RI'!B143</f>
        <v>Echichens</v>
      </c>
      <c r="C152" s="31">
        <f>'D) Ecrêtage'!C142</f>
        <v>152568.89227272727</v>
      </c>
      <c r="D152" s="14">
        <f>'A) Base RI'!V143</f>
        <v>3142</v>
      </c>
      <c r="E152" s="10">
        <f t="shared" si="6"/>
        <v>2846051.9936132515</v>
      </c>
      <c r="F152" s="14">
        <f>'F) Population'!K145</f>
        <v>894197.1830985914</v>
      </c>
      <c r="G152" s="10">
        <f>'G) Solidarité'!I142</f>
        <v>0</v>
      </c>
      <c r="H152" s="14">
        <f t="shared" si="7"/>
        <v>894197.1830985914</v>
      </c>
      <c r="I152" s="55">
        <f t="shared" si="8"/>
        <v>1951854.8105146601</v>
      </c>
    </row>
    <row r="153" spans="1:9" x14ac:dyDescent="0.25">
      <c r="A153" s="49">
        <f>'A) Base RI'!A144</f>
        <v>5635</v>
      </c>
      <c r="B153" s="32" t="str">
        <f>'A) Base RI'!B144</f>
        <v>Ecublens</v>
      </c>
      <c r="C153" s="31">
        <f>'D) Ecrêtage'!C143</f>
        <v>872367.07997333352</v>
      </c>
      <c r="D153" s="14">
        <f>'A) Base RI'!V144</f>
        <v>13214</v>
      </c>
      <c r="E153" s="10">
        <f t="shared" si="6"/>
        <v>16273317.778846418</v>
      </c>
      <c r="F153" s="14">
        <f>'F) Population'!K146</f>
        <v>7972925.5533199189</v>
      </c>
      <c r="G153" s="10">
        <f>'G) Solidarité'!I143</f>
        <v>0</v>
      </c>
      <c r="H153" s="14">
        <f t="shared" si="7"/>
        <v>7972925.5533199189</v>
      </c>
      <c r="I153" s="55">
        <f t="shared" si="8"/>
        <v>8300392.2255264996</v>
      </c>
    </row>
    <row r="154" spans="1:9" x14ac:dyDescent="0.25">
      <c r="A154" s="49">
        <f>'A) Base RI'!A145</f>
        <v>5636</v>
      </c>
      <c r="B154" s="32" t="str">
        <f>'A) Base RI'!B145</f>
        <v>Etoy</v>
      </c>
      <c r="C154" s="31">
        <f>'D) Ecrêtage'!C144</f>
        <v>187063.54000000004</v>
      </c>
      <c r="D154" s="14">
        <f>'A) Base RI'!V145</f>
        <v>2918</v>
      </c>
      <c r="E154" s="10">
        <f t="shared" si="6"/>
        <v>3489522.3594968785</v>
      </c>
      <c r="F154" s="14">
        <f>'F) Population'!K147</f>
        <v>794697.78672032186</v>
      </c>
      <c r="G154" s="10">
        <f>'G) Solidarité'!I144</f>
        <v>0</v>
      </c>
      <c r="H154" s="14">
        <f t="shared" si="7"/>
        <v>794697.78672032186</v>
      </c>
      <c r="I154" s="55">
        <f t="shared" si="8"/>
        <v>2694824.5727765565</v>
      </c>
    </row>
    <row r="155" spans="1:9" x14ac:dyDescent="0.25">
      <c r="A155" s="49">
        <f>'A) Base RI'!A146</f>
        <v>5637</v>
      </c>
      <c r="B155" s="32" t="str">
        <f>'A) Base RI'!B146</f>
        <v>Lavigny</v>
      </c>
      <c r="C155" s="31">
        <f>'D) Ecrêtage'!C145</f>
        <v>37900.997397260275</v>
      </c>
      <c r="D155" s="14">
        <f>'A) Base RI'!V146</f>
        <v>1026</v>
      </c>
      <c r="E155" s="10">
        <f t="shared" si="6"/>
        <v>707013.12433717807</v>
      </c>
      <c r="F155" s="14">
        <f>'F) Population'!K148</f>
        <v>133830.18108651912</v>
      </c>
      <c r="G155" s="10">
        <f>'G) Solidarité'!I145</f>
        <v>249981.89967484388</v>
      </c>
      <c r="H155" s="14">
        <f t="shared" si="7"/>
        <v>383812.08076136303</v>
      </c>
      <c r="I155" s="55">
        <f t="shared" si="8"/>
        <v>323201.04357581504</v>
      </c>
    </row>
    <row r="156" spans="1:9" x14ac:dyDescent="0.25">
      <c r="A156" s="49">
        <f>'A) Base RI'!A147</f>
        <v>5638</v>
      </c>
      <c r="B156" s="32" t="str">
        <f>'A) Base RI'!B147</f>
        <v>Lonay</v>
      </c>
      <c r="C156" s="31">
        <f>'D) Ecrêtage'!C146</f>
        <v>174162.36418181815</v>
      </c>
      <c r="D156" s="14">
        <f>'A) Base RI'!V147</f>
        <v>2751</v>
      </c>
      <c r="E156" s="10">
        <f t="shared" si="6"/>
        <v>3248861.1302624368</v>
      </c>
      <c r="F156" s="14">
        <f>'F) Population'!K149</f>
        <v>736365.39235412469</v>
      </c>
      <c r="G156" s="10">
        <f>'G) Solidarité'!I146</f>
        <v>0</v>
      </c>
      <c r="H156" s="14">
        <f t="shared" si="7"/>
        <v>736365.39235412469</v>
      </c>
      <c r="I156" s="55">
        <f t="shared" si="8"/>
        <v>2512495.7379083121</v>
      </c>
    </row>
    <row r="157" spans="1:9" x14ac:dyDescent="0.25">
      <c r="A157" s="49">
        <f>'A) Base RI'!A148</f>
        <v>5639</v>
      </c>
      <c r="B157" s="32" t="str">
        <f>'A) Base RI'!B148</f>
        <v>Lully</v>
      </c>
      <c r="C157" s="31">
        <f>'D) Ecrêtage'!C147</f>
        <v>53711.269344262299</v>
      </c>
      <c r="D157" s="14">
        <f>'A) Base RI'!V148</f>
        <v>828</v>
      </c>
      <c r="E157" s="10">
        <f t="shared" si="6"/>
        <v>1001941.2405739916</v>
      </c>
      <c r="F157" s="14">
        <f>'F) Population'!K150</f>
        <v>103291.75050301811</v>
      </c>
      <c r="G157" s="10">
        <f>'G) Solidarité'!I147</f>
        <v>0</v>
      </c>
      <c r="H157" s="14">
        <f t="shared" si="7"/>
        <v>103291.75050301811</v>
      </c>
      <c r="I157" s="55">
        <f t="shared" si="8"/>
        <v>898649.49007097341</v>
      </c>
    </row>
    <row r="158" spans="1:9" x14ac:dyDescent="0.25">
      <c r="A158" s="49">
        <f>'A) Base RI'!A149</f>
        <v>5640</v>
      </c>
      <c r="B158" s="32" t="str">
        <f>'A) Base RI'!B149</f>
        <v>Lussy-sur-Morges</v>
      </c>
      <c r="C158" s="31">
        <f>'D) Ecrêtage'!C148</f>
        <v>70527.814108527149</v>
      </c>
      <c r="D158" s="14">
        <f>'A) Base RI'!V149</f>
        <v>740</v>
      </c>
      <c r="E158" s="10">
        <f t="shared" si="6"/>
        <v>1315640.5801907994</v>
      </c>
      <c r="F158" s="14">
        <f>'F) Population'!K151</f>
        <v>92313.883299798792</v>
      </c>
      <c r="G158" s="10">
        <f>'G) Solidarité'!I148</f>
        <v>0</v>
      </c>
      <c r="H158" s="14">
        <f t="shared" si="7"/>
        <v>92313.883299798792</v>
      </c>
      <c r="I158" s="55">
        <f t="shared" si="8"/>
        <v>1223326.6968910007</v>
      </c>
    </row>
    <row r="159" spans="1:9" x14ac:dyDescent="0.25">
      <c r="A159" s="49">
        <f>'A) Base RI'!A150</f>
        <v>5642</v>
      </c>
      <c r="B159" s="32" t="str">
        <f>'A) Base RI'!B150</f>
        <v>Morges</v>
      </c>
      <c r="C159" s="31">
        <f>'D) Ecrêtage'!C149</f>
        <v>999726.82119402988</v>
      </c>
      <c r="D159" s="14">
        <f>'A) Base RI'!V150</f>
        <v>16885</v>
      </c>
      <c r="E159" s="10">
        <f t="shared" si="6"/>
        <v>18649113.001631983</v>
      </c>
      <c r="F159" s="14">
        <f>'F) Population'!K152</f>
        <v>11730599.597585512</v>
      </c>
      <c r="G159" s="10">
        <f>'G) Solidarité'!I149</f>
        <v>0</v>
      </c>
      <c r="H159" s="14">
        <f t="shared" si="7"/>
        <v>11730599.597585512</v>
      </c>
      <c r="I159" s="55">
        <f t="shared" si="8"/>
        <v>6918513.4040464703</v>
      </c>
    </row>
    <row r="160" spans="1:9" x14ac:dyDescent="0.25">
      <c r="A160" s="49">
        <f>'A) Base RI'!A151</f>
        <v>5643</v>
      </c>
      <c r="B160" s="32" t="str">
        <f>'A) Base RI'!B151</f>
        <v>Préverenges</v>
      </c>
      <c r="C160" s="31">
        <f>'D) Ecrêtage'!C150</f>
        <v>257752.82112000001</v>
      </c>
      <c r="D160" s="14">
        <f>'A) Base RI'!V151</f>
        <v>5208</v>
      </c>
      <c r="E160" s="10">
        <f t="shared" si="6"/>
        <v>4808174.9790559886</v>
      </c>
      <c r="F160" s="14">
        <f>'F) Population'!K153</f>
        <v>1945876.8611670018</v>
      </c>
      <c r="G160" s="10">
        <f>'G) Solidarité'!I150</f>
        <v>0</v>
      </c>
      <c r="H160" s="14">
        <f t="shared" si="7"/>
        <v>1945876.8611670018</v>
      </c>
      <c r="I160" s="55">
        <f t="shared" si="8"/>
        <v>2862298.1178889871</v>
      </c>
    </row>
    <row r="161" spans="1:9" x14ac:dyDescent="0.25">
      <c r="A161" s="49">
        <f>'A) Base RI'!A152</f>
        <v>5644</v>
      </c>
      <c r="B161" s="32" t="str">
        <f>'A) Base RI'!B152</f>
        <v>Reverolle</v>
      </c>
      <c r="C161" s="31">
        <f>'D) Ecrêtage'!C151</f>
        <v>16363.457972972968</v>
      </c>
      <c r="D161" s="14">
        <f>'A) Base RI'!V152</f>
        <v>403</v>
      </c>
      <c r="E161" s="10">
        <f t="shared" si="6"/>
        <v>305247.36394583696</v>
      </c>
      <c r="F161" s="14">
        <f>'F) Population'!K154</f>
        <v>50273.641851106637</v>
      </c>
      <c r="G161" s="10">
        <f>'G) Solidarité'!I151</f>
        <v>68607.328979462327</v>
      </c>
      <c r="H161" s="14">
        <f t="shared" si="7"/>
        <v>118880.97083056896</v>
      </c>
      <c r="I161" s="55">
        <f t="shared" si="8"/>
        <v>186366.393115268</v>
      </c>
    </row>
    <row r="162" spans="1:9" x14ac:dyDescent="0.25">
      <c r="A162" s="49">
        <f>'A) Base RI'!A153</f>
        <v>5645</v>
      </c>
      <c r="B162" s="32" t="str">
        <f>'A) Base RI'!B153</f>
        <v>Romanel-sur-Morges</v>
      </c>
      <c r="C162" s="31">
        <f>'D) Ecrêtage'!C152</f>
        <v>26586.021785714285</v>
      </c>
      <c r="D162" s="14">
        <f>'A) Base RI'!V153</f>
        <v>466</v>
      </c>
      <c r="E162" s="10">
        <f t="shared" si="6"/>
        <v>495941.20517189562</v>
      </c>
      <c r="F162" s="14">
        <f>'F) Population'!K155</f>
        <v>58132.796780684097</v>
      </c>
      <c r="G162" s="10">
        <f>'G) Solidarité'!I152</f>
        <v>0</v>
      </c>
      <c r="H162" s="14">
        <f t="shared" si="7"/>
        <v>58132.796780684097</v>
      </c>
      <c r="I162" s="55">
        <f t="shared" si="8"/>
        <v>437808.40839121153</v>
      </c>
    </row>
    <row r="163" spans="1:9" x14ac:dyDescent="0.25">
      <c r="A163" s="49">
        <f>'A) Base RI'!A154</f>
        <v>5646</v>
      </c>
      <c r="B163" s="32" t="str">
        <f>'A) Base RI'!B154</f>
        <v>Saint-Prex</v>
      </c>
      <c r="C163" s="31">
        <f>'D) Ecrêtage'!C153</f>
        <v>527982.74983050849</v>
      </c>
      <c r="D163" s="14">
        <f>'A) Base RI'!V154</f>
        <v>5866</v>
      </c>
      <c r="E163" s="10">
        <f t="shared" si="6"/>
        <v>9849100.5300242137</v>
      </c>
      <c r="F163" s="14">
        <f>'F) Population'!K156</f>
        <v>2339882.4949698187</v>
      </c>
      <c r="G163" s="10">
        <f>'G) Solidarité'!I153</f>
        <v>0</v>
      </c>
      <c r="H163" s="14">
        <f t="shared" si="7"/>
        <v>2339882.4949698187</v>
      </c>
      <c r="I163" s="55">
        <f t="shared" si="8"/>
        <v>7509218.035054395</v>
      </c>
    </row>
    <row r="164" spans="1:9" x14ac:dyDescent="0.25">
      <c r="A164" s="49">
        <f>'A) Base RI'!A155</f>
        <v>5648</v>
      </c>
      <c r="B164" s="32" t="str">
        <f>'A) Base RI'!B155</f>
        <v>Saint-Sulpice</v>
      </c>
      <c r="C164" s="31">
        <f>'D) Ecrêtage'!C154</f>
        <v>394426.68886363629</v>
      </c>
      <c r="D164" s="14">
        <f>'A) Base RI'!V155</f>
        <v>4932</v>
      </c>
      <c r="E164" s="10">
        <f t="shared" si="6"/>
        <v>7357717.8640582599</v>
      </c>
      <c r="F164" s="14">
        <f>'F) Population'!K157</f>
        <v>1787396.3782696174</v>
      </c>
      <c r="G164" s="10">
        <f>'G) Solidarité'!I154</f>
        <v>0</v>
      </c>
      <c r="H164" s="14">
        <f t="shared" si="7"/>
        <v>1787396.3782696174</v>
      </c>
      <c r="I164" s="55">
        <f t="shared" si="8"/>
        <v>5570321.4857886424</v>
      </c>
    </row>
    <row r="165" spans="1:9" x14ac:dyDescent="0.25">
      <c r="A165" s="49">
        <f>'A) Base RI'!A156</f>
        <v>5649</v>
      </c>
      <c r="B165" s="32" t="str">
        <f>'A) Base RI'!B156</f>
        <v>Tolochenaz</v>
      </c>
      <c r="C165" s="31">
        <f>'D) Ecrêtage'!C155</f>
        <v>155778.42171874997</v>
      </c>
      <c r="D165" s="14">
        <f>'A) Base RI'!V156</f>
        <v>1886</v>
      </c>
      <c r="E165" s="10">
        <f t="shared" si="6"/>
        <v>2905923.2264861022</v>
      </c>
      <c r="F165" s="14">
        <f>'F) Population'!K158</f>
        <v>434224.54728370218</v>
      </c>
      <c r="G165" s="10">
        <f>'G) Solidarité'!I155</f>
        <v>0</v>
      </c>
      <c r="H165" s="14">
        <f t="shared" si="7"/>
        <v>434224.54728370218</v>
      </c>
      <c r="I165" s="55">
        <f t="shared" si="8"/>
        <v>2471698.6792024001</v>
      </c>
    </row>
    <row r="166" spans="1:9" x14ac:dyDescent="0.25">
      <c r="A166" s="49">
        <f>'A) Base RI'!A157</f>
        <v>5650</v>
      </c>
      <c r="B166" s="32" t="str">
        <f>'A) Base RI'!B157</f>
        <v>Vaux-sur-Morges</v>
      </c>
      <c r="C166" s="31">
        <f>'D) Ecrêtage'!C156</f>
        <v>83125.71642857141</v>
      </c>
      <c r="D166" s="14">
        <f>'A) Base RI'!V157</f>
        <v>196</v>
      </c>
      <c r="E166" s="10">
        <f t="shared" si="6"/>
        <v>1550644.4822261829</v>
      </c>
      <c r="F166" s="14">
        <f>'F) Population'!K159</f>
        <v>24450.70422535211</v>
      </c>
      <c r="G166" s="10">
        <f>'G) Solidarité'!I156</f>
        <v>0</v>
      </c>
      <c r="H166" s="14">
        <f t="shared" si="7"/>
        <v>24450.70422535211</v>
      </c>
      <c r="I166" s="55">
        <f t="shared" si="8"/>
        <v>1526193.7780008309</v>
      </c>
    </row>
    <row r="167" spans="1:9" x14ac:dyDescent="0.25">
      <c r="A167" s="49">
        <f>'A) Base RI'!A158</f>
        <v>5651</v>
      </c>
      <c r="B167" s="32" t="str">
        <f>'A) Base RI'!B158</f>
        <v>Villars-Sainte-Croix</v>
      </c>
      <c r="C167" s="31">
        <f>'D) Ecrêtage'!C157</f>
        <v>57697.031735537188</v>
      </c>
      <c r="D167" s="14">
        <f>'A) Base RI'!V158</f>
        <v>958</v>
      </c>
      <c r="E167" s="10">
        <f t="shared" si="6"/>
        <v>1076292.4849907039</v>
      </c>
      <c r="F167" s="14">
        <f>'F) Population'!K160</f>
        <v>119509.05432595573</v>
      </c>
      <c r="G167" s="10">
        <f>'G) Solidarité'!I157</f>
        <v>0</v>
      </c>
      <c r="H167" s="14">
        <f t="shared" si="7"/>
        <v>119509.05432595573</v>
      </c>
      <c r="I167" s="55">
        <f t="shared" si="8"/>
        <v>956783.43066474819</v>
      </c>
    </row>
    <row r="168" spans="1:9" x14ac:dyDescent="0.25">
      <c r="A168" s="49">
        <f>'A) Base RI'!A159</f>
        <v>5652</v>
      </c>
      <c r="B168" s="32" t="str">
        <f>'A) Base RI'!B159</f>
        <v>Villars-sous-Yens</v>
      </c>
      <c r="C168" s="31">
        <f>'D) Ecrêtage'!C158</f>
        <v>25902.630833333329</v>
      </c>
      <c r="D168" s="14">
        <f>'A) Base RI'!V159</f>
        <v>626</v>
      </c>
      <c r="E168" s="10">
        <f t="shared" si="6"/>
        <v>483193.08756110299</v>
      </c>
      <c r="F168" s="14">
        <f>'F) Population'!K161</f>
        <v>78092.555331991942</v>
      </c>
      <c r="G168" s="10">
        <f>'G) Solidarité'!I158</f>
        <v>101233.55902060724</v>
      </c>
      <c r="H168" s="14">
        <f t="shared" si="7"/>
        <v>179326.11435259919</v>
      </c>
      <c r="I168" s="55">
        <f t="shared" si="8"/>
        <v>303866.9732085038</v>
      </c>
    </row>
    <row r="169" spans="1:9" x14ac:dyDescent="0.25">
      <c r="A169" s="49">
        <f>'A) Base RI'!A160</f>
        <v>5653</v>
      </c>
      <c r="B169" s="32" t="str">
        <f>'A) Base RI'!B160</f>
        <v>Vufflens-le-Château</v>
      </c>
      <c r="C169" s="31">
        <f>'D) Ecrêtage'!C159</f>
        <v>67687.367350427332</v>
      </c>
      <c r="D169" s="14">
        <f>'A) Base RI'!V160</f>
        <v>894</v>
      </c>
      <c r="E169" s="10">
        <f t="shared" si="6"/>
        <v>1262654.2928931799</v>
      </c>
      <c r="F169" s="14">
        <f>'F) Population'!K162</f>
        <v>111525.15090543259</v>
      </c>
      <c r="G169" s="10">
        <f>'G) Solidarité'!I159</f>
        <v>0</v>
      </c>
      <c r="H169" s="14">
        <f t="shared" si="7"/>
        <v>111525.15090543259</v>
      </c>
      <c r="I169" s="55">
        <f t="shared" si="8"/>
        <v>1151129.1419877473</v>
      </c>
    </row>
    <row r="170" spans="1:9" x14ac:dyDescent="0.25">
      <c r="A170" s="49">
        <f>'A) Base RI'!A161</f>
        <v>5654</v>
      </c>
      <c r="B170" s="32" t="str">
        <f>'A) Base RI'!B161</f>
        <v>Vullierens</v>
      </c>
      <c r="C170" s="31">
        <f>'D) Ecrêtage'!C160</f>
        <v>20665.692500000001</v>
      </c>
      <c r="D170" s="14">
        <f>'A) Base RI'!V161</f>
        <v>560</v>
      </c>
      <c r="E170" s="10">
        <f t="shared" si="6"/>
        <v>385502.14570534125</v>
      </c>
      <c r="F170" s="14">
        <f>'F) Population'!K163</f>
        <v>69859.15492957746</v>
      </c>
      <c r="G170" s="10">
        <f>'G) Solidarité'!I160</f>
        <v>148371.96412058506</v>
      </c>
      <c r="H170" s="14">
        <f t="shared" si="7"/>
        <v>218231.11905016252</v>
      </c>
      <c r="I170" s="55">
        <f t="shared" si="8"/>
        <v>167271.02665517872</v>
      </c>
    </row>
    <row r="171" spans="1:9" x14ac:dyDescent="0.25">
      <c r="A171" s="49">
        <f>'A) Base RI'!A162</f>
        <v>5655</v>
      </c>
      <c r="B171" s="32" t="str">
        <f>'A) Base RI'!B162</f>
        <v>Yens</v>
      </c>
      <c r="C171" s="31">
        <f>'D) Ecrêtage'!C161</f>
        <v>73454.856083916078</v>
      </c>
      <c r="D171" s="14">
        <f>'A) Base RI'!V162</f>
        <v>1499</v>
      </c>
      <c r="E171" s="10">
        <f t="shared" si="6"/>
        <v>1370242.2327646019</v>
      </c>
      <c r="F171" s="14">
        <f>'F) Population'!K164</f>
        <v>299047.08249496983</v>
      </c>
      <c r="G171" s="10">
        <f>'G) Solidarité'!I161</f>
        <v>0</v>
      </c>
      <c r="H171" s="14">
        <f t="shared" si="7"/>
        <v>299047.08249496983</v>
      </c>
      <c r="I171" s="55">
        <f t="shared" si="8"/>
        <v>1071195.1502696322</v>
      </c>
    </row>
    <row r="172" spans="1:9" x14ac:dyDescent="0.25">
      <c r="A172" s="49">
        <f>'A) Base RI'!A163</f>
        <v>5661</v>
      </c>
      <c r="B172" s="32" t="str">
        <f>'A) Base RI'!B163</f>
        <v>Boulens</v>
      </c>
      <c r="C172" s="31">
        <f>'D) Ecrêtage'!C162</f>
        <v>11226.588951048951</v>
      </c>
      <c r="D172" s="14">
        <f>'A) Base RI'!V163</f>
        <v>371</v>
      </c>
      <c r="E172" s="10">
        <f t="shared" si="6"/>
        <v>209423.13593320167</v>
      </c>
      <c r="F172" s="14">
        <f>'F) Population'!K165</f>
        <v>46281.690140845065</v>
      </c>
      <c r="G172" s="10">
        <f>'G) Solidarité'!I162</f>
        <v>137320.29977445918</v>
      </c>
      <c r="H172" s="14">
        <f t="shared" si="7"/>
        <v>183601.98991530424</v>
      </c>
      <c r="I172" s="55">
        <f t="shared" si="8"/>
        <v>25821.146017897438</v>
      </c>
    </row>
    <row r="173" spans="1:9" x14ac:dyDescent="0.25">
      <c r="A173" s="49">
        <f>'A) Base RI'!A164</f>
        <v>5663</v>
      </c>
      <c r="B173" s="32" t="str">
        <f>'A) Base RI'!B164</f>
        <v>Bussy-sur-Moudon</v>
      </c>
      <c r="C173" s="31">
        <f>'D) Ecrêtage'!C163</f>
        <v>5263.6754140127387</v>
      </c>
      <c r="D173" s="14">
        <f>'A) Base RI'!V164</f>
        <v>236</v>
      </c>
      <c r="E173" s="10">
        <f t="shared" si="6"/>
        <v>98189.700945098317</v>
      </c>
      <c r="F173" s="14">
        <f>'F) Population'!K166</f>
        <v>29440.643863179073</v>
      </c>
      <c r="G173" s="10">
        <f>'G) Solidarité'!I163</f>
        <v>151508.81547782806</v>
      </c>
      <c r="H173" s="14">
        <f t="shared" si="7"/>
        <v>180949.45934100714</v>
      </c>
      <c r="I173" s="55">
        <f t="shared" si="8"/>
        <v>-82759.758395908822</v>
      </c>
    </row>
    <row r="174" spans="1:9" x14ac:dyDescent="0.25">
      <c r="A174" s="49">
        <f>'A) Base RI'!A165</f>
        <v>5665</v>
      </c>
      <c r="B174" s="32" t="str">
        <f>'A) Base RI'!B165</f>
        <v>Chavannes-sur-Moudon</v>
      </c>
      <c r="C174" s="31">
        <f>'D) Ecrêtage'!C164</f>
        <v>4920.86942857143</v>
      </c>
      <c r="D174" s="14">
        <f>'A) Base RI'!V165</f>
        <v>222</v>
      </c>
      <c r="E174" s="10">
        <f t="shared" si="6"/>
        <v>91794.926468111473</v>
      </c>
      <c r="F174" s="14">
        <f>'F) Population'!K167</f>
        <v>27694.164989939636</v>
      </c>
      <c r="G174" s="10">
        <f>'G) Solidarité'!I164</f>
        <v>113925.54840351974</v>
      </c>
      <c r="H174" s="14">
        <f t="shared" si="7"/>
        <v>141619.71339345939</v>
      </c>
      <c r="I174" s="55">
        <f t="shared" si="8"/>
        <v>-49824.786925347915</v>
      </c>
    </row>
    <row r="175" spans="1:9" x14ac:dyDescent="0.25">
      <c r="A175" s="49">
        <f>'A) Base RI'!A166</f>
        <v>5669</v>
      </c>
      <c r="B175" s="32" t="str">
        <f>'A) Base RI'!B166</f>
        <v>Curtilles</v>
      </c>
      <c r="C175" s="31">
        <f>'D) Ecrêtage'!C165</f>
        <v>9338.3773972602739</v>
      </c>
      <c r="D175" s="14">
        <f>'A) Base RI'!V166</f>
        <v>296</v>
      </c>
      <c r="E175" s="10">
        <f t="shared" si="6"/>
        <v>174200.04309316492</v>
      </c>
      <c r="F175" s="14">
        <f>'F) Population'!K168</f>
        <v>36925.553319919512</v>
      </c>
      <c r="G175" s="10">
        <f>'G) Solidarité'!I165</f>
        <v>106089.36502437043</v>
      </c>
      <c r="H175" s="14">
        <f t="shared" si="7"/>
        <v>143014.91834428994</v>
      </c>
      <c r="I175" s="55">
        <f t="shared" si="8"/>
        <v>31185.12474887498</v>
      </c>
    </row>
    <row r="176" spans="1:9" x14ac:dyDescent="0.25">
      <c r="A176" s="49">
        <f>'A) Base RI'!A167</f>
        <v>5671</v>
      </c>
      <c r="B176" s="32" t="str">
        <f>'A) Base RI'!B167</f>
        <v>Dompierre</v>
      </c>
      <c r="C176" s="31">
        <f>'D) Ecrêtage'!C166</f>
        <v>6463.9784615384606</v>
      </c>
      <c r="D176" s="14">
        <f>'A) Base RI'!V167</f>
        <v>246</v>
      </c>
      <c r="E176" s="10">
        <f t="shared" si="6"/>
        <v>120580.40478034728</v>
      </c>
      <c r="F176" s="14">
        <f>'F) Population'!K169</f>
        <v>30688.128772635813</v>
      </c>
      <c r="G176" s="10">
        <f>'G) Solidarité'!I166</f>
        <v>132176.16842731467</v>
      </c>
      <c r="H176" s="14">
        <f t="shared" si="7"/>
        <v>162864.2971999505</v>
      </c>
      <c r="I176" s="55">
        <f t="shared" si="8"/>
        <v>-42283.892419603217</v>
      </c>
    </row>
    <row r="177" spans="1:9" x14ac:dyDescent="0.25">
      <c r="A177" s="49">
        <f>'A) Base RI'!A168</f>
        <v>5673</v>
      </c>
      <c r="B177" s="32" t="str">
        <f>'A) Base RI'!B168</f>
        <v>Hermenches</v>
      </c>
      <c r="C177" s="31">
        <f>'D) Ecrêtage'!C167</f>
        <v>10227.295238095237</v>
      </c>
      <c r="D177" s="14">
        <f>'A) Base RI'!V168</f>
        <v>371</v>
      </c>
      <c r="E177" s="10">
        <f t="shared" si="6"/>
        <v>190782.10222317654</v>
      </c>
      <c r="F177" s="14">
        <f>'F) Population'!K170</f>
        <v>46281.690140845065</v>
      </c>
      <c r="G177" s="10">
        <f>'G) Solidarité'!I167</f>
        <v>166671.36269418022</v>
      </c>
      <c r="H177" s="14">
        <f t="shared" si="7"/>
        <v>212953.0528350253</v>
      </c>
      <c r="I177" s="55">
        <f t="shared" si="8"/>
        <v>-22170.950611848762</v>
      </c>
    </row>
    <row r="178" spans="1:9" x14ac:dyDescent="0.25">
      <c r="A178" s="49">
        <f>'A) Base RI'!A169</f>
        <v>5674</v>
      </c>
      <c r="B178" s="32" t="str">
        <f>'A) Base RI'!B169</f>
        <v>Lovatens</v>
      </c>
      <c r="C178" s="31">
        <f>'D) Ecrêtage'!C168</f>
        <v>4222.7234666666664</v>
      </c>
      <c r="D178" s="14">
        <f>'A) Base RI'!V169</f>
        <v>146</v>
      </c>
      <c r="E178" s="10">
        <f t="shared" si="6"/>
        <v>78771.565826806764</v>
      </c>
      <c r="F178" s="14">
        <f>'F) Population'!K171</f>
        <v>18213.279678068408</v>
      </c>
      <c r="G178" s="10">
        <f>'G) Solidarité'!I168</f>
        <v>63847.270520575308</v>
      </c>
      <c r="H178" s="14">
        <f t="shared" si="7"/>
        <v>82060.550198643716</v>
      </c>
      <c r="I178" s="55">
        <f t="shared" si="8"/>
        <v>-3288.9843718369521</v>
      </c>
    </row>
    <row r="179" spans="1:9" x14ac:dyDescent="0.25">
      <c r="A179" s="49">
        <f>'A) Base RI'!A170</f>
        <v>5675</v>
      </c>
      <c r="B179" s="32" t="str">
        <f>'A) Base RI'!B170</f>
        <v>Lucens</v>
      </c>
      <c r="C179" s="31">
        <f>'D) Ecrêtage'!C169</f>
        <v>105170.58216835017</v>
      </c>
      <c r="D179" s="14">
        <f>'A) Base RI'!V170</f>
        <v>4373</v>
      </c>
      <c r="E179" s="10">
        <f t="shared" si="6"/>
        <v>1961874.0137055116</v>
      </c>
      <c r="F179" s="14">
        <f>'F) Population'!K172</f>
        <v>1508458.7525150904</v>
      </c>
      <c r="G179" s="10">
        <f>'G) Solidarité'!I169</f>
        <v>1936777.2801066833</v>
      </c>
      <c r="H179" s="14">
        <f t="shared" si="7"/>
        <v>3445236.0326217739</v>
      </c>
      <c r="I179" s="55">
        <f t="shared" si="8"/>
        <v>-1483362.0189162623</v>
      </c>
    </row>
    <row r="180" spans="1:9" x14ac:dyDescent="0.25">
      <c r="A180" s="49">
        <f>'A) Base RI'!A171</f>
        <v>5678</v>
      </c>
      <c r="B180" s="32" t="str">
        <f>'A) Base RI'!B171</f>
        <v>Moudon</v>
      </c>
      <c r="C180" s="31">
        <f>'D) Ecrêtage'!C170</f>
        <v>124836.852</v>
      </c>
      <c r="D180" s="14">
        <f>'A) Base RI'!V171</f>
        <v>6120</v>
      </c>
      <c r="E180" s="10">
        <f t="shared" si="6"/>
        <v>2328732.7201399188</v>
      </c>
      <c r="F180" s="14">
        <f>'F) Population'!K173</f>
        <v>2491975.8551307842</v>
      </c>
      <c r="G180" s="10">
        <f>'G) Solidarité'!I170</f>
        <v>3596128.3100278424</v>
      </c>
      <c r="H180" s="14">
        <f t="shared" si="7"/>
        <v>6088104.1651586266</v>
      </c>
      <c r="I180" s="55">
        <f t="shared" si="8"/>
        <v>-3759371.4450187078</v>
      </c>
    </row>
    <row r="181" spans="1:9" x14ac:dyDescent="0.25">
      <c r="A181" s="49">
        <f>'A) Base RI'!A172</f>
        <v>5680</v>
      </c>
      <c r="B181" s="32" t="str">
        <f>'A) Base RI'!B172</f>
        <v>Ogens</v>
      </c>
      <c r="C181" s="31">
        <f>'D) Ecrêtage'!C171</f>
        <v>8501.5391880341886</v>
      </c>
      <c r="D181" s="14">
        <f>'A) Base RI'!V172</f>
        <v>321</v>
      </c>
      <c r="E181" s="10">
        <f t="shared" si="6"/>
        <v>158589.48829250335</v>
      </c>
      <c r="F181" s="14">
        <f>'F) Population'!K174</f>
        <v>40044.265593561366</v>
      </c>
      <c r="G181" s="10">
        <f>'G) Solidarité'!I171</f>
        <v>170849.70842049166</v>
      </c>
      <c r="H181" s="14">
        <f t="shared" si="7"/>
        <v>210893.97401405303</v>
      </c>
      <c r="I181" s="55">
        <f t="shared" si="8"/>
        <v>-52304.485721549689</v>
      </c>
    </row>
    <row r="182" spans="1:9" x14ac:dyDescent="0.25">
      <c r="A182" s="49">
        <f>'A) Base RI'!A173</f>
        <v>5683</v>
      </c>
      <c r="B182" s="32" t="str">
        <f>'A) Base RI'!B173</f>
        <v>Prévonloup</v>
      </c>
      <c r="C182" s="31">
        <f>'D) Ecrêtage'!C172</f>
        <v>5386.44</v>
      </c>
      <c r="D182" s="14">
        <f>'A) Base RI'!V173</f>
        <v>215</v>
      </c>
      <c r="E182" s="10">
        <f t="shared" si="6"/>
        <v>100479.7771820653</v>
      </c>
      <c r="F182" s="14">
        <f>'F) Population'!K175</f>
        <v>26820.925553319918</v>
      </c>
      <c r="G182" s="10">
        <f>'G) Solidarité'!I172</f>
        <v>105323.63494116384</v>
      </c>
      <c r="H182" s="14">
        <f t="shared" si="7"/>
        <v>132144.56049448374</v>
      </c>
      <c r="I182" s="55">
        <f t="shared" si="8"/>
        <v>-31664.78331241844</v>
      </c>
    </row>
    <row r="183" spans="1:9" x14ac:dyDescent="0.25">
      <c r="A183" s="49">
        <f>'A) Base RI'!A174</f>
        <v>5684</v>
      </c>
      <c r="B183" s="32" t="str">
        <f>'A) Base RI'!B174</f>
        <v>Rossenges</v>
      </c>
      <c r="C183" s="31">
        <f>'D) Ecrêtage'!C173</f>
        <v>3253.4816666666666</v>
      </c>
      <c r="D183" s="14">
        <f>'A) Base RI'!V174</f>
        <v>93</v>
      </c>
      <c r="E183" s="10">
        <f t="shared" si="6"/>
        <v>60691.126779951344</v>
      </c>
      <c r="F183" s="14">
        <f>'F) Population'!K176</f>
        <v>11601.609657947685</v>
      </c>
      <c r="G183" s="10">
        <f>'G) Solidarité'!I173</f>
        <v>28006.395442796453</v>
      </c>
      <c r="H183" s="14">
        <f t="shared" si="7"/>
        <v>39608.005100744136</v>
      </c>
      <c r="I183" s="55">
        <f t="shared" si="8"/>
        <v>21083.121679207208</v>
      </c>
    </row>
    <row r="184" spans="1:9" x14ac:dyDescent="0.25">
      <c r="A184" s="49">
        <f>'A) Base RI'!A175</f>
        <v>5688</v>
      </c>
      <c r="B184" s="32" t="str">
        <f>'A) Base RI'!B175</f>
        <v>Syens</v>
      </c>
      <c r="C184" s="31">
        <f>'D) Ecrêtage'!C174</f>
        <v>6154.6576923076918</v>
      </c>
      <c r="D184" s="14">
        <f>'A) Base RI'!V175</f>
        <v>161</v>
      </c>
      <c r="E184" s="10">
        <f t="shared" si="6"/>
        <v>114810.2705228242</v>
      </c>
      <c r="F184" s="14">
        <f>'F) Population'!K177</f>
        <v>20084.507042253521</v>
      </c>
      <c r="G184" s="10">
        <f>'G) Solidarité'!I174</f>
        <v>27603.609923932447</v>
      </c>
      <c r="H184" s="14">
        <f t="shared" si="7"/>
        <v>47688.116966185968</v>
      </c>
      <c r="I184" s="55">
        <f t="shared" si="8"/>
        <v>67122.153556638223</v>
      </c>
    </row>
    <row r="185" spans="1:9" x14ac:dyDescent="0.25">
      <c r="A185" s="49">
        <f>'A) Base RI'!A176</f>
        <v>5690</v>
      </c>
      <c r="B185" s="32" t="str">
        <f>'A) Base RI'!B176</f>
        <v>Villars-le-Comte</v>
      </c>
      <c r="C185" s="31">
        <f>'D) Ecrêtage'!C175</f>
        <v>3510.0358095238093</v>
      </c>
      <c r="D185" s="14">
        <f>'A) Base RI'!V176</f>
        <v>133</v>
      </c>
      <c r="E185" s="10">
        <f t="shared" si="6"/>
        <v>65476.941364244769</v>
      </c>
      <c r="F185" s="14">
        <f>'F) Population'!K178</f>
        <v>16591.549295774646</v>
      </c>
      <c r="G185" s="10">
        <f>'G) Solidarité'!I175</f>
        <v>57255.037564195569</v>
      </c>
      <c r="H185" s="14">
        <f t="shared" si="7"/>
        <v>73846.586859970208</v>
      </c>
      <c r="I185" s="55">
        <f t="shared" si="8"/>
        <v>-8369.6454957254391</v>
      </c>
    </row>
    <row r="186" spans="1:9" x14ac:dyDescent="0.25">
      <c r="A186" s="49">
        <f>'A) Base RI'!A177</f>
        <v>5692</v>
      </c>
      <c r="B186" s="32" t="str">
        <f>'A) Base RI'!B177</f>
        <v>Vucherens</v>
      </c>
      <c r="C186" s="31">
        <f>'D) Ecrêtage'!C176</f>
        <v>18793.189090909087</v>
      </c>
      <c r="D186" s="14">
        <f>'A) Base RI'!V177</f>
        <v>623</v>
      </c>
      <c r="E186" s="10">
        <f t="shared" si="6"/>
        <v>350572.07587849593</v>
      </c>
      <c r="F186" s="14">
        <f>'F) Population'!K179</f>
        <v>77718.309859154921</v>
      </c>
      <c r="G186" s="10">
        <f>'G) Solidarité'!I176</f>
        <v>268832.32423849561</v>
      </c>
      <c r="H186" s="14">
        <f t="shared" si="7"/>
        <v>346550.63409765053</v>
      </c>
      <c r="I186" s="55">
        <f t="shared" si="8"/>
        <v>4021.4417808454018</v>
      </c>
    </row>
    <row r="187" spans="1:9" x14ac:dyDescent="0.25">
      <c r="A187" s="49">
        <f>'A) Base RI'!A178</f>
        <v>5693</v>
      </c>
      <c r="B187" s="32" t="str">
        <f>'A) Base RI'!B178</f>
        <v>Montanaire</v>
      </c>
      <c r="C187" s="31">
        <f>'D) Ecrêtage'!C177</f>
        <v>75692.909285714297</v>
      </c>
      <c r="D187" s="14">
        <f>'A) Base RI'!V178</f>
        <v>2768</v>
      </c>
      <c r="E187" s="10">
        <f t="shared" si="6"/>
        <v>1411991.3448011775</v>
      </c>
      <c r="F187" s="14">
        <f>'F) Population'!K180</f>
        <v>742303.42052313872</v>
      </c>
      <c r="G187" s="10">
        <f>'G) Solidarité'!I177</f>
        <v>1139889.2022146534</v>
      </c>
      <c r="H187" s="14">
        <f t="shared" si="7"/>
        <v>1882192.6227377921</v>
      </c>
      <c r="I187" s="55">
        <f t="shared" si="8"/>
        <v>-470201.27793661458</v>
      </c>
    </row>
    <row r="188" spans="1:9" x14ac:dyDescent="0.25">
      <c r="A188" s="49">
        <f>'A) Base RI'!A179</f>
        <v>5701</v>
      </c>
      <c r="B188" s="32" t="str">
        <f>'A) Base RI'!B179</f>
        <v>Arnex-sur-Nyon</v>
      </c>
      <c r="C188" s="31">
        <f>'D) Ecrêtage'!C178</f>
        <v>14488.714857142857</v>
      </c>
      <c r="D188" s="14">
        <f>'A) Base RI'!V179</f>
        <v>226</v>
      </c>
      <c r="E188" s="10">
        <f t="shared" si="6"/>
        <v>270275.51416152291</v>
      </c>
      <c r="F188" s="14">
        <f>'F) Population'!K181</f>
        <v>28193.158953722334</v>
      </c>
      <c r="G188" s="10">
        <f>'G) Solidarité'!I178</f>
        <v>0</v>
      </c>
      <c r="H188" s="14">
        <f t="shared" si="7"/>
        <v>28193.158953722334</v>
      </c>
      <c r="I188" s="55">
        <f t="shared" si="8"/>
        <v>242082.35520780057</v>
      </c>
    </row>
    <row r="189" spans="1:9" x14ac:dyDescent="0.25">
      <c r="A189" s="49">
        <f>'A) Base RI'!A180</f>
        <v>5702</v>
      </c>
      <c r="B189" s="32" t="str">
        <f>'A) Base RI'!B180</f>
        <v>Arzier-Le Muids</v>
      </c>
      <c r="C189" s="31">
        <f>'D) Ecrêtage'!C179</f>
        <v>174862.96255208339</v>
      </c>
      <c r="D189" s="14">
        <f>'A) Base RI'!V180</f>
        <v>2947</v>
      </c>
      <c r="E189" s="10">
        <f t="shared" si="6"/>
        <v>3261930.2386416947</v>
      </c>
      <c r="F189" s="14">
        <f>'F) Population'!K182</f>
        <v>804827.36418511055</v>
      </c>
      <c r="G189" s="10">
        <f>'G) Solidarité'!I179</f>
        <v>0</v>
      </c>
      <c r="H189" s="14">
        <f t="shared" si="7"/>
        <v>804827.36418511055</v>
      </c>
      <c r="I189" s="55">
        <f t="shared" si="8"/>
        <v>2457102.874456584</v>
      </c>
    </row>
    <row r="190" spans="1:9" x14ac:dyDescent="0.25">
      <c r="A190" s="49">
        <f>'A) Base RI'!A181</f>
        <v>5703</v>
      </c>
      <c r="B190" s="32" t="str">
        <f>'A) Base RI'!B181</f>
        <v>Bassins</v>
      </c>
      <c r="C190" s="31">
        <f>'D) Ecrêtage'!C180</f>
        <v>66800.247822660094</v>
      </c>
      <c r="D190" s="14">
        <f>'A) Base RI'!V181</f>
        <v>1487</v>
      </c>
      <c r="E190" s="10">
        <f t="shared" si="6"/>
        <v>1246105.7798708663</v>
      </c>
      <c r="F190" s="14">
        <f>'F) Population'!K183</f>
        <v>294855.53319919517</v>
      </c>
      <c r="G190" s="10">
        <f>'G) Solidarité'!I180</f>
        <v>108171.68234992507</v>
      </c>
      <c r="H190" s="14">
        <f t="shared" si="7"/>
        <v>403027.21554912021</v>
      </c>
      <c r="I190" s="55">
        <f t="shared" si="8"/>
        <v>843078.56432174612</v>
      </c>
    </row>
    <row r="191" spans="1:9" x14ac:dyDescent="0.25">
      <c r="A191" s="49">
        <f>'A) Base RI'!A182</f>
        <v>5704</v>
      </c>
      <c r="B191" s="32" t="str">
        <f>'A) Base RI'!B182</f>
        <v>Begnins</v>
      </c>
      <c r="C191" s="31">
        <f>'D) Ecrêtage'!C181</f>
        <v>202343.35360000003</v>
      </c>
      <c r="D191" s="14">
        <f>'A) Base RI'!V182</f>
        <v>1941</v>
      </c>
      <c r="E191" s="10">
        <f t="shared" si="6"/>
        <v>3774555.1948967883</v>
      </c>
      <c r="F191" s="14">
        <f>'F) Population'!K184</f>
        <v>453435.814889336</v>
      </c>
      <c r="G191" s="10">
        <f>'G) Solidarité'!I181</f>
        <v>0</v>
      </c>
      <c r="H191" s="14">
        <f t="shared" si="7"/>
        <v>453435.814889336</v>
      </c>
      <c r="I191" s="55">
        <f t="shared" si="8"/>
        <v>3321119.3800074523</v>
      </c>
    </row>
    <row r="192" spans="1:9" x14ac:dyDescent="0.25">
      <c r="A192" s="49">
        <f>'A) Base RI'!A183</f>
        <v>5705</v>
      </c>
      <c r="B192" s="32" t="str">
        <f>'A) Base RI'!B183</f>
        <v>Bogis-Bossey</v>
      </c>
      <c r="C192" s="31">
        <f>'D) Ecrêtage'!C182</f>
        <v>51953.338389261742</v>
      </c>
      <c r="D192" s="14">
        <f>'A) Base RI'!V183</f>
        <v>888</v>
      </c>
      <c r="E192" s="10">
        <f t="shared" si="6"/>
        <v>969148.42924407579</v>
      </c>
      <c r="F192" s="14">
        <f>'F) Population'!K185</f>
        <v>110776.65995975854</v>
      </c>
      <c r="G192" s="10">
        <f>'G) Solidarité'!I182</f>
        <v>0</v>
      </c>
      <c r="H192" s="14">
        <f t="shared" si="7"/>
        <v>110776.65995975854</v>
      </c>
      <c r="I192" s="55">
        <f t="shared" si="8"/>
        <v>858371.76928431727</v>
      </c>
    </row>
    <row r="193" spans="1:9" x14ac:dyDescent="0.25">
      <c r="A193" s="49">
        <f>'A) Base RI'!A184</f>
        <v>5706</v>
      </c>
      <c r="B193" s="32" t="str">
        <f>'A) Base RI'!B184</f>
        <v>Borex</v>
      </c>
      <c r="C193" s="31">
        <f>'D) Ecrêtage'!C183</f>
        <v>71207.99596491229</v>
      </c>
      <c r="D193" s="14">
        <f>'A) Base RI'!V184</f>
        <v>1165</v>
      </c>
      <c r="E193" s="10">
        <f t="shared" si="6"/>
        <v>1328328.8346543901</v>
      </c>
      <c r="F193" s="14">
        <f>'F) Population'!K186</f>
        <v>182382.29376257546</v>
      </c>
      <c r="G193" s="10">
        <f>'G) Solidarité'!I183</f>
        <v>0</v>
      </c>
      <c r="H193" s="14">
        <f t="shared" si="7"/>
        <v>182382.29376257546</v>
      </c>
      <c r="I193" s="55">
        <f t="shared" si="8"/>
        <v>1145946.5408918147</v>
      </c>
    </row>
    <row r="194" spans="1:9" x14ac:dyDescent="0.25">
      <c r="A194" s="49">
        <f>'A) Base RI'!A185</f>
        <v>5707</v>
      </c>
      <c r="B194" s="32" t="str">
        <f>'A) Base RI'!B185</f>
        <v>Chavannes-de-Bogis</v>
      </c>
      <c r="C194" s="31">
        <f>'D) Ecrêtage'!C184</f>
        <v>88021.415574712664</v>
      </c>
      <c r="D194" s="14">
        <f>'A) Base RI'!V185</f>
        <v>1330</v>
      </c>
      <c r="E194" s="10">
        <f t="shared" si="6"/>
        <v>1641969.8769868598</v>
      </c>
      <c r="F194" s="14">
        <f>'F) Population'!K187</f>
        <v>240016.09657947684</v>
      </c>
      <c r="G194" s="10">
        <f>'G) Solidarité'!I184</f>
        <v>0</v>
      </c>
      <c r="H194" s="14">
        <f t="shared" si="7"/>
        <v>240016.09657947684</v>
      </c>
      <c r="I194" s="55">
        <f t="shared" si="8"/>
        <v>1401953.7804073831</v>
      </c>
    </row>
    <row r="195" spans="1:9" x14ac:dyDescent="0.25">
      <c r="A195" s="49">
        <f>'A) Base RI'!A186</f>
        <v>5708</v>
      </c>
      <c r="B195" s="32" t="str">
        <f>'A) Base RI'!B186</f>
        <v>Chavannes-des-Bois</v>
      </c>
      <c r="C195" s="31">
        <f>'D) Ecrêtage'!C185</f>
        <v>67001.640000000014</v>
      </c>
      <c r="D195" s="14">
        <f>'A) Base RI'!V186</f>
        <v>1005</v>
      </c>
      <c r="E195" s="10">
        <f t="shared" si="6"/>
        <v>1249862.5916250725</v>
      </c>
      <c r="F195" s="14">
        <f>'F) Population'!K188</f>
        <v>126494.96981891348</v>
      </c>
      <c r="G195" s="10">
        <f>'G) Solidarité'!I185</f>
        <v>0</v>
      </c>
      <c r="H195" s="14">
        <f t="shared" si="7"/>
        <v>126494.96981891348</v>
      </c>
      <c r="I195" s="55">
        <f t="shared" si="8"/>
        <v>1123367.6218061591</v>
      </c>
    </row>
    <row r="196" spans="1:9" x14ac:dyDescent="0.25">
      <c r="A196" s="49">
        <f>'A) Base RI'!A187</f>
        <v>5709</v>
      </c>
      <c r="B196" s="32" t="str">
        <f>'A) Base RI'!B187</f>
        <v>Chéserex</v>
      </c>
      <c r="C196" s="31">
        <f>'D) Ecrêtage'!C186</f>
        <v>88342.385614035084</v>
      </c>
      <c r="D196" s="14">
        <f>'A) Base RI'!V187</f>
        <v>1263</v>
      </c>
      <c r="E196" s="10">
        <f t="shared" si="6"/>
        <v>1647957.3191626263</v>
      </c>
      <c r="F196" s="14">
        <f>'F) Population'!K189</f>
        <v>216613.27967806841</v>
      </c>
      <c r="G196" s="10">
        <f>'G) Solidarité'!I186</f>
        <v>0</v>
      </c>
      <c r="H196" s="14">
        <f t="shared" si="7"/>
        <v>216613.27967806841</v>
      </c>
      <c r="I196" s="55">
        <f t="shared" si="8"/>
        <v>1431344.0394845579</v>
      </c>
    </row>
    <row r="197" spans="1:9" x14ac:dyDescent="0.25">
      <c r="A197" s="49">
        <f>'A) Base RI'!A188</f>
        <v>5710</v>
      </c>
      <c r="B197" s="32" t="str">
        <f>'A) Base RI'!B188</f>
        <v>Coinsins</v>
      </c>
      <c r="C197" s="31">
        <f>'D) Ecrêtage'!C187</f>
        <v>43412.265098039228</v>
      </c>
      <c r="D197" s="14">
        <f>'A) Base RI'!V188</f>
        <v>508</v>
      </c>
      <c r="E197" s="10">
        <f t="shared" si="6"/>
        <v>809821.4635305939</v>
      </c>
      <c r="F197" s="14">
        <f>'F) Population'!K190</f>
        <v>63372.233400402409</v>
      </c>
      <c r="G197" s="10">
        <f>'G) Solidarité'!I187</f>
        <v>0</v>
      </c>
      <c r="H197" s="14">
        <f t="shared" si="7"/>
        <v>63372.233400402409</v>
      </c>
      <c r="I197" s="55">
        <f t="shared" si="8"/>
        <v>746449.23013019154</v>
      </c>
    </row>
    <row r="198" spans="1:9" x14ac:dyDescent="0.25">
      <c r="A198" s="49">
        <f>'A) Base RI'!A189</f>
        <v>5711</v>
      </c>
      <c r="B198" s="32" t="str">
        <f>'A) Base RI'!B189</f>
        <v>Commugny</v>
      </c>
      <c r="C198" s="31">
        <f>'D) Ecrêtage'!C188</f>
        <v>286273.03470547468</v>
      </c>
      <c r="D198" s="14">
        <f>'A) Base RI'!V189</f>
        <v>3001</v>
      </c>
      <c r="E198" s="10">
        <f t="shared" si="6"/>
        <v>5340197.0021832129</v>
      </c>
      <c r="F198" s="14">
        <f>'F) Population'!K191</f>
        <v>823839.03420523123</v>
      </c>
      <c r="G198" s="10">
        <f>'G) Solidarité'!I188</f>
        <v>0</v>
      </c>
      <c r="H198" s="14">
        <f t="shared" si="7"/>
        <v>823839.03420523123</v>
      </c>
      <c r="I198" s="55">
        <f t="shared" si="8"/>
        <v>4516357.967977982</v>
      </c>
    </row>
    <row r="199" spans="1:9" x14ac:dyDescent="0.25">
      <c r="A199" s="49">
        <f>'A) Base RI'!A190</f>
        <v>5712</v>
      </c>
      <c r="B199" s="32" t="str">
        <f>'A) Base RI'!B190</f>
        <v>Coppet</v>
      </c>
      <c r="C199" s="31">
        <f>'D) Ecrêtage'!C189</f>
        <v>333754.3945283019</v>
      </c>
      <c r="D199" s="14">
        <f>'A) Base RI'!V190</f>
        <v>3211</v>
      </c>
      <c r="E199" s="10">
        <f t="shared" si="6"/>
        <v>6225924.2088910099</v>
      </c>
      <c r="F199" s="14">
        <f>'F) Population'!K192</f>
        <v>928627.76659959741</v>
      </c>
      <c r="G199" s="10">
        <f>'G) Solidarité'!I189</f>
        <v>0</v>
      </c>
      <c r="H199" s="14">
        <f t="shared" si="7"/>
        <v>928627.76659959741</v>
      </c>
      <c r="I199" s="55">
        <f t="shared" si="8"/>
        <v>5297296.4422914125</v>
      </c>
    </row>
    <row r="200" spans="1:9" x14ac:dyDescent="0.25">
      <c r="A200" s="49">
        <f>'A) Base RI'!A191</f>
        <v>5713</v>
      </c>
      <c r="B200" s="32" t="str">
        <f>'A) Base RI'!B191</f>
        <v>Crans</v>
      </c>
      <c r="C200" s="31">
        <f>'D) Ecrêtage'!C190</f>
        <v>302504.79982142855</v>
      </c>
      <c r="D200" s="14">
        <f>'A) Base RI'!V191</f>
        <v>2373</v>
      </c>
      <c r="E200" s="10">
        <f t="shared" si="6"/>
        <v>5642987.740058816</v>
      </c>
      <c r="F200" s="14">
        <f>'F) Population'!K193</f>
        <v>604331.58953722334</v>
      </c>
      <c r="G200" s="10">
        <f>'G) Solidarité'!I190</f>
        <v>0</v>
      </c>
      <c r="H200" s="14">
        <f t="shared" si="7"/>
        <v>604331.58953722334</v>
      </c>
      <c r="I200" s="55">
        <f t="shared" si="8"/>
        <v>5038656.1505215932</v>
      </c>
    </row>
    <row r="201" spans="1:9" x14ac:dyDescent="0.25">
      <c r="A201" s="49">
        <f>'A) Base RI'!A192</f>
        <v>5714</v>
      </c>
      <c r="B201" s="32" t="str">
        <f>'A) Base RI'!B192</f>
        <v>Crassier</v>
      </c>
      <c r="C201" s="31">
        <f>'D) Ecrêtage'!C191</f>
        <v>62136.029852941167</v>
      </c>
      <c r="D201" s="14">
        <f>'A) Base RI'!V192</f>
        <v>1228</v>
      </c>
      <c r="E201" s="10">
        <f t="shared" si="6"/>
        <v>1159098.4833399586</v>
      </c>
      <c r="F201" s="14">
        <f>'F) Population'!K194</f>
        <v>204387.92756539234</v>
      </c>
      <c r="G201" s="10">
        <f>'G) Solidarité'!I191</f>
        <v>0</v>
      </c>
      <c r="H201" s="14">
        <f t="shared" si="7"/>
        <v>204387.92756539234</v>
      </c>
      <c r="I201" s="55">
        <f t="shared" si="8"/>
        <v>954710.55577456625</v>
      </c>
    </row>
    <row r="202" spans="1:9" x14ac:dyDescent="0.25">
      <c r="A202" s="49">
        <f>'A) Base RI'!A193</f>
        <v>5715</v>
      </c>
      <c r="B202" s="32" t="str">
        <f>'A) Base RI'!B193</f>
        <v>Duillier</v>
      </c>
      <c r="C202" s="31">
        <f>'D) Ecrêtage'!C192</f>
        <v>70395.129393939395</v>
      </c>
      <c r="D202" s="14">
        <f>'A) Base RI'!V193</f>
        <v>1146</v>
      </c>
      <c r="E202" s="10">
        <f t="shared" si="6"/>
        <v>1313165.4518022453</v>
      </c>
      <c r="F202" s="14">
        <f>'F) Population'!K195</f>
        <v>175745.67404426559</v>
      </c>
      <c r="G202" s="10">
        <f>'G) Solidarité'!I192</f>
        <v>0</v>
      </c>
      <c r="H202" s="14">
        <f t="shared" si="7"/>
        <v>175745.67404426559</v>
      </c>
      <c r="I202" s="55">
        <f t="shared" si="8"/>
        <v>1137419.7777579797</v>
      </c>
    </row>
    <row r="203" spans="1:9" x14ac:dyDescent="0.25">
      <c r="A203" s="49">
        <f>'A) Base RI'!A194</f>
        <v>5716</v>
      </c>
      <c r="B203" s="32" t="str">
        <f>'A) Base RI'!B194</f>
        <v>Eysins</v>
      </c>
      <c r="C203" s="31">
        <f>'D) Ecrêtage'!C193</f>
        <v>203854.36605042018</v>
      </c>
      <c r="D203" s="14">
        <f>'A) Base RI'!V194</f>
        <v>1736</v>
      </c>
      <c r="E203" s="10">
        <f t="shared" si="6"/>
        <v>3802741.9368520579</v>
      </c>
      <c r="F203" s="14">
        <f>'F) Population'!K196</f>
        <v>381830.18108651909</v>
      </c>
      <c r="G203" s="10">
        <f>'G) Solidarité'!I193</f>
        <v>0</v>
      </c>
      <c r="H203" s="14">
        <f t="shared" si="7"/>
        <v>381830.18108651909</v>
      </c>
      <c r="I203" s="55">
        <f t="shared" si="8"/>
        <v>3420911.7557655387</v>
      </c>
    </row>
    <row r="204" spans="1:9" x14ac:dyDescent="0.25">
      <c r="A204" s="49">
        <f>'A) Base RI'!A195</f>
        <v>5717</v>
      </c>
      <c r="B204" s="32" t="str">
        <f>'A) Base RI'!B195</f>
        <v>Founex</v>
      </c>
      <c r="C204" s="31">
        <f>'D) Ecrêtage'!C194</f>
        <v>390728.72</v>
      </c>
      <c r="D204" s="14">
        <f>'A) Base RI'!V195</f>
        <v>3822</v>
      </c>
      <c r="E204" s="10">
        <f t="shared" si="6"/>
        <v>7288735.180236591</v>
      </c>
      <c r="F204" s="14">
        <f>'F) Population'!K197</f>
        <v>1233513.0784708248</v>
      </c>
      <c r="G204" s="10">
        <f>'G) Solidarité'!I194</f>
        <v>0</v>
      </c>
      <c r="H204" s="14">
        <f t="shared" si="7"/>
        <v>1233513.0784708248</v>
      </c>
      <c r="I204" s="55">
        <f t="shared" si="8"/>
        <v>6055222.1017657667</v>
      </c>
    </row>
    <row r="205" spans="1:9" x14ac:dyDescent="0.25">
      <c r="A205" s="49">
        <f>'A) Base RI'!A196</f>
        <v>5718</v>
      </c>
      <c r="B205" s="32" t="str">
        <f>'A) Base RI'!B196</f>
        <v>Genolier</v>
      </c>
      <c r="C205" s="31">
        <f>'D) Ecrêtage'!C195</f>
        <v>192274.57272727272</v>
      </c>
      <c r="D205" s="14">
        <f>'A) Base RI'!V196</f>
        <v>2022</v>
      </c>
      <c r="E205" s="10">
        <f t="shared" si="6"/>
        <v>3586730.0527645671</v>
      </c>
      <c r="F205" s="14">
        <f>'F) Population'!K198</f>
        <v>481728.77263581485</v>
      </c>
      <c r="G205" s="10">
        <f>'G) Solidarité'!I195</f>
        <v>0</v>
      </c>
      <c r="H205" s="14">
        <f t="shared" si="7"/>
        <v>481728.77263581485</v>
      </c>
      <c r="I205" s="55">
        <f t="shared" si="8"/>
        <v>3105001.2801287523</v>
      </c>
    </row>
    <row r="206" spans="1:9" x14ac:dyDescent="0.25">
      <c r="A206" s="49">
        <f>'A) Base RI'!A197</f>
        <v>5719</v>
      </c>
      <c r="B206" s="32" t="str">
        <f>'A) Base RI'!B197</f>
        <v>Gingins</v>
      </c>
      <c r="C206" s="31">
        <f>'D) Ecrêtage'!C196</f>
        <v>151294.23883333337</v>
      </c>
      <c r="D206" s="14">
        <f>'A) Base RI'!V197</f>
        <v>1265</v>
      </c>
      <c r="E206" s="10">
        <f t="shared" si="6"/>
        <v>2822274.3420336084</v>
      </c>
      <c r="F206" s="14">
        <f>'F) Population'!K199</f>
        <v>217311.87122736417</v>
      </c>
      <c r="G206" s="10">
        <f>'G) Solidarité'!I196</f>
        <v>0</v>
      </c>
      <c r="H206" s="14">
        <f t="shared" si="7"/>
        <v>217311.87122736417</v>
      </c>
      <c r="I206" s="55">
        <f t="shared" si="8"/>
        <v>2604962.4708062443</v>
      </c>
    </row>
    <row r="207" spans="1:9" x14ac:dyDescent="0.25">
      <c r="A207" s="49">
        <f>'A) Base RI'!A198</f>
        <v>5720</v>
      </c>
      <c r="B207" s="32" t="str">
        <f>'A) Base RI'!B198</f>
        <v>Givrins</v>
      </c>
      <c r="C207" s="31">
        <f>'D) Ecrêtage'!C197</f>
        <v>74789.829883913771</v>
      </c>
      <c r="D207" s="14">
        <f>'A) Base RI'!V198</f>
        <v>1010</v>
      </c>
      <c r="E207" s="10">
        <f t="shared" si="6"/>
        <v>1395145.1129540522</v>
      </c>
      <c r="F207" s="14">
        <f>'F) Population'!K200</f>
        <v>128241.44869215292</v>
      </c>
      <c r="G207" s="10">
        <f>'G) Solidarité'!I197</f>
        <v>0</v>
      </c>
      <c r="H207" s="14">
        <f t="shared" si="7"/>
        <v>128241.44869215292</v>
      </c>
      <c r="I207" s="55">
        <f t="shared" si="8"/>
        <v>1266903.6642618992</v>
      </c>
    </row>
    <row r="208" spans="1:9" x14ac:dyDescent="0.25">
      <c r="A208" s="49">
        <f>'A) Base RI'!A199</f>
        <v>5721</v>
      </c>
      <c r="B208" s="32" t="str">
        <f>'A) Base RI'!B199</f>
        <v>Gland</v>
      </c>
      <c r="C208" s="31">
        <f>'D) Ecrêtage'!C198</f>
        <v>723023.81196721317</v>
      </c>
      <c r="D208" s="14">
        <f>'A) Base RI'!V199</f>
        <v>13306</v>
      </c>
      <c r="E208" s="10">
        <f t="shared" si="6"/>
        <v>13487437.254251985</v>
      </c>
      <c r="F208" s="14">
        <f>'F) Population'!K201</f>
        <v>8064740.442655935</v>
      </c>
      <c r="G208" s="10">
        <f>'G) Solidarité'!I198</f>
        <v>0</v>
      </c>
      <c r="H208" s="14">
        <f t="shared" si="7"/>
        <v>8064740.442655935</v>
      </c>
      <c r="I208" s="55">
        <f t="shared" si="8"/>
        <v>5422696.8115960499</v>
      </c>
    </row>
    <row r="209" spans="1:9" x14ac:dyDescent="0.25">
      <c r="A209" s="49">
        <f>'A) Base RI'!A200</f>
        <v>5722</v>
      </c>
      <c r="B209" s="32" t="str">
        <f>'A) Base RI'!B200</f>
        <v>Grens</v>
      </c>
      <c r="C209" s="31">
        <f>'D) Ecrêtage'!C199</f>
        <v>22316.761129032264</v>
      </c>
      <c r="D209" s="14">
        <f>'A) Base RI'!V200</f>
        <v>401</v>
      </c>
      <c r="E209" s="10">
        <f t="shared" ref="E209:E272" si="9">C209*E$15</f>
        <v>416301.52487924084</v>
      </c>
      <c r="F209" s="14">
        <f>'F) Population'!K202</f>
        <v>50024.144869215292</v>
      </c>
      <c r="G209" s="10">
        <f>'G) Solidarité'!I199</f>
        <v>0</v>
      </c>
      <c r="H209" s="14">
        <f t="shared" ref="H209:H272" si="10">F209+G209</f>
        <v>50024.144869215292</v>
      </c>
      <c r="I209" s="55">
        <f t="shared" ref="I209:I272" si="11">E209-H209</f>
        <v>366277.38001002558</v>
      </c>
    </row>
    <row r="210" spans="1:9" x14ac:dyDescent="0.25">
      <c r="A210" s="49">
        <f>'A) Base RI'!A201</f>
        <v>5723</v>
      </c>
      <c r="B210" s="32" t="str">
        <f>'A) Base RI'!B201</f>
        <v>Mies</v>
      </c>
      <c r="C210" s="31">
        <f>'D) Ecrêtage'!C200</f>
        <v>245974.84538461536</v>
      </c>
      <c r="D210" s="14">
        <f>'A) Base RI'!V201</f>
        <v>2195</v>
      </c>
      <c r="E210" s="10">
        <f t="shared" si="9"/>
        <v>4588466.1588431541</v>
      </c>
      <c r="F210" s="14">
        <f>'F) Population'!K203</f>
        <v>542156.94164989935</v>
      </c>
      <c r="G210" s="10">
        <f>'G) Solidarité'!I200</f>
        <v>0</v>
      </c>
      <c r="H210" s="14">
        <f t="shared" si="10"/>
        <v>542156.94164989935</v>
      </c>
      <c r="I210" s="55">
        <f t="shared" si="11"/>
        <v>4046309.2171932547</v>
      </c>
    </row>
    <row r="211" spans="1:9" x14ac:dyDescent="0.25">
      <c r="A211" s="49">
        <f>'A) Base RI'!A202</f>
        <v>5724</v>
      </c>
      <c r="B211" s="32" t="str">
        <f>'A) Base RI'!B202</f>
        <v>Nyon</v>
      </c>
      <c r="C211" s="31">
        <f>'D) Ecrêtage'!C201</f>
        <v>1461873.0345355188</v>
      </c>
      <c r="D211" s="14">
        <f>'A) Base RI'!V202</f>
        <v>22124</v>
      </c>
      <c r="E211" s="10">
        <f t="shared" si="9"/>
        <v>27270085.0243572</v>
      </c>
      <c r="F211" s="14">
        <f>'F) Population'!K204</f>
        <v>17220481.287726358</v>
      </c>
      <c r="G211" s="10">
        <f>'G) Solidarité'!I201</f>
        <v>0</v>
      </c>
      <c r="H211" s="14">
        <f t="shared" si="10"/>
        <v>17220481.287726358</v>
      </c>
      <c r="I211" s="55">
        <f t="shared" si="11"/>
        <v>10049603.736630842</v>
      </c>
    </row>
    <row r="212" spans="1:9" x14ac:dyDescent="0.25">
      <c r="A212" s="49">
        <f>'A) Base RI'!A203</f>
        <v>5725</v>
      </c>
      <c r="B212" s="32" t="str">
        <f>'A) Base RI'!B203</f>
        <v>Prangins</v>
      </c>
      <c r="C212" s="31">
        <f>'D) Ecrêtage'!C202</f>
        <v>355082.58820779232</v>
      </c>
      <c r="D212" s="14">
        <f>'A) Base RI'!V203</f>
        <v>4060</v>
      </c>
      <c r="E212" s="10">
        <f t="shared" si="9"/>
        <v>6623784.7900190149</v>
      </c>
      <c r="F212" s="14">
        <f>'F) Population'!K205</f>
        <v>1352273.6418511064</v>
      </c>
      <c r="G212" s="10">
        <f>'G) Solidarité'!I202</f>
        <v>0</v>
      </c>
      <c r="H212" s="14">
        <f t="shared" si="10"/>
        <v>1352273.6418511064</v>
      </c>
      <c r="I212" s="55">
        <f t="shared" si="11"/>
        <v>5271511.1481679082</v>
      </c>
    </row>
    <row r="213" spans="1:9" x14ac:dyDescent="0.25">
      <c r="A213" s="49">
        <f>'A) Base RI'!A204</f>
        <v>5726</v>
      </c>
      <c r="B213" s="32" t="str">
        <f>'A) Base RI'!B204</f>
        <v>La Rippe</v>
      </c>
      <c r="C213" s="31">
        <f>'D) Ecrêtage'!C203</f>
        <v>70366.469687500008</v>
      </c>
      <c r="D213" s="14">
        <f>'A) Base RI'!V204</f>
        <v>1165</v>
      </c>
      <c r="E213" s="10">
        <f t="shared" si="9"/>
        <v>1312630.8276502762</v>
      </c>
      <c r="F213" s="14">
        <f>'F) Population'!K206</f>
        <v>182382.29376257546</v>
      </c>
      <c r="G213" s="10">
        <f>'G) Solidarité'!I203</f>
        <v>0</v>
      </c>
      <c r="H213" s="14">
        <f t="shared" si="10"/>
        <v>182382.29376257546</v>
      </c>
      <c r="I213" s="55">
        <f t="shared" si="11"/>
        <v>1130248.5338877009</v>
      </c>
    </row>
    <row r="214" spans="1:9" x14ac:dyDescent="0.25">
      <c r="A214" s="49">
        <f>'A) Base RI'!A205</f>
        <v>5727</v>
      </c>
      <c r="B214" s="32" t="str">
        <f>'A) Base RI'!B205</f>
        <v>Saint-Cergue</v>
      </c>
      <c r="C214" s="31">
        <f>'D) Ecrêtage'!C204</f>
        <v>106173.30404040407</v>
      </c>
      <c r="D214" s="14">
        <f>'A) Base RI'!V205</f>
        <v>2755</v>
      </c>
      <c r="E214" s="10">
        <f t="shared" si="9"/>
        <v>1980578.997011658</v>
      </c>
      <c r="F214" s="14">
        <f>'F) Population'!K207</f>
        <v>737762.57545271621</v>
      </c>
      <c r="G214" s="10">
        <f>'G) Solidarité'!I204</f>
        <v>472100.03714755009</v>
      </c>
      <c r="H214" s="14">
        <f t="shared" si="10"/>
        <v>1209862.6126002662</v>
      </c>
      <c r="I214" s="55">
        <f t="shared" si="11"/>
        <v>770716.3844113918</v>
      </c>
    </row>
    <row r="215" spans="1:9" x14ac:dyDescent="0.25">
      <c r="A215" s="49">
        <f>'A) Base RI'!A206</f>
        <v>5728</v>
      </c>
      <c r="B215" s="32" t="str">
        <f>'A) Base RI'!B206</f>
        <v>Signy-Avenex</v>
      </c>
      <c r="C215" s="31">
        <f>'D) Ecrêtage'!C205</f>
        <v>56477.02620689656</v>
      </c>
      <c r="D215" s="14">
        <f>'A) Base RI'!V206</f>
        <v>584</v>
      </c>
      <c r="E215" s="10">
        <f t="shared" si="9"/>
        <v>1053534.2469561768</v>
      </c>
      <c r="F215" s="14">
        <f>'F) Population'!K208</f>
        <v>72853.11871227363</v>
      </c>
      <c r="G215" s="10">
        <f>'G) Solidarité'!I205</f>
        <v>0</v>
      </c>
      <c r="H215" s="14">
        <f t="shared" si="10"/>
        <v>72853.11871227363</v>
      </c>
      <c r="I215" s="55">
        <f t="shared" si="11"/>
        <v>980681.12824390316</v>
      </c>
    </row>
    <row r="216" spans="1:9" x14ac:dyDescent="0.25">
      <c r="A216" s="49">
        <f>'A) Base RI'!A207</f>
        <v>5729</v>
      </c>
      <c r="B216" s="32" t="str">
        <f>'A) Base RI'!B207</f>
        <v>Tannay</v>
      </c>
      <c r="C216" s="31">
        <f>'D) Ecrêtage'!C206</f>
        <v>161688.04044077132</v>
      </c>
      <c r="D216" s="14">
        <f>'A) Base RI'!V207</f>
        <v>1644</v>
      </c>
      <c r="E216" s="10">
        <f t="shared" si="9"/>
        <v>3016162.4888597047</v>
      </c>
      <c r="F216" s="14">
        <f>'F) Population'!K209</f>
        <v>349694.96981891349</v>
      </c>
      <c r="G216" s="10">
        <f>'G) Solidarité'!I206</f>
        <v>0</v>
      </c>
      <c r="H216" s="14">
        <f t="shared" si="10"/>
        <v>349694.96981891349</v>
      </c>
      <c r="I216" s="55">
        <f t="shared" si="11"/>
        <v>2666467.5190407913</v>
      </c>
    </row>
    <row r="217" spans="1:9" x14ac:dyDescent="0.25">
      <c r="A217" s="49">
        <f>'A) Base RI'!A208</f>
        <v>5730</v>
      </c>
      <c r="B217" s="32" t="str">
        <f>'A) Base RI'!B208</f>
        <v>Trélex</v>
      </c>
      <c r="C217" s="31">
        <f>'D) Ecrêtage'!C207</f>
        <v>125085.64878878882</v>
      </c>
      <c r="D217" s="14">
        <f>'A) Base RI'!V208</f>
        <v>1439</v>
      </c>
      <c r="E217" s="10">
        <f t="shared" si="9"/>
        <v>2333373.82742063</v>
      </c>
      <c r="F217" s="14">
        <f>'F) Population'!K210</f>
        <v>278089.33601609652</v>
      </c>
      <c r="G217" s="10">
        <f>'G) Solidarité'!I207</f>
        <v>0</v>
      </c>
      <c r="H217" s="14">
        <f t="shared" si="10"/>
        <v>278089.33601609652</v>
      </c>
      <c r="I217" s="55">
        <f t="shared" si="11"/>
        <v>2055284.4914045334</v>
      </c>
    </row>
    <row r="218" spans="1:9" x14ac:dyDescent="0.25">
      <c r="A218" s="49">
        <f>'A) Base RI'!A209</f>
        <v>5731</v>
      </c>
      <c r="B218" s="32" t="str">
        <f>'A) Base RI'!B209</f>
        <v>Le Vaud</v>
      </c>
      <c r="C218" s="31">
        <f>'D) Ecrêtage'!C208</f>
        <v>69596.613288288281</v>
      </c>
      <c r="D218" s="14">
        <f>'A) Base RI'!V209</f>
        <v>1387</v>
      </c>
      <c r="E218" s="10">
        <f t="shared" si="9"/>
        <v>1298269.7655285443</v>
      </c>
      <c r="F218" s="14">
        <f>'F) Population'!K211</f>
        <v>259925.95573440642</v>
      </c>
      <c r="G218" s="10">
        <f>'G) Solidarité'!I208</f>
        <v>0</v>
      </c>
      <c r="H218" s="14">
        <f t="shared" si="10"/>
        <v>259925.95573440642</v>
      </c>
      <c r="I218" s="55">
        <f t="shared" si="11"/>
        <v>1038343.809794138</v>
      </c>
    </row>
    <row r="219" spans="1:9" x14ac:dyDescent="0.25">
      <c r="A219" s="49">
        <f>'A) Base RI'!A210</f>
        <v>5732</v>
      </c>
      <c r="B219" s="32" t="str">
        <f>'A) Base RI'!B210</f>
        <v>Vich</v>
      </c>
      <c r="C219" s="31">
        <f>'D) Ecrêtage'!C209</f>
        <v>86538.031587301579</v>
      </c>
      <c r="D219" s="14">
        <f>'A) Base RI'!V210</f>
        <v>1157</v>
      </c>
      <c r="E219" s="10">
        <f t="shared" si="9"/>
        <v>1614298.5221531461</v>
      </c>
      <c r="F219" s="14">
        <f>'F) Population'!K212</f>
        <v>179587.92756539234</v>
      </c>
      <c r="G219" s="10">
        <f>'G) Solidarité'!I209</f>
        <v>0</v>
      </c>
      <c r="H219" s="14">
        <f t="shared" si="10"/>
        <v>179587.92756539234</v>
      </c>
      <c r="I219" s="55">
        <f t="shared" si="11"/>
        <v>1434710.5945877538</v>
      </c>
    </row>
    <row r="220" spans="1:9" x14ac:dyDescent="0.25">
      <c r="A220" s="49">
        <f>'A) Base RI'!A211</f>
        <v>5741</v>
      </c>
      <c r="B220" s="32" t="str">
        <f>'A) Base RI'!B211</f>
        <v>L'Abergement</v>
      </c>
      <c r="C220" s="31">
        <f>'D) Ecrêtage'!C210</f>
        <v>8987.3782921810707</v>
      </c>
      <c r="D220" s="14">
        <f>'A) Base RI'!V211</f>
        <v>254</v>
      </c>
      <c r="E220" s="10">
        <f t="shared" si="9"/>
        <v>167652.43245061388</v>
      </c>
      <c r="F220" s="14">
        <f>'F) Population'!K213</f>
        <v>31686.116700201204</v>
      </c>
      <c r="G220" s="10">
        <f>'G) Solidarité'!I210</f>
        <v>86558.187627862819</v>
      </c>
      <c r="H220" s="14">
        <f t="shared" si="10"/>
        <v>118244.30432806403</v>
      </c>
      <c r="I220" s="55">
        <f t="shared" si="11"/>
        <v>49408.128122549853</v>
      </c>
    </row>
    <row r="221" spans="1:9" x14ac:dyDescent="0.25">
      <c r="A221" s="49">
        <f>'A) Base RI'!A212</f>
        <v>5742</v>
      </c>
      <c r="B221" s="32" t="str">
        <f>'A) Base RI'!B212</f>
        <v>Agiez</v>
      </c>
      <c r="C221" s="31">
        <f>'D) Ecrêtage'!C211</f>
        <v>10160.069605263159</v>
      </c>
      <c r="D221" s="14">
        <f>'A) Base RI'!V212</f>
        <v>375</v>
      </c>
      <c r="E221" s="10">
        <f t="shared" si="9"/>
        <v>189528.06122246166</v>
      </c>
      <c r="F221" s="14">
        <f>'F) Population'!K214</f>
        <v>46780.684104627762</v>
      </c>
      <c r="G221" s="10">
        <f>'G) Solidarité'!I211</f>
        <v>184218.34593229799</v>
      </c>
      <c r="H221" s="14">
        <f t="shared" si="10"/>
        <v>230999.03003692575</v>
      </c>
      <c r="I221" s="55">
        <f t="shared" si="11"/>
        <v>-41470.968814464082</v>
      </c>
    </row>
    <row r="222" spans="1:9" x14ac:dyDescent="0.25">
      <c r="A222" s="49">
        <f>'A) Base RI'!A213</f>
        <v>5743</v>
      </c>
      <c r="B222" s="32" t="str">
        <f>'A) Base RI'!B213</f>
        <v>Arnex-sur-Orbe</v>
      </c>
      <c r="C222" s="31">
        <f>'D) Ecrêtage'!C212</f>
        <v>18533.117816901413</v>
      </c>
      <c r="D222" s="14">
        <f>'A) Base RI'!V213</f>
        <v>665</v>
      </c>
      <c r="E222" s="10">
        <f t="shared" si="9"/>
        <v>345720.65199486463</v>
      </c>
      <c r="F222" s="14">
        <f>'F) Population'!K215</f>
        <v>82957.746478873232</v>
      </c>
      <c r="G222" s="10">
        <f>'G) Solidarité'!I212</f>
        <v>274722.63939938392</v>
      </c>
      <c r="H222" s="14">
        <f t="shared" si="10"/>
        <v>357680.38587825716</v>
      </c>
      <c r="I222" s="55">
        <f t="shared" si="11"/>
        <v>-11959.733883392531</v>
      </c>
    </row>
    <row r="223" spans="1:9" x14ac:dyDescent="0.25">
      <c r="A223" s="49">
        <f>'A) Base RI'!A214</f>
        <v>5744</v>
      </c>
      <c r="B223" s="32" t="str">
        <f>'A) Base RI'!B214</f>
        <v>Ballaigues</v>
      </c>
      <c r="C223" s="31">
        <f>'D) Ecrêtage'!C213</f>
        <v>49245.2596923077</v>
      </c>
      <c r="D223" s="14">
        <f>'A) Base RI'!V214</f>
        <v>1173</v>
      </c>
      <c r="E223" s="10">
        <f t="shared" si="9"/>
        <v>918631.36341554346</v>
      </c>
      <c r="F223" s="14">
        <f>'F) Population'!K216</f>
        <v>185176.65995975854</v>
      </c>
      <c r="G223" s="10">
        <f>'G) Solidarité'!I213</f>
        <v>126792.92296120604</v>
      </c>
      <c r="H223" s="14">
        <f t="shared" si="10"/>
        <v>311969.58292096457</v>
      </c>
      <c r="I223" s="55">
        <f t="shared" si="11"/>
        <v>606661.78049457888</v>
      </c>
    </row>
    <row r="224" spans="1:9" x14ac:dyDescent="0.25">
      <c r="A224" s="49">
        <f>'A) Base RI'!A215</f>
        <v>5745</v>
      </c>
      <c r="B224" s="32" t="str">
        <f>'A) Base RI'!B215</f>
        <v>Baulmes</v>
      </c>
      <c r="C224" s="31">
        <f>'D) Ecrêtage'!C214</f>
        <v>28471.572156862745</v>
      </c>
      <c r="D224" s="14">
        <f>'A) Base RI'!V215</f>
        <v>1126</v>
      </c>
      <c r="E224" s="10">
        <f t="shared" si="9"/>
        <v>531114.65575494454</v>
      </c>
      <c r="F224" s="14">
        <f>'F) Population'!K217</f>
        <v>168759.75855130784</v>
      </c>
      <c r="G224" s="10">
        <f>'G) Solidarité'!I214</f>
        <v>608031.43262260815</v>
      </c>
      <c r="H224" s="14">
        <f t="shared" si="10"/>
        <v>776791.19117391598</v>
      </c>
      <c r="I224" s="55">
        <f t="shared" si="11"/>
        <v>-245676.53541897144</v>
      </c>
    </row>
    <row r="225" spans="1:9" x14ac:dyDescent="0.25">
      <c r="A225" s="49">
        <f>'A) Base RI'!A216</f>
        <v>5746</v>
      </c>
      <c r="B225" s="32" t="str">
        <f>'A) Base RI'!B216</f>
        <v>Bavois</v>
      </c>
      <c r="C225" s="31">
        <f>'D) Ecrêtage'!C215</f>
        <v>27408.124908675796</v>
      </c>
      <c r="D225" s="14">
        <f>'A) Base RI'!V216</f>
        <v>978</v>
      </c>
      <c r="E225" s="10">
        <f t="shared" si="9"/>
        <v>511276.88859468559</v>
      </c>
      <c r="F225" s="14">
        <f>'F) Population'!K218</f>
        <v>122004.02414486921</v>
      </c>
      <c r="G225" s="10">
        <f>'G) Solidarité'!I215</f>
        <v>423877.87029298116</v>
      </c>
      <c r="H225" s="14">
        <f t="shared" si="10"/>
        <v>545881.89443785034</v>
      </c>
      <c r="I225" s="55">
        <f t="shared" si="11"/>
        <v>-34605.005843164749</v>
      </c>
    </row>
    <row r="226" spans="1:9" x14ac:dyDescent="0.25">
      <c r="A226" s="49">
        <f>'A) Base RI'!A217</f>
        <v>5747</v>
      </c>
      <c r="B226" s="32" t="str">
        <f>'A) Base RI'!B217</f>
        <v>Bofflens</v>
      </c>
      <c r="C226" s="31">
        <f>'D) Ecrêtage'!C216</f>
        <v>5808.1759420289845</v>
      </c>
      <c r="D226" s="14">
        <f>'A) Base RI'!V217</f>
        <v>206</v>
      </c>
      <c r="E226" s="10">
        <f t="shared" si="9"/>
        <v>108346.92756056035</v>
      </c>
      <c r="F226" s="14">
        <f>'F) Population'!K219</f>
        <v>25698.18913480885</v>
      </c>
      <c r="G226" s="10">
        <f>'G) Solidarité'!I216</f>
        <v>79099.353806418731</v>
      </c>
      <c r="H226" s="14">
        <f t="shared" si="10"/>
        <v>104797.54294122758</v>
      </c>
      <c r="I226" s="55">
        <f t="shared" si="11"/>
        <v>3549.3846193327627</v>
      </c>
    </row>
    <row r="227" spans="1:9" x14ac:dyDescent="0.25">
      <c r="A227" s="49">
        <f>'A) Base RI'!A218</f>
        <v>5748</v>
      </c>
      <c r="B227" s="32" t="str">
        <f>'A) Base RI'!B218</f>
        <v>Bretonnières</v>
      </c>
      <c r="C227" s="31">
        <f>'D) Ecrêtage'!C217</f>
        <v>6643.6153664302601</v>
      </c>
      <c r="D227" s="14">
        <f>'A) Base RI'!V218</f>
        <v>266</v>
      </c>
      <c r="E227" s="10">
        <f t="shared" si="9"/>
        <v>123931.38913684321</v>
      </c>
      <c r="F227" s="14">
        <f>'F) Population'!K220</f>
        <v>33183.098591549293</v>
      </c>
      <c r="G227" s="10">
        <f>'G) Solidarité'!I217</f>
        <v>123624.88186635802</v>
      </c>
      <c r="H227" s="14">
        <f t="shared" si="10"/>
        <v>156807.98045790731</v>
      </c>
      <c r="I227" s="55">
        <f t="shared" si="11"/>
        <v>-32876.591321064101</v>
      </c>
    </row>
    <row r="228" spans="1:9" x14ac:dyDescent="0.25">
      <c r="A228" s="49">
        <f>'A) Base RI'!A219</f>
        <v>5749</v>
      </c>
      <c r="B228" s="32" t="str">
        <f>'A) Base RI'!B219</f>
        <v>Chavornay</v>
      </c>
      <c r="C228" s="31">
        <f>'D) Ecrêtage'!C218</f>
        <v>153338.61687943264</v>
      </c>
      <c r="D228" s="14">
        <f>'A) Base RI'!V219</f>
        <v>5366</v>
      </c>
      <c r="E228" s="10">
        <f t="shared" si="9"/>
        <v>2860410.5972500332</v>
      </c>
      <c r="F228" s="14">
        <f>'F) Population'!K221</f>
        <v>2040486.1167002008</v>
      </c>
      <c r="G228" s="10">
        <f>'G) Solidarité'!I218</f>
        <v>2110402.6466639359</v>
      </c>
      <c r="H228" s="14">
        <f t="shared" si="10"/>
        <v>4150888.7633641367</v>
      </c>
      <c r="I228" s="55">
        <f t="shared" si="11"/>
        <v>-1290478.1661141035</v>
      </c>
    </row>
    <row r="229" spans="1:9" x14ac:dyDescent="0.25">
      <c r="A229" s="49">
        <f>'A) Base RI'!A220</f>
        <v>5750</v>
      </c>
      <c r="B229" s="32" t="str">
        <f>'A) Base RI'!B220</f>
        <v>Les Clées</v>
      </c>
      <c r="C229" s="31">
        <f>'D) Ecrêtage'!C219</f>
        <v>4819.774166666667</v>
      </c>
      <c r="D229" s="14">
        <f>'A) Base RI'!V220</f>
        <v>182</v>
      </c>
      <c r="E229" s="10">
        <f t="shared" si="9"/>
        <v>89909.074330084666</v>
      </c>
      <c r="F229" s="14">
        <f>'F) Population'!K222</f>
        <v>22704.225352112673</v>
      </c>
      <c r="G229" s="10">
        <f>'G) Solidarité'!I219</f>
        <v>101909.89990265369</v>
      </c>
      <c r="H229" s="14">
        <f t="shared" si="10"/>
        <v>124614.12525476636</v>
      </c>
      <c r="I229" s="55">
        <f t="shared" si="11"/>
        <v>-34705.050924681695</v>
      </c>
    </row>
    <row r="230" spans="1:9" x14ac:dyDescent="0.25">
      <c r="A230" s="49">
        <f>'A) Base RI'!A221</f>
        <v>5752</v>
      </c>
      <c r="B230" s="32" t="str">
        <f>'A) Base RI'!B221</f>
        <v>Croy</v>
      </c>
      <c r="C230" s="31">
        <f>'D) Ecrêtage'!C220</f>
        <v>9670.9952316602321</v>
      </c>
      <c r="D230" s="14">
        <f>'A) Base RI'!V221</f>
        <v>390</v>
      </c>
      <c r="E230" s="10">
        <f t="shared" si="9"/>
        <v>180404.7656719533</v>
      </c>
      <c r="F230" s="14">
        <f>'F) Population'!K223</f>
        <v>48651.911468812876</v>
      </c>
      <c r="G230" s="10">
        <f>'G) Solidarité'!I220</f>
        <v>201221.35262581293</v>
      </c>
      <c r="H230" s="14">
        <f t="shared" si="10"/>
        <v>249873.2640946258</v>
      </c>
      <c r="I230" s="55">
        <f t="shared" si="11"/>
        <v>-69468.498422672506</v>
      </c>
    </row>
    <row r="231" spans="1:9" x14ac:dyDescent="0.25">
      <c r="A231" s="49">
        <f>'A) Base RI'!A222</f>
        <v>5754</v>
      </c>
      <c r="B231" s="32" t="str">
        <f>'A) Base RI'!B222</f>
        <v>Juriens</v>
      </c>
      <c r="C231" s="31">
        <f>'D) Ecrêtage'!C221</f>
        <v>9073.6935443037964</v>
      </c>
      <c r="D231" s="14">
        <f>'A) Base RI'!V222</f>
        <v>348</v>
      </c>
      <c r="E231" s="10">
        <f t="shared" si="9"/>
        <v>169262.57519808813</v>
      </c>
      <c r="F231" s="14">
        <f>'F) Population'!K224</f>
        <v>43412.474849094564</v>
      </c>
      <c r="G231" s="10">
        <f>'G) Solidarité'!I221</f>
        <v>193562.64028781827</v>
      </c>
      <c r="H231" s="14">
        <f t="shared" si="10"/>
        <v>236975.11513691285</v>
      </c>
      <c r="I231" s="55">
        <f t="shared" si="11"/>
        <v>-67712.539938824717</v>
      </c>
    </row>
    <row r="232" spans="1:9" x14ac:dyDescent="0.25">
      <c r="A232" s="49">
        <f>'A) Base RI'!A223</f>
        <v>5755</v>
      </c>
      <c r="B232" s="32" t="str">
        <f>'A) Base RI'!B223</f>
        <v>Lignerolle</v>
      </c>
      <c r="C232" s="31">
        <f>'D) Ecrêtage'!C222</f>
        <v>10746.718034576888</v>
      </c>
      <c r="D232" s="14">
        <f>'A) Base RI'!V223</f>
        <v>409</v>
      </c>
      <c r="E232" s="10">
        <f t="shared" si="9"/>
        <v>200471.52359494742</v>
      </c>
      <c r="F232" s="14">
        <f>'F) Population'!K225</f>
        <v>51022.132796780679</v>
      </c>
      <c r="G232" s="10">
        <f>'G) Solidarité'!I222</f>
        <v>222590.19033904726</v>
      </c>
      <c r="H232" s="14">
        <f t="shared" si="10"/>
        <v>273612.32313582796</v>
      </c>
      <c r="I232" s="55">
        <f t="shared" si="11"/>
        <v>-73140.799540880544</v>
      </c>
    </row>
    <row r="233" spans="1:9" x14ac:dyDescent="0.25">
      <c r="A233" s="49">
        <f>'A) Base RI'!A224</f>
        <v>5756</v>
      </c>
      <c r="B233" s="32" t="str">
        <f>'A) Base RI'!B224</f>
        <v>Montcherand</v>
      </c>
      <c r="C233" s="31">
        <f>'D) Ecrêtage'!C223</f>
        <v>17739.52444444444</v>
      </c>
      <c r="D233" s="14">
        <f>'A) Base RI'!V224</f>
        <v>502</v>
      </c>
      <c r="E233" s="10">
        <f t="shared" si="9"/>
        <v>330916.79541470401</v>
      </c>
      <c r="F233" s="14">
        <f>'F) Population'!K226</f>
        <v>62623.742454728366</v>
      </c>
      <c r="G233" s="10">
        <f>'G) Solidarité'!I223</f>
        <v>135642.56021331978</v>
      </c>
      <c r="H233" s="14">
        <f t="shared" si="10"/>
        <v>198266.30266804816</v>
      </c>
      <c r="I233" s="55">
        <f t="shared" si="11"/>
        <v>132650.49274665586</v>
      </c>
    </row>
    <row r="234" spans="1:9" x14ac:dyDescent="0.25">
      <c r="A234" s="49">
        <f>'A) Base RI'!A225</f>
        <v>5757</v>
      </c>
      <c r="B234" s="32" t="str">
        <f>'A) Base RI'!B225</f>
        <v>Orbe</v>
      </c>
      <c r="C234" s="31">
        <f>'D) Ecrêtage'!C224</f>
        <v>216184.82317880794</v>
      </c>
      <c r="D234" s="14">
        <f>'A) Base RI'!V225</f>
        <v>7570</v>
      </c>
      <c r="E234" s="10">
        <f t="shared" si="9"/>
        <v>4032756.860403311</v>
      </c>
      <c r="F234" s="14">
        <f>'F) Population'!K227</f>
        <v>3360225.352112676</v>
      </c>
      <c r="G234" s="10">
        <f>'G) Solidarité'!I224</f>
        <v>3417571.2517735781</v>
      </c>
      <c r="H234" s="14">
        <f t="shared" si="10"/>
        <v>6777796.6038862541</v>
      </c>
      <c r="I234" s="55">
        <f t="shared" si="11"/>
        <v>-2745039.7434829432</v>
      </c>
    </row>
    <row r="235" spans="1:9" x14ac:dyDescent="0.25">
      <c r="A235" s="49">
        <f>'A) Base RI'!A226</f>
        <v>5758</v>
      </c>
      <c r="B235" s="32" t="str">
        <f>'A) Base RI'!B226</f>
        <v>La Praz</v>
      </c>
      <c r="C235" s="31">
        <f>'D) Ecrêtage'!C225</f>
        <v>4771.8661445783146</v>
      </c>
      <c r="D235" s="14">
        <f>'A) Base RI'!V226</f>
        <v>182</v>
      </c>
      <c r="E235" s="10">
        <f t="shared" si="9"/>
        <v>89015.388076330579</v>
      </c>
      <c r="F235" s="14">
        <f>'F) Population'!K228</f>
        <v>22704.225352112673</v>
      </c>
      <c r="G235" s="10">
        <f>'G) Solidarité'!I225</f>
        <v>111014.62745978429</v>
      </c>
      <c r="H235" s="14">
        <f t="shared" si="10"/>
        <v>133718.85281189697</v>
      </c>
      <c r="I235" s="55">
        <f t="shared" si="11"/>
        <v>-44703.464735566391</v>
      </c>
    </row>
    <row r="236" spans="1:9" x14ac:dyDescent="0.25">
      <c r="A236" s="49">
        <f>'A) Base RI'!A227</f>
        <v>5759</v>
      </c>
      <c r="B236" s="32" t="str">
        <f>'A) Base RI'!B227</f>
        <v>Premier</v>
      </c>
      <c r="C236" s="31">
        <f>'D) Ecrêtage'!C226</f>
        <v>5900.0572327044019</v>
      </c>
      <c r="D236" s="14">
        <f>'A) Base RI'!V227</f>
        <v>232</v>
      </c>
      <c r="E236" s="10">
        <f t="shared" si="9"/>
        <v>110060.90035414322</v>
      </c>
      <c r="F236" s="14">
        <f>'F) Population'!K229</f>
        <v>28941.649899396376</v>
      </c>
      <c r="G236" s="10">
        <f>'G) Solidarité'!I226</f>
        <v>134443.40335017259</v>
      </c>
      <c r="H236" s="14">
        <f t="shared" si="10"/>
        <v>163385.05324956897</v>
      </c>
      <c r="I236" s="55">
        <f t="shared" si="11"/>
        <v>-53324.152895425752</v>
      </c>
    </row>
    <row r="237" spans="1:9" x14ac:dyDescent="0.25">
      <c r="A237" s="49">
        <f>'A) Base RI'!A228</f>
        <v>5760</v>
      </c>
      <c r="B237" s="32" t="str">
        <f>'A) Base RI'!B228</f>
        <v>Rances</v>
      </c>
      <c r="C237" s="31">
        <f>'D) Ecrêtage'!C227</f>
        <v>14481.892461873636</v>
      </c>
      <c r="D237" s="14">
        <f>'A) Base RI'!V228</f>
        <v>512</v>
      </c>
      <c r="E237" s="10">
        <f t="shared" si="9"/>
        <v>270148.24777472584</v>
      </c>
      <c r="F237" s="14">
        <f>'F) Population'!K230</f>
        <v>63871.227364185106</v>
      </c>
      <c r="G237" s="10">
        <f>'G) Solidarité'!I227</f>
        <v>240581.46759106711</v>
      </c>
      <c r="H237" s="14">
        <f t="shared" si="10"/>
        <v>304452.69495525223</v>
      </c>
      <c r="I237" s="55">
        <f t="shared" si="11"/>
        <v>-34304.447180526389</v>
      </c>
    </row>
    <row r="238" spans="1:9" x14ac:dyDescent="0.25">
      <c r="A238" s="49">
        <f>'A) Base RI'!A229</f>
        <v>5761</v>
      </c>
      <c r="B238" s="32" t="str">
        <f>'A) Base RI'!B229</f>
        <v>Romainmôtier-Envy</v>
      </c>
      <c r="C238" s="31">
        <f>'D) Ecrêtage'!C228</f>
        <v>12913.984792368126</v>
      </c>
      <c r="D238" s="14">
        <f>'A) Base RI'!V229</f>
        <v>551</v>
      </c>
      <c r="E238" s="10">
        <f t="shared" si="9"/>
        <v>240900.17051516945</v>
      </c>
      <c r="F238" s="14">
        <f>'F) Population'!K231</f>
        <v>68736.418511066397</v>
      </c>
      <c r="G238" s="10">
        <f>'G) Solidarité'!I228</f>
        <v>360255.70097635029</v>
      </c>
      <c r="H238" s="14">
        <f t="shared" si="10"/>
        <v>428992.1194874167</v>
      </c>
      <c r="I238" s="55">
        <f t="shared" si="11"/>
        <v>-188091.94897224725</v>
      </c>
    </row>
    <row r="239" spans="1:9" x14ac:dyDescent="0.25">
      <c r="A239" s="49">
        <f>'A) Base RI'!A230</f>
        <v>5762</v>
      </c>
      <c r="B239" s="32" t="str">
        <f>'A) Base RI'!B230</f>
        <v>Sergey</v>
      </c>
      <c r="C239" s="31">
        <f>'D) Ecrêtage'!C229</f>
        <v>3849.6283333333336</v>
      </c>
      <c r="D239" s="14">
        <f>'A) Base RI'!V230</f>
        <v>141</v>
      </c>
      <c r="E239" s="10">
        <f t="shared" si="9"/>
        <v>71811.771256543987</v>
      </c>
      <c r="F239" s="14">
        <f>'F) Population'!K232</f>
        <v>17589.537223340038</v>
      </c>
      <c r="G239" s="10">
        <f>'G) Solidarité'!I229</f>
        <v>72244.220134587464</v>
      </c>
      <c r="H239" s="14">
        <f t="shared" si="10"/>
        <v>89833.757357927505</v>
      </c>
      <c r="I239" s="55">
        <f t="shared" si="11"/>
        <v>-18021.986101383518</v>
      </c>
    </row>
    <row r="240" spans="1:9" x14ac:dyDescent="0.25">
      <c r="A240" s="49">
        <f>'A) Base RI'!A231</f>
        <v>5763</v>
      </c>
      <c r="B240" s="32" t="str">
        <f>'A) Base RI'!B231</f>
        <v>Valeyres-sous-Rances</v>
      </c>
      <c r="C240" s="31">
        <f>'D) Ecrêtage'!C230</f>
        <v>22663.97352941176</v>
      </c>
      <c r="D240" s="14">
        <f>'A) Base RI'!V231</f>
        <v>614</v>
      </c>
      <c r="E240" s="10">
        <f t="shared" si="9"/>
        <v>422778.49754114402</v>
      </c>
      <c r="F240" s="14">
        <f>'F) Population'!K233</f>
        <v>76595.573440643857</v>
      </c>
      <c r="G240" s="10">
        <f>'G) Solidarité'!I230</f>
        <v>130131.63087514693</v>
      </c>
      <c r="H240" s="14">
        <f t="shared" si="10"/>
        <v>206727.20431579079</v>
      </c>
      <c r="I240" s="55">
        <f t="shared" si="11"/>
        <v>216051.29322535323</v>
      </c>
    </row>
    <row r="241" spans="1:9" x14ac:dyDescent="0.25">
      <c r="A241" s="49">
        <f>'A) Base RI'!A232</f>
        <v>5764</v>
      </c>
      <c r="B241" s="32" t="str">
        <f>'A) Base RI'!B232</f>
        <v>Vallorbe</v>
      </c>
      <c r="C241" s="31">
        <f>'D) Ecrêtage'!C231</f>
        <v>83682.382797202779</v>
      </c>
      <c r="D241" s="14">
        <f>'A) Base RI'!V232</f>
        <v>3924</v>
      </c>
      <c r="E241" s="10">
        <f t="shared" si="9"/>
        <v>1561028.6529743634</v>
      </c>
      <c r="F241" s="14">
        <f>'F) Population'!K234</f>
        <v>1284410.4627766598</v>
      </c>
      <c r="G241" s="10">
        <f>'G) Solidarité'!I231</f>
        <v>2168263.2002222734</v>
      </c>
      <c r="H241" s="14">
        <f t="shared" si="10"/>
        <v>3452673.6629989333</v>
      </c>
      <c r="I241" s="55">
        <f t="shared" si="11"/>
        <v>-1891645.0100245699</v>
      </c>
    </row>
    <row r="242" spans="1:9" x14ac:dyDescent="0.25">
      <c r="A242" s="49">
        <f>'A) Base RI'!A233</f>
        <v>5765</v>
      </c>
      <c r="B242" s="32" t="str">
        <f>'A) Base RI'!B233</f>
        <v>Vaulion</v>
      </c>
      <c r="C242" s="31">
        <f>'D) Ecrêtage'!C232</f>
        <v>10279.479012345679</v>
      </c>
      <c r="D242" s="14">
        <f>'A) Base RI'!V233</f>
        <v>492</v>
      </c>
      <c r="E242" s="10">
        <f t="shared" si="9"/>
        <v>191755.54925112144</v>
      </c>
      <c r="F242" s="14">
        <f>'F) Population'!K235</f>
        <v>61376.257545271626</v>
      </c>
      <c r="G242" s="10">
        <f>'G) Solidarité'!I232</f>
        <v>354480.63487808831</v>
      </c>
      <c r="H242" s="14">
        <f t="shared" si="10"/>
        <v>415856.89242335991</v>
      </c>
      <c r="I242" s="55">
        <f t="shared" si="11"/>
        <v>-224101.34317223847</v>
      </c>
    </row>
    <row r="243" spans="1:9" x14ac:dyDescent="0.25">
      <c r="A243" s="49">
        <f>'A) Base RI'!A234</f>
        <v>5766</v>
      </c>
      <c r="B243" s="32" t="str">
        <f>'A) Base RI'!B234</f>
        <v>Vuiteboeuf</v>
      </c>
      <c r="C243" s="31">
        <f>'D) Ecrêtage'!C233</f>
        <v>15554.101904761903</v>
      </c>
      <c r="D243" s="14">
        <f>'A) Base RI'!V234</f>
        <v>591</v>
      </c>
      <c r="E243" s="10">
        <f t="shared" si="9"/>
        <v>290149.46674568241</v>
      </c>
      <c r="F243" s="14">
        <f>'F) Population'!K236</f>
        <v>73726.358148893356</v>
      </c>
      <c r="G243" s="10">
        <f>'G) Solidarité'!I233</f>
        <v>293031.48455990729</v>
      </c>
      <c r="H243" s="14">
        <f t="shared" si="10"/>
        <v>366757.84270880063</v>
      </c>
      <c r="I243" s="55">
        <f t="shared" si="11"/>
        <v>-76608.375963118218</v>
      </c>
    </row>
    <row r="244" spans="1:9" x14ac:dyDescent="0.25">
      <c r="A244" s="49">
        <f>'A) Base RI'!A235</f>
        <v>5785</v>
      </c>
      <c r="B244" s="32" t="str">
        <f>'A) Base RI'!B235</f>
        <v>Corcelles-le-Jorat</v>
      </c>
      <c r="C244" s="31">
        <f>'D) Ecrêtage'!C234</f>
        <v>14579.940909090908</v>
      </c>
      <c r="D244" s="14">
        <f>'A) Base RI'!V235</f>
        <v>489</v>
      </c>
      <c r="E244" s="10">
        <f t="shared" si="9"/>
        <v>271977.26399498247</v>
      </c>
      <c r="F244" s="14">
        <f>'F) Population'!K237</f>
        <v>61002.012072434605</v>
      </c>
      <c r="G244" s="10">
        <f>'G) Solidarité'!I234</f>
        <v>215060.26233073324</v>
      </c>
      <c r="H244" s="14">
        <f t="shared" si="10"/>
        <v>276062.27440316783</v>
      </c>
      <c r="I244" s="55">
        <f t="shared" si="11"/>
        <v>-4085.0104081853642</v>
      </c>
    </row>
    <row r="245" spans="1:9" x14ac:dyDescent="0.25">
      <c r="A245" s="49">
        <f>'A) Base RI'!A236</f>
        <v>5788</v>
      </c>
      <c r="B245" s="32" t="str">
        <f>'A) Base RI'!B236</f>
        <v>Essertes</v>
      </c>
      <c r="C245" s="31">
        <f>'D) Ecrêtage'!C235</f>
        <v>13314.951048951047</v>
      </c>
      <c r="D245" s="14">
        <f>'A) Base RI'!V236</f>
        <v>397</v>
      </c>
      <c r="E245" s="10">
        <f t="shared" si="9"/>
        <v>248379.87884181537</v>
      </c>
      <c r="F245" s="14">
        <f>'F) Population'!K238</f>
        <v>49525.150905432594</v>
      </c>
      <c r="G245" s="10">
        <f>'G) Solidarité'!I235</f>
        <v>120367.4517460263</v>
      </c>
      <c r="H245" s="14">
        <f t="shared" si="10"/>
        <v>169892.6026514589</v>
      </c>
      <c r="I245" s="55">
        <f t="shared" si="11"/>
        <v>78487.276190356468</v>
      </c>
    </row>
    <row r="246" spans="1:9" x14ac:dyDescent="0.25">
      <c r="A246" s="49">
        <f>'A) Base RI'!A237</f>
        <v>5790</v>
      </c>
      <c r="B246" s="32" t="str">
        <f>'A) Base RI'!B237</f>
        <v>Maracon</v>
      </c>
      <c r="C246" s="31">
        <f>'D) Ecrêtage'!C236</f>
        <v>15172.050604026846</v>
      </c>
      <c r="D246" s="14">
        <f>'A) Base RI'!V237</f>
        <v>547</v>
      </c>
      <c r="E246" s="10">
        <f t="shared" si="9"/>
        <v>283022.60195744073</v>
      </c>
      <c r="F246" s="14">
        <f>'F) Population'!K239</f>
        <v>68237.424547283692</v>
      </c>
      <c r="G246" s="10">
        <f>'G) Solidarité'!I236</f>
        <v>250410.012643386</v>
      </c>
      <c r="H246" s="14">
        <f t="shared" si="10"/>
        <v>318647.43719066971</v>
      </c>
      <c r="I246" s="55">
        <f t="shared" si="11"/>
        <v>-35624.83523322898</v>
      </c>
    </row>
    <row r="247" spans="1:9" x14ac:dyDescent="0.25">
      <c r="A247" s="49">
        <f>'A) Base RI'!A238</f>
        <v>5792</v>
      </c>
      <c r="B247" s="32" t="str">
        <f>'A) Base RI'!B238</f>
        <v>Montpreveyres</v>
      </c>
      <c r="C247" s="31">
        <f>'D) Ecrêtage'!C237</f>
        <v>20145.836291390729</v>
      </c>
      <c r="D247" s="14">
        <f>'A) Base RI'!V238</f>
        <v>662</v>
      </c>
      <c r="E247" s="10">
        <f t="shared" si="9"/>
        <v>375804.63937318628</v>
      </c>
      <c r="F247" s="14">
        <f>'F) Population'!K240</f>
        <v>82583.501006036211</v>
      </c>
      <c r="G247" s="10">
        <f>'G) Solidarité'!I237</f>
        <v>270628.82907893066</v>
      </c>
      <c r="H247" s="14">
        <f t="shared" si="10"/>
        <v>353212.33008496684</v>
      </c>
      <c r="I247" s="55">
        <f t="shared" si="11"/>
        <v>22592.309288219432</v>
      </c>
    </row>
    <row r="248" spans="1:9" x14ac:dyDescent="0.25">
      <c r="A248" s="49">
        <f>'A) Base RI'!A239</f>
        <v>5798</v>
      </c>
      <c r="B248" s="32" t="str">
        <f>'A) Base RI'!B239</f>
        <v>Ropraz</v>
      </c>
      <c r="C248" s="31">
        <f>'D) Ecrêtage'!C238</f>
        <v>17444.805161290325</v>
      </c>
      <c r="D248" s="14">
        <f>'A) Base RI'!V239</f>
        <v>534</v>
      </c>
      <c r="E248" s="10">
        <f t="shared" si="9"/>
        <v>325419.04032923316</v>
      </c>
      <c r="F248" s="14">
        <f>'F) Population'!K241</f>
        <v>66615.694164989938</v>
      </c>
      <c r="G248" s="10">
        <f>'G) Solidarité'!I238</f>
        <v>201372.1380998446</v>
      </c>
      <c r="H248" s="14">
        <f t="shared" si="10"/>
        <v>267987.83226483455</v>
      </c>
      <c r="I248" s="55">
        <f t="shared" si="11"/>
        <v>57431.208064398612</v>
      </c>
    </row>
    <row r="249" spans="1:9" x14ac:dyDescent="0.25">
      <c r="A249" s="49">
        <f>'A) Base RI'!A240</f>
        <v>5799</v>
      </c>
      <c r="B249" s="32" t="str">
        <f>'A) Base RI'!B240</f>
        <v>Servion</v>
      </c>
      <c r="C249" s="31">
        <f>'D) Ecrêtage'!C239</f>
        <v>71744.263478260895</v>
      </c>
      <c r="D249" s="14">
        <f>'A) Base RI'!V240</f>
        <v>2107</v>
      </c>
      <c r="E249" s="10">
        <f t="shared" si="9"/>
        <v>1338332.4808940673</v>
      </c>
      <c r="F249" s="14">
        <f>'F) Population'!K242</f>
        <v>511418.91348088533</v>
      </c>
      <c r="G249" s="10">
        <f>'G) Solidarité'!I239</f>
        <v>574440.46188912017</v>
      </c>
      <c r="H249" s="14">
        <f t="shared" si="10"/>
        <v>1085859.3753700056</v>
      </c>
      <c r="I249" s="55">
        <f t="shared" si="11"/>
        <v>252473.10552406171</v>
      </c>
    </row>
    <row r="250" spans="1:9" x14ac:dyDescent="0.25">
      <c r="A250" s="49">
        <f>'A) Base RI'!A241</f>
        <v>5803</v>
      </c>
      <c r="B250" s="32" t="str">
        <f>'A) Base RI'!B241</f>
        <v>Vulliens</v>
      </c>
      <c r="C250" s="31">
        <f>'D) Ecrêtage'!C240</f>
        <v>17996.188026315795</v>
      </c>
      <c r="D250" s="14">
        <f>'A) Base RI'!V241</f>
        <v>631</v>
      </c>
      <c r="E250" s="10">
        <f t="shared" si="9"/>
        <v>335704.6514972343</v>
      </c>
      <c r="F250" s="14">
        <f>'F) Population'!K243</f>
        <v>78716.297786720315</v>
      </c>
      <c r="G250" s="10">
        <f>'G) Solidarité'!I240</f>
        <v>289211.54764993611</v>
      </c>
      <c r="H250" s="14">
        <f t="shared" si="10"/>
        <v>367927.84543665644</v>
      </c>
      <c r="I250" s="55">
        <f t="shared" si="11"/>
        <v>-32223.193939422141</v>
      </c>
    </row>
    <row r="251" spans="1:9" x14ac:dyDescent="0.25">
      <c r="A251" s="49">
        <f>'A) Base RI'!A242</f>
        <v>5804</v>
      </c>
      <c r="B251" s="32" t="str">
        <f>'A) Base RI'!B242</f>
        <v>Jorat-Menthue</v>
      </c>
      <c r="C251" s="31">
        <f>'D) Ecrêtage'!C241</f>
        <v>46854.424539007086</v>
      </c>
      <c r="D251" s="14">
        <f>'A) Base RI'!V242</f>
        <v>1603</v>
      </c>
      <c r="E251" s="10">
        <f t="shared" si="9"/>
        <v>874032.22493396851</v>
      </c>
      <c r="F251" s="14">
        <f>'F) Population'!K244</f>
        <v>335373.84305835009</v>
      </c>
      <c r="G251" s="10">
        <f>'G) Solidarité'!I241</f>
        <v>609659.11367271841</v>
      </c>
      <c r="H251" s="14">
        <f t="shared" si="10"/>
        <v>945032.95673106844</v>
      </c>
      <c r="I251" s="55">
        <f t="shared" si="11"/>
        <v>-71000.731797099928</v>
      </c>
    </row>
    <row r="252" spans="1:9" x14ac:dyDescent="0.25">
      <c r="A252" s="49">
        <f>'A) Base RI'!A243</f>
        <v>5805</v>
      </c>
      <c r="B252" s="32" t="str">
        <f>'A) Base RI'!B243</f>
        <v>Oron</v>
      </c>
      <c r="C252" s="31">
        <f>'D) Ecrêtage'!C242</f>
        <v>162115.58504611329</v>
      </c>
      <c r="D252" s="14">
        <f>'A) Base RI'!V243</f>
        <v>5703</v>
      </c>
      <c r="E252" s="10">
        <f t="shared" si="9"/>
        <v>3024137.9952572798</v>
      </c>
      <c r="F252" s="14">
        <f>'F) Population'!K245</f>
        <v>2242279.2756539234</v>
      </c>
      <c r="G252" s="10">
        <f>'G) Solidarité'!I242</f>
        <v>2164735.6148302755</v>
      </c>
      <c r="H252" s="14">
        <f t="shared" si="10"/>
        <v>4407014.8904841989</v>
      </c>
      <c r="I252" s="55">
        <f t="shared" si="11"/>
        <v>-1382876.8952269191</v>
      </c>
    </row>
    <row r="253" spans="1:9" x14ac:dyDescent="0.25">
      <c r="A253" s="49">
        <f>'A) Base RI'!A244</f>
        <v>5806</v>
      </c>
      <c r="B253" s="32" t="str">
        <f>'A) Base RI'!B244</f>
        <v>Jorat-Mézières</v>
      </c>
      <c r="C253" s="31">
        <f>'D) Ecrêtage'!C243</f>
        <v>102077.74465753423</v>
      </c>
      <c r="D253" s="14">
        <f>'A) Base RI'!V244</f>
        <v>3095</v>
      </c>
      <c r="E253" s="10">
        <f t="shared" si="9"/>
        <v>1904179.5765731721</v>
      </c>
      <c r="F253" s="14">
        <f>'F) Population'!K246</f>
        <v>870744.46680080472</v>
      </c>
      <c r="G253" s="10">
        <f>'G) Solidarité'!I243</f>
        <v>1014886.115307579</v>
      </c>
      <c r="H253" s="14">
        <f t="shared" si="10"/>
        <v>1885630.5821083838</v>
      </c>
      <c r="I253" s="55">
        <f t="shared" si="11"/>
        <v>18548.994464788353</v>
      </c>
    </row>
    <row r="254" spans="1:9" x14ac:dyDescent="0.25">
      <c r="A254" s="49">
        <f>'A) Base RI'!A245</f>
        <v>5812</v>
      </c>
      <c r="B254" s="32" t="str">
        <f>'A) Base RI'!B245</f>
        <v>Champtauroz</v>
      </c>
      <c r="C254" s="31">
        <f>'D) Ecrêtage'!C244</f>
        <v>3349.1505194805191</v>
      </c>
      <c r="D254" s="14">
        <f>'A) Base RI'!V245</f>
        <v>169</v>
      </c>
      <c r="E254" s="10">
        <f t="shared" si="9"/>
        <v>62475.753549023255</v>
      </c>
      <c r="F254" s="14">
        <f>'F) Population'!K247</f>
        <v>21082.494969818912</v>
      </c>
      <c r="G254" s="10">
        <f>'G) Solidarité'!I244</f>
        <v>114338.96417631263</v>
      </c>
      <c r="H254" s="14">
        <f t="shared" si="10"/>
        <v>135421.45914613153</v>
      </c>
      <c r="I254" s="55">
        <f t="shared" si="11"/>
        <v>-72945.705597108274</v>
      </c>
    </row>
    <row r="255" spans="1:9" x14ac:dyDescent="0.25">
      <c r="A255" s="49">
        <f>'A) Base RI'!A246</f>
        <v>5813</v>
      </c>
      <c r="B255" s="32" t="str">
        <f>'A) Base RI'!B246</f>
        <v>Chevroux</v>
      </c>
      <c r="C255" s="31">
        <f>'D) Ecrêtage'!C245</f>
        <v>15276.905328467155</v>
      </c>
      <c r="D255" s="14">
        <f>'A) Base RI'!V246</f>
        <v>506</v>
      </c>
      <c r="E255" s="10">
        <f t="shared" si="9"/>
        <v>284978.58389509324</v>
      </c>
      <c r="F255" s="14">
        <f>'F) Population'!K248</f>
        <v>63122.736418511064</v>
      </c>
      <c r="G255" s="10">
        <f>'G) Solidarité'!I245</f>
        <v>172554.54856010724</v>
      </c>
      <c r="H255" s="14">
        <f t="shared" si="10"/>
        <v>235677.28497861832</v>
      </c>
      <c r="I255" s="55">
        <f t="shared" si="11"/>
        <v>49301.298916474916</v>
      </c>
    </row>
    <row r="256" spans="1:9" x14ac:dyDescent="0.25">
      <c r="A256" s="49">
        <f>'A) Base RI'!A247</f>
        <v>5816</v>
      </c>
      <c r="B256" s="32" t="str">
        <f>'A) Base RI'!B247</f>
        <v>Corcelles-près-Payerne</v>
      </c>
      <c r="C256" s="31">
        <f>'D) Ecrêtage'!C246</f>
        <v>65651.255161626686</v>
      </c>
      <c r="D256" s="14">
        <f>'A) Base RI'!V247</f>
        <v>2722</v>
      </c>
      <c r="E256" s="10">
        <f t="shared" si="9"/>
        <v>1224672.23070584</v>
      </c>
      <c r="F256" s="14">
        <f>'F) Population'!K249</f>
        <v>726235.81488933589</v>
      </c>
      <c r="G256" s="10">
        <f>'G) Solidarité'!I246</f>
        <v>1238035.2087701694</v>
      </c>
      <c r="H256" s="14">
        <f t="shared" si="10"/>
        <v>1964271.0236595054</v>
      </c>
      <c r="I256" s="55">
        <f t="shared" si="11"/>
        <v>-739598.79295366537</v>
      </c>
    </row>
    <row r="257" spans="1:9" x14ac:dyDescent="0.25">
      <c r="A257" s="49">
        <f>'A) Base RI'!A248</f>
        <v>5817</v>
      </c>
      <c r="B257" s="32" t="str">
        <f>'A) Base RI'!B248</f>
        <v>Grandcour</v>
      </c>
      <c r="C257" s="31">
        <f>'D) Ecrêtage'!C247</f>
        <v>24623.103809523807</v>
      </c>
      <c r="D257" s="14">
        <f>'A) Base RI'!V248</f>
        <v>987</v>
      </c>
      <c r="E257" s="10">
        <f t="shared" si="9"/>
        <v>459324.52311950299</v>
      </c>
      <c r="F257" s="14">
        <f>'F) Population'!K250</f>
        <v>123126.76056338027</v>
      </c>
      <c r="G257" s="10">
        <f>'G) Solidarité'!I247</f>
        <v>499192.02635489794</v>
      </c>
      <c r="H257" s="14">
        <f t="shared" si="10"/>
        <v>622318.7869182782</v>
      </c>
      <c r="I257" s="55">
        <f t="shared" si="11"/>
        <v>-162994.26379877521</v>
      </c>
    </row>
    <row r="258" spans="1:9" x14ac:dyDescent="0.25">
      <c r="A258" s="49">
        <f>'A) Base RI'!A249</f>
        <v>5819</v>
      </c>
      <c r="B258" s="32" t="str">
        <f>'A) Base RI'!B249</f>
        <v>Henniez</v>
      </c>
      <c r="C258" s="31">
        <f>'D) Ecrêtage'!C248</f>
        <v>10062.980434782607</v>
      </c>
      <c r="D258" s="14">
        <f>'A) Base RI'!V249</f>
        <v>407</v>
      </c>
      <c r="E258" s="10">
        <f t="shared" si="9"/>
        <v>187716.93955087944</v>
      </c>
      <c r="F258" s="14">
        <f>'F) Population'!K251</f>
        <v>50772.635814889334</v>
      </c>
      <c r="G258" s="10">
        <f>'G) Solidarité'!I248</f>
        <v>183136.17031940873</v>
      </c>
      <c r="H258" s="14">
        <f t="shared" si="10"/>
        <v>233908.80613429807</v>
      </c>
      <c r="I258" s="55">
        <f t="shared" si="11"/>
        <v>-46191.866583418625</v>
      </c>
    </row>
    <row r="259" spans="1:9" x14ac:dyDescent="0.25">
      <c r="A259" s="49">
        <f>'A) Base RI'!A250</f>
        <v>5821</v>
      </c>
      <c r="B259" s="32" t="str">
        <f>'A) Base RI'!B250</f>
        <v>Missy</v>
      </c>
      <c r="C259" s="31">
        <f>'D) Ecrêtage'!C249</f>
        <v>8044.6855555555558</v>
      </c>
      <c r="D259" s="14">
        <f>'A) Base RI'!V250</f>
        <v>366</v>
      </c>
      <c r="E259" s="10">
        <f t="shared" si="9"/>
        <v>150067.24517900535</v>
      </c>
      <c r="F259" s="14">
        <f>'F) Population'!K252</f>
        <v>45657.947686116699</v>
      </c>
      <c r="G259" s="10">
        <f>'G) Solidarité'!I249</f>
        <v>200119.26836401483</v>
      </c>
      <c r="H259" s="14">
        <f t="shared" si="10"/>
        <v>245777.21605013154</v>
      </c>
      <c r="I259" s="55">
        <f t="shared" si="11"/>
        <v>-95709.970871126192</v>
      </c>
    </row>
    <row r="260" spans="1:9" x14ac:dyDescent="0.25">
      <c r="A260" s="49">
        <f>'A) Base RI'!A251</f>
        <v>5822</v>
      </c>
      <c r="B260" s="32" t="str">
        <f>'A) Base RI'!B251</f>
        <v>Payerne</v>
      </c>
      <c r="C260" s="31">
        <f>'D) Ecrêtage'!C250</f>
        <v>239984.44424657538</v>
      </c>
      <c r="D260" s="14">
        <f>'A) Base RI'!V251</f>
        <v>10258</v>
      </c>
      <c r="E260" s="10">
        <f t="shared" si="9"/>
        <v>4476719.9644027725</v>
      </c>
      <c r="F260" s="14">
        <f>'F) Population'!K253</f>
        <v>5283647.4849094562</v>
      </c>
      <c r="G260" s="10">
        <f>'G) Solidarité'!I250</f>
        <v>5456784.5410431232</v>
      </c>
      <c r="H260" s="14">
        <f t="shared" si="10"/>
        <v>10740432.025952579</v>
      </c>
      <c r="I260" s="55">
        <f t="shared" si="11"/>
        <v>-6263712.061549807</v>
      </c>
    </row>
    <row r="261" spans="1:9" x14ac:dyDescent="0.25">
      <c r="A261" s="49">
        <f>'A) Base RI'!A252</f>
        <v>5827</v>
      </c>
      <c r="B261" s="32" t="str">
        <f>'A) Base RI'!B252</f>
        <v>Trey</v>
      </c>
      <c r="C261" s="31">
        <f>'D) Ecrêtage'!C251</f>
        <v>7747.4438461538457</v>
      </c>
      <c r="D261" s="14">
        <f>'A) Base RI'!V252</f>
        <v>321</v>
      </c>
      <c r="E261" s="10">
        <f t="shared" si="9"/>
        <v>144522.43622728583</v>
      </c>
      <c r="F261" s="14">
        <f>'F) Population'!K254</f>
        <v>40044.265593561366</v>
      </c>
      <c r="G261" s="10">
        <f>'G) Solidarité'!I251</f>
        <v>189173.85963818344</v>
      </c>
      <c r="H261" s="14">
        <f t="shared" si="10"/>
        <v>229218.12523174481</v>
      </c>
      <c r="I261" s="55">
        <f t="shared" si="11"/>
        <v>-84695.689004458982</v>
      </c>
    </row>
    <row r="262" spans="1:9" x14ac:dyDescent="0.25">
      <c r="A262" s="49">
        <f>'A) Base RI'!A253</f>
        <v>5828</v>
      </c>
      <c r="B262" s="32" t="str">
        <f>'A) Base RI'!B253</f>
        <v>Treytorrens (Payerne)</v>
      </c>
      <c r="C262" s="31">
        <f>'D) Ecrêtage'!C252</f>
        <v>2899.2203232323236</v>
      </c>
      <c r="D262" s="14">
        <f>'A) Base RI'!V253</f>
        <v>110</v>
      </c>
      <c r="E262" s="10">
        <f t="shared" si="9"/>
        <v>54082.661661523984</v>
      </c>
      <c r="F262" s="14">
        <f>'F) Population'!K255</f>
        <v>13722.334004024144</v>
      </c>
      <c r="G262" s="10">
        <f>'G) Solidarité'!I252</f>
        <v>65879.621496188294</v>
      </c>
      <c r="H262" s="14">
        <f t="shared" si="10"/>
        <v>79601.95550021244</v>
      </c>
      <c r="I262" s="55">
        <f t="shared" si="11"/>
        <v>-25519.293838688456</v>
      </c>
    </row>
    <row r="263" spans="1:9" x14ac:dyDescent="0.25">
      <c r="A263" s="49">
        <f>'A) Base RI'!A254</f>
        <v>5830</v>
      </c>
      <c r="B263" s="32" t="str">
        <f>'A) Base RI'!B254</f>
        <v>Villarzel</v>
      </c>
      <c r="C263" s="31">
        <f>'D) Ecrêtage'!C253</f>
        <v>12409.986933333334</v>
      </c>
      <c r="D263" s="14">
        <f>'A) Base RI'!V254</f>
        <v>500</v>
      </c>
      <c r="E263" s="10">
        <f t="shared" si="9"/>
        <v>231498.48914935938</v>
      </c>
      <c r="F263" s="14">
        <f>'F) Population'!K256</f>
        <v>62374.245472837021</v>
      </c>
      <c r="G263" s="10">
        <f>'G) Solidarité'!I253</f>
        <v>264742.22089967784</v>
      </c>
      <c r="H263" s="14">
        <f t="shared" si="10"/>
        <v>327116.46637251484</v>
      </c>
      <c r="I263" s="55">
        <f t="shared" si="11"/>
        <v>-95617.977223155467</v>
      </c>
    </row>
    <row r="264" spans="1:9" x14ac:dyDescent="0.25">
      <c r="A264" s="49">
        <f>'A) Base RI'!A255</f>
        <v>5831</v>
      </c>
      <c r="B264" s="32" t="str">
        <f>'A) Base RI'!B255</f>
        <v>Valbroye</v>
      </c>
      <c r="C264" s="31">
        <f>'D) Ecrêtage'!C254</f>
        <v>81068.822458628842</v>
      </c>
      <c r="D264" s="14">
        <f>'A) Base RI'!V255</f>
        <v>3349</v>
      </c>
      <c r="E264" s="10">
        <f t="shared" si="9"/>
        <v>1512274.752351356</v>
      </c>
      <c r="F264" s="14">
        <f>'F) Population'!K257</f>
        <v>997488.93360160955</v>
      </c>
      <c r="G264" s="10">
        <f>'G) Solidarité'!I254</f>
        <v>1607597.7262279578</v>
      </c>
      <c r="H264" s="14">
        <f t="shared" si="10"/>
        <v>2605086.6598295672</v>
      </c>
      <c r="I264" s="55">
        <f t="shared" si="11"/>
        <v>-1092811.9074782112</v>
      </c>
    </row>
    <row r="265" spans="1:9" x14ac:dyDescent="0.25">
      <c r="A265" s="49">
        <f>'A) Base RI'!A256</f>
        <v>5841</v>
      </c>
      <c r="B265" s="32" t="str">
        <f>'A) Base RI'!B256</f>
        <v>Château-d'Oex</v>
      </c>
      <c r="C265" s="31">
        <f>'D) Ecrêtage'!C255</f>
        <v>110857.63779141105</v>
      </c>
      <c r="D265" s="14">
        <f>'A) Base RI'!V256</f>
        <v>3549</v>
      </c>
      <c r="E265" s="10">
        <f t="shared" si="9"/>
        <v>2067961.5375296271</v>
      </c>
      <c r="F265" s="14">
        <f>'F) Population'!K258</f>
        <v>1097287.7263581487</v>
      </c>
      <c r="G265" s="10">
        <f>'G) Solidarité'!I255</f>
        <v>1614862.0871780517</v>
      </c>
      <c r="H265" s="14">
        <f t="shared" si="10"/>
        <v>2712149.8135362007</v>
      </c>
      <c r="I265" s="55">
        <f t="shared" si="11"/>
        <v>-644188.27600657358</v>
      </c>
    </row>
    <row r="266" spans="1:9" x14ac:dyDescent="0.25">
      <c r="A266" s="49">
        <f>'A) Base RI'!A257</f>
        <v>5842</v>
      </c>
      <c r="B266" s="32" t="str">
        <f>'A) Base RI'!B257</f>
        <v>Rossinière</v>
      </c>
      <c r="C266" s="31">
        <f>'D) Ecrêtage'!C256</f>
        <v>14944.680411522633</v>
      </c>
      <c r="D266" s="14">
        <f>'A) Base RI'!V257</f>
        <v>534</v>
      </c>
      <c r="E266" s="10">
        <f t="shared" si="9"/>
        <v>278781.19088061323</v>
      </c>
      <c r="F266" s="14">
        <f>'F) Population'!K259</f>
        <v>66615.694164989938</v>
      </c>
      <c r="G266" s="10">
        <f>'G) Solidarité'!I256</f>
        <v>285486.20201678772</v>
      </c>
      <c r="H266" s="14">
        <f t="shared" si="10"/>
        <v>352101.89618177764</v>
      </c>
      <c r="I266" s="55">
        <f t="shared" si="11"/>
        <v>-73320.705301164417</v>
      </c>
    </row>
    <row r="267" spans="1:9" x14ac:dyDescent="0.25">
      <c r="A267" s="49">
        <f>'A) Base RI'!A258</f>
        <v>5843</v>
      </c>
      <c r="B267" s="32" t="str">
        <f>'A) Base RI'!B258</f>
        <v>Rougemont</v>
      </c>
      <c r="C267" s="31">
        <f>'D) Ecrêtage'!C257</f>
        <v>97088.109459459462</v>
      </c>
      <c r="D267" s="14">
        <f>'A) Base RI'!V258</f>
        <v>862</v>
      </c>
      <c r="E267" s="10">
        <f t="shared" si="9"/>
        <v>1811101.8790730899</v>
      </c>
      <c r="F267" s="14">
        <f>'F) Population'!K260</f>
        <v>107533.19919517102</v>
      </c>
      <c r="G267" s="10">
        <f>'G) Solidarité'!I257</f>
        <v>0</v>
      </c>
      <c r="H267" s="14">
        <f t="shared" si="10"/>
        <v>107533.19919517102</v>
      </c>
      <c r="I267" s="55">
        <f t="shared" si="11"/>
        <v>1703568.6798779189</v>
      </c>
    </row>
    <row r="268" spans="1:9" x14ac:dyDescent="0.25">
      <c r="A268" s="49">
        <f>'A) Base RI'!A259</f>
        <v>5851</v>
      </c>
      <c r="B268" s="32" t="str">
        <f>'A) Base RI'!B259</f>
        <v>Allaman</v>
      </c>
      <c r="C268" s="31">
        <f>'D) Ecrêtage'!C258</f>
        <v>24875.935818181821</v>
      </c>
      <c r="D268" s="14">
        <f>'A) Base RI'!V259</f>
        <v>430</v>
      </c>
      <c r="E268" s="10">
        <f t="shared" si="9"/>
        <v>464040.90423475741</v>
      </c>
      <c r="F268" s="14">
        <f>'F) Population'!K261</f>
        <v>53641.851106639835</v>
      </c>
      <c r="G268" s="10">
        <f>'G) Solidarité'!I258</f>
        <v>0</v>
      </c>
      <c r="H268" s="14">
        <f t="shared" si="10"/>
        <v>53641.851106639835</v>
      </c>
      <c r="I268" s="55">
        <f t="shared" si="11"/>
        <v>410399.05312811758</v>
      </c>
    </row>
    <row r="269" spans="1:9" x14ac:dyDescent="0.25">
      <c r="A269" s="49">
        <f>'A) Base RI'!A260</f>
        <v>5852</v>
      </c>
      <c r="B269" s="32" t="str">
        <f>'A) Base RI'!B260</f>
        <v>Bursinel</v>
      </c>
      <c r="C269" s="31">
        <f>'D) Ecrêtage'!C259</f>
        <v>34636.657688172039</v>
      </c>
      <c r="D269" s="14">
        <f>'A) Base RI'!V260</f>
        <v>515</v>
      </c>
      <c r="E269" s="10">
        <f t="shared" si="9"/>
        <v>646119.44936525717</v>
      </c>
      <c r="F269" s="14">
        <f>'F) Population'!K262</f>
        <v>64245.472837022127</v>
      </c>
      <c r="G269" s="10">
        <f>'G) Solidarité'!I259</f>
        <v>0</v>
      </c>
      <c r="H269" s="14">
        <f t="shared" si="10"/>
        <v>64245.472837022127</v>
      </c>
      <c r="I269" s="55">
        <f t="shared" si="11"/>
        <v>581873.97652823501</v>
      </c>
    </row>
    <row r="270" spans="1:9" x14ac:dyDescent="0.25">
      <c r="A270" s="49">
        <f>'A) Base RI'!A261</f>
        <v>5853</v>
      </c>
      <c r="B270" s="32" t="str">
        <f>'A) Base RI'!B261</f>
        <v>Bursins</v>
      </c>
      <c r="C270" s="31">
        <f>'D) Ecrêtage'!C260</f>
        <v>44486.311690140843</v>
      </c>
      <c r="D270" s="14">
        <f>'A) Base RI'!V261</f>
        <v>773</v>
      </c>
      <c r="E270" s="10">
        <f t="shared" si="9"/>
        <v>829856.95306682319</v>
      </c>
      <c r="F270" s="14">
        <f>'F) Population'!K263</f>
        <v>96430.583501006025</v>
      </c>
      <c r="G270" s="10">
        <f>'G) Solidarité'!I260</f>
        <v>0</v>
      </c>
      <c r="H270" s="14">
        <f t="shared" si="10"/>
        <v>96430.583501006025</v>
      </c>
      <c r="I270" s="55">
        <f t="shared" si="11"/>
        <v>733426.36956581718</v>
      </c>
    </row>
    <row r="271" spans="1:9" x14ac:dyDescent="0.25">
      <c r="A271" s="49">
        <f>'A) Base RI'!A262</f>
        <v>5854</v>
      </c>
      <c r="B271" s="32" t="str">
        <f>'A) Base RI'!B262</f>
        <v>Burtigny</v>
      </c>
      <c r="C271" s="31">
        <f>'D) Ecrêtage'!C261</f>
        <v>15255.967208333332</v>
      </c>
      <c r="D271" s="14">
        <f>'A) Base RI'!V262</f>
        <v>416</v>
      </c>
      <c r="E271" s="10">
        <f t="shared" si="9"/>
        <v>284587.99982738658</v>
      </c>
      <c r="F271" s="14">
        <f>'F) Population'!K264</f>
        <v>51895.372233400398</v>
      </c>
      <c r="G271" s="10">
        <f>'G) Solidarité'!I261</f>
        <v>124572.50127744714</v>
      </c>
      <c r="H271" s="14">
        <f t="shared" si="10"/>
        <v>176467.87351084754</v>
      </c>
      <c r="I271" s="55">
        <f t="shared" si="11"/>
        <v>108120.12631653904</v>
      </c>
    </row>
    <row r="272" spans="1:9" x14ac:dyDescent="0.25">
      <c r="A272" s="49">
        <f>'A) Base RI'!A263</f>
        <v>5855</v>
      </c>
      <c r="B272" s="32" t="str">
        <f>'A) Base RI'!B263</f>
        <v>Dully</v>
      </c>
      <c r="C272" s="31">
        <f>'D) Ecrêtage'!C262</f>
        <v>93684.152857142864</v>
      </c>
      <c r="D272" s="14">
        <f>'A) Base RI'!V263</f>
        <v>634</v>
      </c>
      <c r="E272" s="10">
        <f t="shared" si="9"/>
        <v>1747603.7614038701</v>
      </c>
      <c r="F272" s="14">
        <f>'F) Population'!K265</f>
        <v>79090.543259557337</v>
      </c>
      <c r="G272" s="10">
        <f>'G) Solidarité'!I262</f>
        <v>0</v>
      </c>
      <c r="H272" s="14">
        <f t="shared" si="10"/>
        <v>79090.543259557337</v>
      </c>
      <c r="I272" s="55">
        <f t="shared" si="11"/>
        <v>1668513.2181443127</v>
      </c>
    </row>
    <row r="273" spans="1:9" x14ac:dyDescent="0.25">
      <c r="A273" s="49">
        <f>'A) Base RI'!A264</f>
        <v>5856</v>
      </c>
      <c r="B273" s="32" t="str">
        <f>'A) Base RI'!B264</f>
        <v>Essertines-sur-Rolle</v>
      </c>
      <c r="C273" s="31">
        <f>'D) Ecrêtage'!C263</f>
        <v>42060.670213996527</v>
      </c>
      <c r="D273" s="14">
        <f>'A) Base RI'!V264</f>
        <v>753</v>
      </c>
      <c r="E273" s="10">
        <f t="shared" ref="E273:E323" si="12">C273*E$15</f>
        <v>784608.53016662248</v>
      </c>
      <c r="F273" s="14">
        <f>'F) Population'!K266</f>
        <v>93935.613682092546</v>
      </c>
      <c r="G273" s="10">
        <f>'G) Solidarité'!I263</f>
        <v>0</v>
      </c>
      <c r="H273" s="14">
        <f t="shared" ref="H273:H323" si="13">F273+G273</f>
        <v>93935.613682092546</v>
      </c>
      <c r="I273" s="55">
        <f t="shared" ref="I273:I323" si="14">E273-H273</f>
        <v>690672.91648452997</v>
      </c>
    </row>
    <row r="274" spans="1:9" x14ac:dyDescent="0.25">
      <c r="A274" s="49">
        <f>'A) Base RI'!A265</f>
        <v>5857</v>
      </c>
      <c r="B274" s="32" t="str">
        <f>'A) Base RI'!B265</f>
        <v>Gilly</v>
      </c>
      <c r="C274" s="31">
        <f>'D) Ecrêtage'!C264</f>
        <v>88866.553953488372</v>
      </c>
      <c r="D274" s="14">
        <f>'A) Base RI'!V265</f>
        <v>1438</v>
      </c>
      <c r="E274" s="10">
        <f t="shared" si="12"/>
        <v>1657735.2648845057</v>
      </c>
      <c r="F274" s="14">
        <f>'F) Population'!K267</f>
        <v>277740.04024144867</v>
      </c>
      <c r="G274" s="10">
        <f>'G) Solidarité'!I264</f>
        <v>0</v>
      </c>
      <c r="H274" s="14">
        <f t="shared" si="13"/>
        <v>277740.04024144867</v>
      </c>
      <c r="I274" s="55">
        <f t="shared" si="14"/>
        <v>1379995.224643057</v>
      </c>
    </row>
    <row r="275" spans="1:9" x14ac:dyDescent="0.25">
      <c r="A275" s="49">
        <f>'A) Base RI'!A266</f>
        <v>5858</v>
      </c>
      <c r="B275" s="32" t="str">
        <f>'A) Base RI'!B266</f>
        <v>Luins</v>
      </c>
      <c r="C275" s="31">
        <f>'D) Ecrêtage'!C265</f>
        <v>38253.397207977199</v>
      </c>
      <c r="D275" s="14">
        <f>'A) Base RI'!V266</f>
        <v>630</v>
      </c>
      <c r="E275" s="10">
        <f t="shared" si="12"/>
        <v>713586.8640353533</v>
      </c>
      <c r="F275" s="14">
        <f>'F) Population'!K268</f>
        <v>78591.549295774646</v>
      </c>
      <c r="G275" s="10">
        <f>'G) Solidarité'!I265</f>
        <v>0</v>
      </c>
      <c r="H275" s="14">
        <f t="shared" si="13"/>
        <v>78591.549295774646</v>
      </c>
      <c r="I275" s="55">
        <f t="shared" si="14"/>
        <v>634995.31473957864</v>
      </c>
    </row>
    <row r="276" spans="1:9" x14ac:dyDescent="0.25">
      <c r="A276" s="49">
        <f>'A) Base RI'!A267</f>
        <v>5859</v>
      </c>
      <c r="B276" s="32" t="str">
        <f>'A) Base RI'!B267</f>
        <v>Mont-sur-Rolle</v>
      </c>
      <c r="C276" s="31">
        <f>'D) Ecrêtage'!C266</f>
        <v>160910.93779527559</v>
      </c>
      <c r="D276" s="14">
        <f>'A) Base RI'!V267</f>
        <v>2739</v>
      </c>
      <c r="E276" s="10">
        <f t="shared" si="12"/>
        <v>3001666.2537457882</v>
      </c>
      <c r="F276" s="14">
        <f>'F) Population'!K269</f>
        <v>732173.84305835003</v>
      </c>
      <c r="G276" s="10">
        <f>'G) Solidarité'!I266</f>
        <v>0</v>
      </c>
      <c r="H276" s="14">
        <f t="shared" si="13"/>
        <v>732173.84305835003</v>
      </c>
      <c r="I276" s="55">
        <f t="shared" si="14"/>
        <v>2269492.4106874382</v>
      </c>
    </row>
    <row r="277" spans="1:9" x14ac:dyDescent="0.25">
      <c r="A277" s="49">
        <f>'A) Base RI'!A268</f>
        <v>5860</v>
      </c>
      <c r="B277" s="32" t="str">
        <f>'A) Base RI'!B268</f>
        <v>Perroy</v>
      </c>
      <c r="C277" s="31">
        <f>'D) Ecrêtage'!C267</f>
        <v>124242.10120973046</v>
      </c>
      <c r="D277" s="14">
        <f>'A) Base RI'!V268</f>
        <v>1514</v>
      </c>
      <c r="E277" s="10">
        <f t="shared" si="12"/>
        <v>2317638.1146332873</v>
      </c>
      <c r="F277" s="14">
        <f>'F) Population'!K270</f>
        <v>304286.51911468816</v>
      </c>
      <c r="G277" s="10">
        <f>'G) Solidarité'!I267</f>
        <v>0</v>
      </c>
      <c r="H277" s="14">
        <f t="shared" si="13"/>
        <v>304286.51911468816</v>
      </c>
      <c r="I277" s="55">
        <f t="shared" si="14"/>
        <v>2013351.5955185993</v>
      </c>
    </row>
    <row r="278" spans="1:9" x14ac:dyDescent="0.25">
      <c r="A278" s="49">
        <f>'A) Base RI'!A269</f>
        <v>5861</v>
      </c>
      <c r="B278" s="32" t="str">
        <f>'A) Base RI'!B269</f>
        <v>Rolle</v>
      </c>
      <c r="C278" s="31">
        <f>'D) Ecrêtage'!C268</f>
        <v>638128.58403361356</v>
      </c>
      <c r="D278" s="14">
        <f>'A) Base RI'!V269</f>
        <v>6291</v>
      </c>
      <c r="E278" s="10">
        <f t="shared" si="12"/>
        <v>11903783.934696075</v>
      </c>
      <c r="F278" s="14">
        <f>'F) Population'!K271</f>
        <v>2594369.4164989935</v>
      </c>
      <c r="G278" s="10">
        <f>'G) Solidarité'!I268</f>
        <v>0</v>
      </c>
      <c r="H278" s="14">
        <f t="shared" si="13"/>
        <v>2594369.4164989935</v>
      </c>
      <c r="I278" s="55">
        <f t="shared" si="14"/>
        <v>9309414.518197082</v>
      </c>
    </row>
    <row r="279" spans="1:9" x14ac:dyDescent="0.25">
      <c r="A279" s="49">
        <f>'A) Base RI'!A270</f>
        <v>5862</v>
      </c>
      <c r="B279" s="32" t="str">
        <f>'A) Base RI'!B270</f>
        <v>Tartegnin</v>
      </c>
      <c r="C279" s="31">
        <f>'D) Ecrêtage'!C269</f>
        <v>7891.022278481013</v>
      </c>
      <c r="D279" s="14">
        <f>'A) Base RI'!V270</f>
        <v>241</v>
      </c>
      <c r="E279" s="10">
        <f t="shared" si="12"/>
        <v>147200.77830264246</v>
      </c>
      <c r="F279" s="14">
        <f>'F) Population'!K272</f>
        <v>30064.386317907443</v>
      </c>
      <c r="G279" s="10">
        <f>'G) Solidarité'!I269</f>
        <v>93984.984404346164</v>
      </c>
      <c r="H279" s="14">
        <f t="shared" si="13"/>
        <v>124049.3707222536</v>
      </c>
      <c r="I279" s="55">
        <f t="shared" si="14"/>
        <v>23151.407580388855</v>
      </c>
    </row>
    <row r="280" spans="1:9" x14ac:dyDescent="0.25">
      <c r="A280" s="49">
        <f>'A) Base RI'!A271</f>
        <v>5863</v>
      </c>
      <c r="B280" s="32" t="str">
        <f>'A) Base RI'!B271</f>
        <v>Vinzel</v>
      </c>
      <c r="C280" s="31">
        <f>'D) Ecrêtage'!C270</f>
        <v>21424.128507462683</v>
      </c>
      <c r="D280" s="14">
        <f>'A) Base RI'!V271</f>
        <v>369</v>
      </c>
      <c r="E280" s="10">
        <f t="shared" si="12"/>
        <v>399650.16945325368</v>
      </c>
      <c r="F280" s="14">
        <f>'F) Population'!K273</f>
        <v>46032.19315895372</v>
      </c>
      <c r="G280" s="10">
        <f>'G) Solidarité'!I270</f>
        <v>0</v>
      </c>
      <c r="H280" s="14">
        <f t="shared" si="13"/>
        <v>46032.19315895372</v>
      </c>
      <c r="I280" s="55">
        <f t="shared" si="14"/>
        <v>353617.97629429994</v>
      </c>
    </row>
    <row r="281" spans="1:9" x14ac:dyDescent="0.25">
      <c r="A281" s="49">
        <f>'A) Base RI'!A272</f>
        <v>5871</v>
      </c>
      <c r="B281" s="32" t="str">
        <f>'A) Base RI'!B272</f>
        <v>L'Abbaye</v>
      </c>
      <c r="C281" s="31">
        <f>'D) Ecrêtage'!C271</f>
        <v>52137.53921442369</v>
      </c>
      <c r="D281" s="14">
        <f>'A) Base RI'!V272</f>
        <v>1521</v>
      </c>
      <c r="E281" s="10">
        <f t="shared" si="12"/>
        <v>972584.54992285906</v>
      </c>
      <c r="F281" s="14">
        <f>'F) Population'!K274</f>
        <v>306731.58953722334</v>
      </c>
      <c r="G281" s="10">
        <f>'G) Solidarité'!I271</f>
        <v>516811.05459879671</v>
      </c>
      <c r="H281" s="14">
        <f t="shared" si="13"/>
        <v>823542.64413601998</v>
      </c>
      <c r="I281" s="55">
        <f t="shared" si="14"/>
        <v>149041.90578683908</v>
      </c>
    </row>
    <row r="282" spans="1:9" x14ac:dyDescent="0.25">
      <c r="A282" s="49">
        <f>'A) Base RI'!A273</f>
        <v>5872</v>
      </c>
      <c r="B282" s="32" t="str">
        <f>'A) Base RI'!B273</f>
        <v>Le Chenit</v>
      </c>
      <c r="C282" s="31">
        <f>'D) Ecrêtage'!C272</f>
        <v>199146.55575459031</v>
      </c>
      <c r="D282" s="14">
        <f>'A) Base RI'!V273</f>
        <v>4569</v>
      </c>
      <c r="E282" s="10">
        <f t="shared" si="12"/>
        <v>3714921.4599618637</v>
      </c>
      <c r="F282" s="14">
        <f>'F) Population'!K275</f>
        <v>1606261.5694164988</v>
      </c>
      <c r="G282" s="10">
        <f>'G) Solidarité'!I272</f>
        <v>393210.46543339139</v>
      </c>
      <c r="H282" s="14">
        <f t="shared" si="13"/>
        <v>1999472.03484989</v>
      </c>
      <c r="I282" s="55">
        <f t="shared" si="14"/>
        <v>1715449.4251119737</v>
      </c>
    </row>
    <row r="283" spans="1:9" x14ac:dyDescent="0.25">
      <c r="A283" s="49">
        <f>'A) Base RI'!A274</f>
        <v>5873</v>
      </c>
      <c r="B283" s="32" t="str">
        <f>'A) Base RI'!B274</f>
        <v>Le Lieu</v>
      </c>
      <c r="C283" s="31">
        <f>'D) Ecrêtage'!C273</f>
        <v>31475.129392857143</v>
      </c>
      <c r="D283" s="14">
        <f>'A) Base RI'!V274</f>
        <v>881</v>
      </c>
      <c r="E283" s="10">
        <f t="shared" si="12"/>
        <v>587143.6399868856</v>
      </c>
      <c r="F283" s="14">
        <f>'F) Population'!K276</f>
        <v>109903.42052313882</v>
      </c>
      <c r="G283" s="10">
        <f>'G) Solidarité'!I273</f>
        <v>218303.43937821389</v>
      </c>
      <c r="H283" s="14">
        <f t="shared" si="13"/>
        <v>328206.85990135273</v>
      </c>
      <c r="I283" s="55">
        <f t="shared" si="14"/>
        <v>258936.78008553287</v>
      </c>
    </row>
    <row r="284" spans="1:9" x14ac:dyDescent="0.25">
      <c r="A284" s="49">
        <f>'A) Base RI'!A275</f>
        <v>5881</v>
      </c>
      <c r="B284" s="32" t="str">
        <f>'A) Base RI'!B275</f>
        <v>Blonay</v>
      </c>
      <c r="C284" s="31">
        <f>'D) Ecrêtage'!C274</f>
        <v>371401.9382481752</v>
      </c>
      <c r="D284" s="14">
        <f>'A) Base RI'!V275</f>
        <v>6291</v>
      </c>
      <c r="E284" s="10">
        <f t="shared" si="12"/>
        <v>6928209.3553745747</v>
      </c>
      <c r="F284" s="14">
        <f>'F) Population'!K277</f>
        <v>2594369.4164989935</v>
      </c>
      <c r="G284" s="10">
        <f>'G) Solidarité'!I274</f>
        <v>0</v>
      </c>
      <c r="H284" s="14">
        <f t="shared" si="13"/>
        <v>2594369.4164989935</v>
      </c>
      <c r="I284" s="55">
        <f t="shared" si="14"/>
        <v>4333839.9388755811</v>
      </c>
    </row>
    <row r="285" spans="1:9" x14ac:dyDescent="0.25">
      <c r="A285" s="49">
        <f>'A) Base RI'!A276</f>
        <v>5882</v>
      </c>
      <c r="B285" s="32" t="str">
        <f>'A) Base RI'!B276</f>
        <v>Chardonne</v>
      </c>
      <c r="C285" s="31">
        <f>'D) Ecrêtage'!C275</f>
        <v>186949.52411764706</v>
      </c>
      <c r="D285" s="14">
        <f>'A) Base RI'!V276</f>
        <v>3078</v>
      </c>
      <c r="E285" s="10">
        <f t="shared" si="12"/>
        <v>3487395.4834054257</v>
      </c>
      <c r="F285" s="14">
        <f>'F) Population'!K278</f>
        <v>862261.56941649888</v>
      </c>
      <c r="G285" s="10">
        <f>'G) Solidarité'!I275</f>
        <v>0</v>
      </c>
      <c r="H285" s="14">
        <f t="shared" si="13"/>
        <v>862261.56941649888</v>
      </c>
      <c r="I285" s="55">
        <f t="shared" si="14"/>
        <v>2625133.9139889269</v>
      </c>
    </row>
    <row r="286" spans="1:9" x14ac:dyDescent="0.25">
      <c r="A286" s="49">
        <f>'A) Base RI'!A277</f>
        <v>5883</v>
      </c>
      <c r="B286" s="32" t="str">
        <f>'A) Base RI'!B277</f>
        <v>Corseaux</v>
      </c>
      <c r="C286" s="31">
        <f>'D) Ecrêtage'!C276</f>
        <v>193095.30118518518</v>
      </c>
      <c r="D286" s="14">
        <f>'A) Base RI'!V277</f>
        <v>2330</v>
      </c>
      <c r="E286" s="10">
        <f t="shared" si="12"/>
        <v>3602040.0928983148</v>
      </c>
      <c r="F286" s="14">
        <f>'F) Population'!K279</f>
        <v>589311.87122736417</v>
      </c>
      <c r="G286" s="10">
        <f>'G) Solidarité'!I276</f>
        <v>0</v>
      </c>
      <c r="H286" s="14">
        <f t="shared" si="13"/>
        <v>589311.87122736417</v>
      </c>
      <c r="I286" s="55">
        <f t="shared" si="14"/>
        <v>3012728.2216709508</v>
      </c>
    </row>
    <row r="287" spans="1:9" x14ac:dyDescent="0.25">
      <c r="A287" s="49">
        <f>'A) Base RI'!A278</f>
        <v>5884</v>
      </c>
      <c r="B287" s="32" t="str">
        <f>'A) Base RI'!B278</f>
        <v>Corsier-sur-Vevey</v>
      </c>
      <c r="C287" s="31">
        <f>'D) Ecrêtage'!C277</f>
        <v>148896.79012919901</v>
      </c>
      <c r="D287" s="14">
        <f>'A) Base RI'!V278</f>
        <v>3390</v>
      </c>
      <c r="E287" s="10">
        <f t="shared" si="12"/>
        <v>2777551.8329929709</v>
      </c>
      <c r="F287" s="14">
        <f>'F) Population'!K280</f>
        <v>1017947.6861167001</v>
      </c>
      <c r="G287" s="10">
        <f>'G) Solidarité'!I277</f>
        <v>251539.72668937832</v>
      </c>
      <c r="H287" s="14">
        <f t="shared" si="13"/>
        <v>1269487.4128060783</v>
      </c>
      <c r="I287" s="55">
        <f t="shared" si="14"/>
        <v>1508064.4201868926</v>
      </c>
    </row>
    <row r="288" spans="1:9" x14ac:dyDescent="0.25">
      <c r="A288" s="49">
        <f>'A) Base RI'!A279</f>
        <v>5885</v>
      </c>
      <c r="B288" s="32" t="str">
        <f>'A) Base RI'!B279</f>
        <v>Jongny</v>
      </c>
      <c r="C288" s="31">
        <f>'D) Ecrêtage'!C278</f>
        <v>97076.940527577928</v>
      </c>
      <c r="D288" s="14">
        <f>'A) Base RI'!V279</f>
        <v>1805</v>
      </c>
      <c r="E288" s="10">
        <f t="shared" si="12"/>
        <v>1810893.531484178</v>
      </c>
      <c r="F288" s="14">
        <f>'F) Population'!K281</f>
        <v>405931.58953722334</v>
      </c>
      <c r="G288" s="10">
        <f>'G) Solidarité'!I278</f>
        <v>0</v>
      </c>
      <c r="H288" s="14">
        <f t="shared" si="13"/>
        <v>405931.58953722334</v>
      </c>
      <c r="I288" s="55">
        <f t="shared" si="14"/>
        <v>1404961.9419469547</v>
      </c>
    </row>
    <row r="289" spans="1:9" x14ac:dyDescent="0.25">
      <c r="A289" s="49">
        <f>'A) Base RI'!A280</f>
        <v>5886</v>
      </c>
      <c r="B289" s="32" t="str">
        <f>'A) Base RI'!B280</f>
        <v>Montreux</v>
      </c>
      <c r="C289" s="31">
        <f>'D) Ecrêtage'!C279</f>
        <v>1223405.0430769229</v>
      </c>
      <c r="D289" s="14">
        <f>'A) Base RI'!V280</f>
        <v>26012</v>
      </c>
      <c r="E289" s="10">
        <f t="shared" si="12"/>
        <v>22821653.28710321</v>
      </c>
      <c r="F289" s="14">
        <f>'F) Population'!K282</f>
        <v>21294667.203219313</v>
      </c>
      <c r="G289" s="10">
        <f>'G) Solidarité'!I279</f>
        <v>595039.25320552848</v>
      </c>
      <c r="H289" s="14">
        <f t="shared" si="13"/>
        <v>21889706.45642484</v>
      </c>
      <c r="I289" s="55">
        <f t="shared" si="14"/>
        <v>931946.83067836985</v>
      </c>
    </row>
    <row r="290" spans="1:9" x14ac:dyDescent="0.25">
      <c r="A290" s="49">
        <f>'A) Base RI'!A281</f>
        <v>5888</v>
      </c>
      <c r="B290" s="32" t="str">
        <f>'A) Base RI'!B281</f>
        <v>Saint-Légier-La Chiésaz</v>
      </c>
      <c r="C290" s="31">
        <f>'D) Ecrêtage'!C280</f>
        <v>334017.18953771284</v>
      </c>
      <c r="D290" s="14">
        <f>'A) Base RI'!V281</f>
        <v>5634</v>
      </c>
      <c r="E290" s="10">
        <f t="shared" si="12"/>
        <v>6230826.4419039404</v>
      </c>
      <c r="F290" s="14">
        <f>'F) Population'!K283</f>
        <v>2200962.5754527161</v>
      </c>
      <c r="G290" s="10">
        <f>'G) Solidarité'!I280</f>
        <v>0</v>
      </c>
      <c r="H290" s="14">
        <f t="shared" si="13"/>
        <v>2200962.5754527161</v>
      </c>
      <c r="I290" s="55">
        <f t="shared" si="14"/>
        <v>4029863.8664512243</v>
      </c>
    </row>
    <row r="291" spans="1:9" x14ac:dyDescent="0.25">
      <c r="A291" s="49">
        <f>'A) Base RI'!A282</f>
        <v>5889</v>
      </c>
      <c r="B291" s="32" t="str">
        <f>'A) Base RI'!B282</f>
        <v>La Tour-de-Peilz</v>
      </c>
      <c r="C291" s="31">
        <f>'D) Ecrêtage'!C281</f>
        <v>740535.59942708339</v>
      </c>
      <c r="D291" s="14">
        <f>'A) Base RI'!V282</f>
        <v>12222</v>
      </c>
      <c r="E291" s="10">
        <f t="shared" si="12"/>
        <v>13814105.796373952</v>
      </c>
      <c r="F291" s="14">
        <f>'F) Population'!K284</f>
        <v>6982921.5291750496</v>
      </c>
      <c r="G291" s="10">
        <f>'G) Solidarité'!I281</f>
        <v>0</v>
      </c>
      <c r="H291" s="14">
        <f t="shared" si="13"/>
        <v>6982921.5291750496</v>
      </c>
      <c r="I291" s="55">
        <f t="shared" si="14"/>
        <v>6831184.2671989026</v>
      </c>
    </row>
    <row r="292" spans="1:9" x14ac:dyDescent="0.25">
      <c r="A292" s="49">
        <f>'A) Base RI'!A283</f>
        <v>5890</v>
      </c>
      <c r="B292" s="32" t="str">
        <f>'A) Base RI'!B283</f>
        <v>Vevey</v>
      </c>
      <c r="C292" s="31">
        <f>'D) Ecrêtage'!C282</f>
        <v>969776.79771812086</v>
      </c>
      <c r="D292" s="14">
        <f>'A) Base RI'!V283</f>
        <v>19721</v>
      </c>
      <c r="E292" s="10">
        <f t="shared" si="12"/>
        <v>18090419.006069612</v>
      </c>
      <c r="F292" s="14">
        <f>'F) Population'!K285</f>
        <v>14702408.048289737</v>
      </c>
      <c r="G292" s="10">
        <f>'G) Solidarité'!I282</f>
        <v>0</v>
      </c>
      <c r="H292" s="14">
        <f t="shared" si="13"/>
        <v>14702408.048289737</v>
      </c>
      <c r="I292" s="55">
        <f t="shared" si="14"/>
        <v>3388010.957779875</v>
      </c>
    </row>
    <row r="293" spans="1:9" x14ac:dyDescent="0.25">
      <c r="A293" s="49">
        <f>'A) Base RI'!A284</f>
        <v>5891</v>
      </c>
      <c r="B293" s="32" t="str">
        <f>'A) Base RI'!B284</f>
        <v>Veytaux</v>
      </c>
      <c r="C293" s="31">
        <f>'D) Ecrêtage'!C283</f>
        <v>39123.353381294961</v>
      </c>
      <c r="D293" s="14">
        <f>'A) Base RI'!V284</f>
        <v>952</v>
      </c>
      <c r="E293" s="10">
        <f t="shared" si="12"/>
        <v>729815.20825772104</v>
      </c>
      <c r="F293" s="14">
        <f>'F) Population'!K286</f>
        <v>118760.56338028169</v>
      </c>
      <c r="G293" s="10">
        <f>'G) Solidarité'!I283</f>
        <v>133924.79972689576</v>
      </c>
      <c r="H293" s="14">
        <f t="shared" si="13"/>
        <v>252685.36310717743</v>
      </c>
      <c r="I293" s="55">
        <f t="shared" si="14"/>
        <v>477129.84515054361</v>
      </c>
    </row>
    <row r="294" spans="1:9" x14ac:dyDescent="0.25">
      <c r="A294" s="49">
        <f>'A) Base RI'!A285</f>
        <v>5902</v>
      </c>
      <c r="B294" s="32" t="str">
        <f>'A) Base RI'!B285</f>
        <v>Belmont-sur-Yverdon</v>
      </c>
      <c r="C294" s="31">
        <f>'D) Ecrêtage'!C284</f>
        <v>12109.15</v>
      </c>
      <c r="D294" s="14">
        <f>'A) Base RI'!V285</f>
        <v>415</v>
      </c>
      <c r="E294" s="10">
        <f t="shared" si="12"/>
        <v>225886.6141392471</v>
      </c>
      <c r="F294" s="14">
        <f>'F) Population'!K287</f>
        <v>51770.623742454722</v>
      </c>
      <c r="G294" s="10">
        <f>'G) Solidarité'!I284</f>
        <v>156013.98884875755</v>
      </c>
      <c r="H294" s="14">
        <f t="shared" si="13"/>
        <v>207784.61259121227</v>
      </c>
      <c r="I294" s="55">
        <f t="shared" si="14"/>
        <v>18102.001548034837</v>
      </c>
    </row>
    <row r="295" spans="1:9" x14ac:dyDescent="0.25">
      <c r="A295" s="49">
        <f>'A) Base RI'!A286</f>
        <v>5903</v>
      </c>
      <c r="B295" s="32" t="str">
        <f>'A) Base RI'!B286</f>
        <v>Bioley-Magnoux</v>
      </c>
      <c r="C295" s="31">
        <f>'D) Ecrêtage'!C285</f>
        <v>6059.1993849206356</v>
      </c>
      <c r="D295" s="14">
        <f>'A) Base RI'!V286</f>
        <v>234</v>
      </c>
      <c r="E295" s="10">
        <f t="shared" si="12"/>
        <v>113029.57131213429</v>
      </c>
      <c r="F295" s="14">
        <f>'F) Population'!K288</f>
        <v>29191.146881287725</v>
      </c>
      <c r="G295" s="10">
        <f>'G) Solidarité'!I285</f>
        <v>108981.97715310383</v>
      </c>
      <c r="H295" s="14">
        <f t="shared" si="13"/>
        <v>138173.12403439154</v>
      </c>
      <c r="I295" s="55">
        <f t="shared" si="14"/>
        <v>-25143.552722257256</v>
      </c>
    </row>
    <row r="296" spans="1:9" x14ac:dyDescent="0.25">
      <c r="A296" s="49">
        <f>'A) Base RI'!A287</f>
        <v>5904</v>
      </c>
      <c r="B296" s="32" t="str">
        <f>'A) Base RI'!B287</f>
        <v>Chamblon</v>
      </c>
      <c r="C296" s="31">
        <f>'D) Ecrêtage'!C286</f>
        <v>22178.215151515149</v>
      </c>
      <c r="D296" s="14">
        <f>'A) Base RI'!V287</f>
        <v>561</v>
      </c>
      <c r="E296" s="10">
        <f t="shared" si="12"/>
        <v>413717.05926737271</v>
      </c>
      <c r="F296" s="14">
        <f>'F) Population'!K289</f>
        <v>69983.903420523129</v>
      </c>
      <c r="G296" s="10">
        <f>'G) Solidarité'!I286</f>
        <v>86422.640545442671</v>
      </c>
      <c r="H296" s="14">
        <f t="shared" si="13"/>
        <v>156406.5439659658</v>
      </c>
      <c r="I296" s="55">
        <f t="shared" si="14"/>
        <v>257310.51530140691</v>
      </c>
    </row>
    <row r="297" spans="1:9" x14ac:dyDescent="0.25">
      <c r="A297" s="49">
        <f>'A) Base RI'!A288</f>
        <v>5905</v>
      </c>
      <c r="B297" s="32" t="str">
        <f>'A) Base RI'!B288</f>
        <v>Champvent</v>
      </c>
      <c r="C297" s="31">
        <f>'D) Ecrêtage'!C287</f>
        <v>23298.236142857142</v>
      </c>
      <c r="D297" s="14">
        <f>'A) Base RI'!V288</f>
        <v>712</v>
      </c>
      <c r="E297" s="10">
        <f t="shared" si="12"/>
        <v>434610.16485274624</v>
      </c>
      <c r="F297" s="14">
        <f>'F) Population'!K290</f>
        <v>88820.925553319918</v>
      </c>
      <c r="G297" s="10">
        <f>'G) Solidarité'!I287</f>
        <v>218290.32417440062</v>
      </c>
      <c r="H297" s="14">
        <f t="shared" si="13"/>
        <v>307111.24972772051</v>
      </c>
      <c r="I297" s="55">
        <f t="shared" si="14"/>
        <v>127498.91512502573</v>
      </c>
    </row>
    <row r="298" spans="1:9" x14ac:dyDescent="0.25">
      <c r="A298" s="49">
        <f>'A) Base RI'!A289</f>
        <v>5907</v>
      </c>
      <c r="B298" s="32" t="str">
        <f>'A) Base RI'!B289</f>
        <v>Chavannes-le-Chêne</v>
      </c>
      <c r="C298" s="31">
        <f>'D) Ecrêtage'!C288</f>
        <v>7818.3477333333331</v>
      </c>
      <c r="D298" s="14">
        <f>'A) Base RI'!V289</f>
        <v>325</v>
      </c>
      <c r="E298" s="10">
        <f t="shared" si="12"/>
        <v>145845.09215311758</v>
      </c>
      <c r="F298" s="14">
        <f>'F) Population'!K291</f>
        <v>40543.259557344063</v>
      </c>
      <c r="G298" s="10">
        <f>'G) Solidarité'!I288</f>
        <v>177657.30803596662</v>
      </c>
      <c r="H298" s="14">
        <f t="shared" si="13"/>
        <v>218200.56759331067</v>
      </c>
      <c r="I298" s="55">
        <f t="shared" si="14"/>
        <v>-72355.475440193084</v>
      </c>
    </row>
    <row r="299" spans="1:9" x14ac:dyDescent="0.25">
      <c r="A299" s="49">
        <f>'A) Base RI'!A290</f>
        <v>5908</v>
      </c>
      <c r="B299" s="32" t="str">
        <f>'A) Base RI'!B290</f>
        <v>Chêne-Pâquier</v>
      </c>
      <c r="C299" s="31">
        <f>'D) Ecrêtage'!C289</f>
        <v>4413.8781012658228</v>
      </c>
      <c r="D299" s="14">
        <f>'A) Base RI'!V290</f>
        <v>153</v>
      </c>
      <c r="E299" s="10">
        <f t="shared" si="12"/>
        <v>82337.404319733876</v>
      </c>
      <c r="F299" s="14">
        <f>'F) Population'!K292</f>
        <v>19086.519114688126</v>
      </c>
      <c r="G299" s="10">
        <f>'G) Solidarité'!I289</f>
        <v>74517.44642354497</v>
      </c>
      <c r="H299" s="14">
        <f t="shared" si="13"/>
        <v>93603.965538233097</v>
      </c>
      <c r="I299" s="55">
        <f t="shared" si="14"/>
        <v>-11266.561218499221</v>
      </c>
    </row>
    <row r="300" spans="1:9" x14ac:dyDescent="0.25">
      <c r="A300" s="49">
        <f>'A) Base RI'!A291</f>
        <v>5909</v>
      </c>
      <c r="B300" s="32" t="str">
        <f>'A) Base RI'!B291</f>
        <v>Cheseaux-Noréaz</v>
      </c>
      <c r="C300" s="31">
        <f>'D) Ecrêtage'!C290</f>
        <v>36898.573134328355</v>
      </c>
      <c r="D300" s="14">
        <f>'A) Base RI'!V291</f>
        <v>728</v>
      </c>
      <c r="E300" s="10">
        <f t="shared" si="12"/>
        <v>688313.69269377447</v>
      </c>
      <c r="F300" s="14">
        <f>'F) Population'!K293</f>
        <v>90816.901408450693</v>
      </c>
      <c r="G300" s="10">
        <f>'G) Solidarité'!I290</f>
        <v>0</v>
      </c>
      <c r="H300" s="14">
        <f t="shared" si="13"/>
        <v>90816.901408450693</v>
      </c>
      <c r="I300" s="55">
        <f t="shared" si="14"/>
        <v>597496.79128532379</v>
      </c>
    </row>
    <row r="301" spans="1:9" x14ac:dyDescent="0.25">
      <c r="A301" s="49">
        <f>'A) Base RI'!A292</f>
        <v>5910</v>
      </c>
      <c r="B301" s="32" t="str">
        <f>'A) Base RI'!B292</f>
        <v>Cronay</v>
      </c>
      <c r="C301" s="31">
        <f>'D) Ecrêtage'!C291</f>
        <v>10600.416103896103</v>
      </c>
      <c r="D301" s="14">
        <f>'A) Base RI'!V292</f>
        <v>403</v>
      </c>
      <c r="E301" s="10">
        <f t="shared" si="12"/>
        <v>197742.37681226511</v>
      </c>
      <c r="F301" s="14">
        <f>'F) Population'!K294</f>
        <v>50273.641851106637</v>
      </c>
      <c r="G301" s="10">
        <f>'G) Solidarité'!I291</f>
        <v>210754.23827183017</v>
      </c>
      <c r="H301" s="14">
        <f t="shared" si="13"/>
        <v>261027.8801229368</v>
      </c>
      <c r="I301" s="55">
        <f t="shared" si="14"/>
        <v>-63285.503310671687</v>
      </c>
    </row>
    <row r="302" spans="1:9" x14ac:dyDescent="0.25">
      <c r="A302" s="49">
        <f>'A) Base RI'!A293</f>
        <v>5911</v>
      </c>
      <c r="B302" s="32" t="str">
        <f>'A) Base RI'!B293</f>
        <v>Cuarny</v>
      </c>
      <c r="C302" s="31">
        <f>'D) Ecrêtage'!C292</f>
        <v>7503.9646753246761</v>
      </c>
      <c r="D302" s="14">
        <f>'A) Base RI'!V293</f>
        <v>245</v>
      </c>
      <c r="E302" s="10">
        <f t="shared" si="12"/>
        <v>139980.5249030366</v>
      </c>
      <c r="F302" s="14">
        <f>'F) Population'!K295</f>
        <v>30563.380281690137</v>
      </c>
      <c r="G302" s="10">
        <f>'G) Solidarité'!I292</f>
        <v>103035.5769295424</v>
      </c>
      <c r="H302" s="14">
        <f t="shared" si="13"/>
        <v>133598.95721123254</v>
      </c>
      <c r="I302" s="55">
        <f t="shared" si="14"/>
        <v>6381.5676918040554</v>
      </c>
    </row>
    <row r="303" spans="1:9" x14ac:dyDescent="0.25">
      <c r="A303" s="49">
        <f>'A) Base RI'!A294</f>
        <v>5912</v>
      </c>
      <c r="B303" s="32" t="str">
        <f>'A) Base RI'!B294</f>
        <v>Démoret</v>
      </c>
      <c r="C303" s="31">
        <f>'D) Ecrêtage'!C293</f>
        <v>4722.5551851851851</v>
      </c>
      <c r="D303" s="14">
        <f>'A) Base RI'!V294</f>
        <v>164</v>
      </c>
      <c r="E303" s="10">
        <f t="shared" si="12"/>
        <v>88095.531136968872</v>
      </c>
      <c r="F303" s="14">
        <f>'F) Population'!K296</f>
        <v>20458.752515090542</v>
      </c>
      <c r="G303" s="10">
        <f>'G) Solidarité'!I293</f>
        <v>84197.349702946813</v>
      </c>
      <c r="H303" s="14">
        <f t="shared" si="13"/>
        <v>104656.10221803735</v>
      </c>
      <c r="I303" s="55">
        <f t="shared" si="14"/>
        <v>-16560.571081068483</v>
      </c>
    </row>
    <row r="304" spans="1:9" x14ac:dyDescent="0.25">
      <c r="A304" s="49">
        <f>'A) Base RI'!A295</f>
        <v>5913</v>
      </c>
      <c r="B304" s="32" t="str">
        <f>'A) Base RI'!B295</f>
        <v>Donneloye</v>
      </c>
      <c r="C304" s="31">
        <f>'D) Ecrêtage'!C294</f>
        <v>23893.322465753423</v>
      </c>
      <c r="D304" s="14">
        <f>'A) Base RI'!V295</f>
        <v>891</v>
      </c>
      <c r="E304" s="10">
        <f t="shared" si="12"/>
        <v>445711.02945510193</v>
      </c>
      <c r="F304" s="14">
        <f>'F) Population'!K297</f>
        <v>111150.90543259557</v>
      </c>
      <c r="G304" s="10">
        <f>'G) Solidarité'!I294</f>
        <v>409086.54328559013</v>
      </c>
      <c r="H304" s="14">
        <f t="shared" si="13"/>
        <v>520237.44871818571</v>
      </c>
      <c r="I304" s="55">
        <f t="shared" si="14"/>
        <v>-74526.419263083779</v>
      </c>
    </row>
    <row r="305" spans="1:9" x14ac:dyDescent="0.25">
      <c r="A305" s="49">
        <f>'A) Base RI'!A296</f>
        <v>5914</v>
      </c>
      <c r="B305" s="32" t="str">
        <f>'A) Base RI'!B296</f>
        <v>Ependes</v>
      </c>
      <c r="C305" s="31">
        <f>'D) Ecrêtage'!C295</f>
        <v>9829.5133333333324</v>
      </c>
      <c r="D305" s="14">
        <f>'A) Base RI'!V296</f>
        <v>381</v>
      </c>
      <c r="E305" s="10">
        <f t="shared" si="12"/>
        <v>183361.79546072608</v>
      </c>
      <c r="F305" s="14">
        <f>'F) Population'!K298</f>
        <v>47529.175050301805</v>
      </c>
      <c r="G305" s="10">
        <f>'G) Solidarité'!I295</f>
        <v>185694.62108961859</v>
      </c>
      <c r="H305" s="14">
        <f t="shared" si="13"/>
        <v>233223.79613992039</v>
      </c>
      <c r="I305" s="55">
        <f t="shared" si="14"/>
        <v>-49862.000679194316</v>
      </c>
    </row>
    <row r="306" spans="1:9" x14ac:dyDescent="0.25">
      <c r="A306" s="49">
        <f>'A) Base RI'!A297</f>
        <v>5919</v>
      </c>
      <c r="B306" s="32" t="str">
        <f>'A) Base RI'!B297</f>
        <v>Mathod</v>
      </c>
      <c r="C306" s="31">
        <f>'D) Ecrêtage'!C296</f>
        <v>18684.885972222222</v>
      </c>
      <c r="D306" s="14">
        <f>'A) Base RI'!V297</f>
        <v>655</v>
      </c>
      <c r="E306" s="10">
        <f t="shared" si="12"/>
        <v>348551.76687407389</v>
      </c>
      <c r="F306" s="14">
        <f>'F) Population'!K299</f>
        <v>81710.2615694165</v>
      </c>
      <c r="G306" s="10">
        <f>'G) Solidarité'!I296</f>
        <v>269354.7741398479</v>
      </c>
      <c r="H306" s="14">
        <f t="shared" si="13"/>
        <v>351065.0357092644</v>
      </c>
      <c r="I306" s="55">
        <f t="shared" si="14"/>
        <v>-2513.268835190509</v>
      </c>
    </row>
    <row r="307" spans="1:9" x14ac:dyDescent="0.25">
      <c r="A307" s="49">
        <f>'A) Base RI'!A298</f>
        <v>5921</v>
      </c>
      <c r="B307" s="32" t="str">
        <f>'A) Base RI'!B298</f>
        <v>Molondin</v>
      </c>
      <c r="C307" s="31">
        <f>'D) Ecrêtage'!C297</f>
        <v>5874.9966666666678</v>
      </c>
      <c r="D307" s="14">
        <f>'A) Base RI'!V298</f>
        <v>239</v>
      </c>
      <c r="E307" s="10">
        <f t="shared" si="12"/>
        <v>109593.41531921699</v>
      </c>
      <c r="F307" s="14">
        <f>'F) Population'!K300</f>
        <v>29814.889336016095</v>
      </c>
      <c r="G307" s="10">
        <f>'G) Solidarité'!I297</f>
        <v>149097.2309494357</v>
      </c>
      <c r="H307" s="14">
        <f t="shared" si="13"/>
        <v>178912.12028545179</v>
      </c>
      <c r="I307" s="55">
        <f t="shared" si="14"/>
        <v>-69318.7049662348</v>
      </c>
    </row>
    <row r="308" spans="1:9" x14ac:dyDescent="0.25">
      <c r="A308" s="49">
        <f>'A) Base RI'!A299</f>
        <v>5922</v>
      </c>
      <c r="B308" s="32" t="str">
        <f>'A) Base RI'!B299</f>
        <v>Montagny-près-Yverdon</v>
      </c>
      <c r="C308" s="31">
        <f>'D) Ecrêtage'!C298</f>
        <v>39614.024961240313</v>
      </c>
      <c r="D308" s="14">
        <f>'A) Base RI'!V299</f>
        <v>775</v>
      </c>
      <c r="E308" s="10">
        <f t="shared" si="12"/>
        <v>738968.29842905514</v>
      </c>
      <c r="F308" s="14">
        <f>'F) Population'!K301</f>
        <v>96680.080482897378</v>
      </c>
      <c r="G308" s="10">
        <f>'G) Solidarité'!I298</f>
        <v>0</v>
      </c>
      <c r="H308" s="14">
        <f t="shared" si="13"/>
        <v>96680.080482897378</v>
      </c>
      <c r="I308" s="55">
        <f t="shared" si="14"/>
        <v>642288.21794615779</v>
      </c>
    </row>
    <row r="309" spans="1:9" x14ac:dyDescent="0.25">
      <c r="A309" s="49">
        <f>'A) Base RI'!A300</f>
        <v>5923</v>
      </c>
      <c r="B309" s="32" t="str">
        <f>'A) Base RI'!B300</f>
        <v>Oppens</v>
      </c>
      <c r="C309" s="31">
        <f>'D) Ecrêtage'!C299</f>
        <v>5094.8359259259259</v>
      </c>
      <c r="D309" s="14">
        <f>'A) Base RI'!V300</f>
        <v>201</v>
      </c>
      <c r="E309" s="10">
        <f t="shared" si="12"/>
        <v>95040.133857653374</v>
      </c>
      <c r="F309" s="14">
        <f>'F) Population'!K302</f>
        <v>25074.44668008048</v>
      </c>
      <c r="G309" s="10">
        <f>'G) Solidarité'!I299</f>
        <v>121357.47285659822</v>
      </c>
      <c r="H309" s="14">
        <f t="shared" si="13"/>
        <v>146431.9195366787</v>
      </c>
      <c r="I309" s="55">
        <f t="shared" si="14"/>
        <v>-51391.785679025328</v>
      </c>
    </row>
    <row r="310" spans="1:9" x14ac:dyDescent="0.25">
      <c r="A310" s="49">
        <f>'A) Base RI'!A301</f>
        <v>5924</v>
      </c>
      <c r="B310" s="32" t="str">
        <f>'A) Base RI'!B301</f>
        <v>Orges</v>
      </c>
      <c r="C310" s="31">
        <f>'D) Ecrêtage'!C300</f>
        <v>13110.169864864867</v>
      </c>
      <c r="D310" s="14">
        <f>'A) Base RI'!V301</f>
        <v>367</v>
      </c>
      <c r="E310" s="10">
        <f t="shared" si="12"/>
        <v>244559.84784767844</v>
      </c>
      <c r="F310" s="14">
        <f>'F) Population'!K303</f>
        <v>45782.696177062367</v>
      </c>
      <c r="G310" s="10">
        <f>'G) Solidarité'!I300</f>
        <v>101661.69488068896</v>
      </c>
      <c r="H310" s="14">
        <f t="shared" si="13"/>
        <v>147444.39105775132</v>
      </c>
      <c r="I310" s="55">
        <f t="shared" si="14"/>
        <v>97115.456789927121</v>
      </c>
    </row>
    <row r="311" spans="1:9" x14ac:dyDescent="0.25">
      <c r="A311" s="49">
        <f>'A) Base RI'!A302</f>
        <v>5925</v>
      </c>
      <c r="B311" s="32" t="str">
        <f>'A) Base RI'!B302</f>
        <v>Orzens</v>
      </c>
      <c r="C311" s="31">
        <f>'D) Ecrêtage'!C301</f>
        <v>5230.5868354430377</v>
      </c>
      <c r="D311" s="14">
        <f>'A) Base RI'!V302</f>
        <v>202</v>
      </c>
      <c r="E311" s="10">
        <f t="shared" si="12"/>
        <v>97572.459687058712</v>
      </c>
      <c r="F311" s="14">
        <f>'F) Population'!K304</f>
        <v>25199.195171026156</v>
      </c>
      <c r="G311" s="10">
        <f>'G) Solidarité'!I301</f>
        <v>113260.8391440057</v>
      </c>
      <c r="H311" s="14">
        <f t="shared" si="13"/>
        <v>138460.03431503187</v>
      </c>
      <c r="I311" s="55">
        <f t="shared" si="14"/>
        <v>-40887.574627973154</v>
      </c>
    </row>
    <row r="312" spans="1:9" x14ac:dyDescent="0.25">
      <c r="A312" s="49">
        <f>'A) Base RI'!A303</f>
        <v>5926</v>
      </c>
      <c r="B312" s="32" t="str">
        <f>'A) Base RI'!B303</f>
        <v>Pomy</v>
      </c>
      <c r="C312" s="31">
        <f>'D) Ecrêtage'!C302</f>
        <v>27875.103943661972</v>
      </c>
      <c r="D312" s="14">
        <f>'A) Base RI'!V303</f>
        <v>838</v>
      </c>
      <c r="E312" s="10">
        <f t="shared" si="12"/>
        <v>519988.01308212196</v>
      </c>
      <c r="F312" s="14">
        <f>'F) Population'!K305</f>
        <v>104539.23541247484</v>
      </c>
      <c r="G312" s="10">
        <f>'G) Solidarité'!I302</f>
        <v>255175.34743607536</v>
      </c>
      <c r="H312" s="14">
        <f t="shared" si="13"/>
        <v>359714.58284855017</v>
      </c>
      <c r="I312" s="55">
        <f t="shared" si="14"/>
        <v>160273.43023357179</v>
      </c>
    </row>
    <row r="313" spans="1:9" x14ac:dyDescent="0.25">
      <c r="A313" s="49">
        <f>'A) Base RI'!A304</f>
        <v>5928</v>
      </c>
      <c r="B313" s="32" t="str">
        <f>'A) Base RI'!B304</f>
        <v>Rovray</v>
      </c>
      <c r="C313" s="31">
        <f>'D) Ecrêtage'!C303</f>
        <v>5459.4606993006983</v>
      </c>
      <c r="D313" s="14">
        <f>'A) Base RI'!V304</f>
        <v>206</v>
      </c>
      <c r="E313" s="10">
        <f t="shared" si="12"/>
        <v>101841.92056348472</v>
      </c>
      <c r="F313" s="14">
        <f>'F) Population'!K306</f>
        <v>25698.18913480885</v>
      </c>
      <c r="G313" s="10">
        <f>'G) Solidarité'!I303</f>
        <v>92055.215975501691</v>
      </c>
      <c r="H313" s="14">
        <f t="shared" si="13"/>
        <v>117753.40511031054</v>
      </c>
      <c r="I313" s="55">
        <f t="shared" si="14"/>
        <v>-15911.484546825828</v>
      </c>
    </row>
    <row r="314" spans="1:9" x14ac:dyDescent="0.25">
      <c r="A314" s="49">
        <f>'A) Base RI'!A305</f>
        <v>5929</v>
      </c>
      <c r="B314" s="32" t="str">
        <f>'A) Base RI'!B305</f>
        <v>Suchy</v>
      </c>
      <c r="C314" s="31">
        <f>'D) Ecrêtage'!C304</f>
        <v>20266.988392857143</v>
      </c>
      <c r="D314" s="14">
        <f>'A) Base RI'!V305</f>
        <v>656</v>
      </c>
      <c r="E314" s="10">
        <f t="shared" si="12"/>
        <v>378064.63598699507</v>
      </c>
      <c r="F314" s="14">
        <f>'F) Population'!K307</f>
        <v>81835.010060362169</v>
      </c>
      <c r="G314" s="10">
        <f>'G) Solidarité'!I304</f>
        <v>224582.71934909147</v>
      </c>
      <c r="H314" s="14">
        <f t="shared" si="13"/>
        <v>306417.72940945363</v>
      </c>
      <c r="I314" s="55">
        <f t="shared" si="14"/>
        <v>71646.906577541435</v>
      </c>
    </row>
    <row r="315" spans="1:9" x14ac:dyDescent="0.25">
      <c r="A315" s="49">
        <f>'A) Base RI'!A306</f>
        <v>5930</v>
      </c>
      <c r="B315" s="32" t="str">
        <f>'A) Base RI'!B306</f>
        <v>Suscévaz</v>
      </c>
      <c r="C315" s="31">
        <f>'D) Ecrêtage'!C305</f>
        <v>6661.8138888888889</v>
      </c>
      <c r="D315" s="14">
        <f>'A) Base RI'!V306</f>
        <v>215</v>
      </c>
      <c r="E315" s="10">
        <f t="shared" si="12"/>
        <v>124270.86817711579</v>
      </c>
      <c r="F315" s="14">
        <f>'F) Population'!K308</f>
        <v>26820.925553319918</v>
      </c>
      <c r="G315" s="10">
        <f>'G) Solidarité'!I305</f>
        <v>77469.400007655015</v>
      </c>
      <c r="H315" s="14">
        <f t="shared" si="13"/>
        <v>104290.32556097493</v>
      </c>
      <c r="I315" s="55">
        <f t="shared" si="14"/>
        <v>19980.542616140854</v>
      </c>
    </row>
    <row r="316" spans="1:9" x14ac:dyDescent="0.25">
      <c r="A316" s="49">
        <f>'A) Base RI'!A307</f>
        <v>5931</v>
      </c>
      <c r="B316" s="32" t="str">
        <f>'A) Base RI'!B307</f>
        <v>Treycovagnes</v>
      </c>
      <c r="C316" s="31">
        <f>'D) Ecrêtage'!C306</f>
        <v>15271.093466666664</v>
      </c>
      <c r="D316" s="14">
        <f>'A) Base RI'!V307</f>
        <v>490</v>
      </c>
      <c r="E316" s="10">
        <f t="shared" si="12"/>
        <v>284870.16821075883</v>
      </c>
      <c r="F316" s="14">
        <f>'F) Population'!K309</f>
        <v>61126.760563380274</v>
      </c>
      <c r="G316" s="10">
        <f>'G) Solidarité'!I306</f>
        <v>189592.86927103365</v>
      </c>
      <c r="H316" s="14">
        <f t="shared" si="13"/>
        <v>250719.62983441394</v>
      </c>
      <c r="I316" s="55">
        <f t="shared" si="14"/>
        <v>34150.538376344892</v>
      </c>
    </row>
    <row r="317" spans="1:9" x14ac:dyDescent="0.25">
      <c r="A317" s="49">
        <f>'A) Base RI'!A308</f>
        <v>5932</v>
      </c>
      <c r="B317" s="32" t="str">
        <f>'A) Base RI'!B308</f>
        <v>Ursins</v>
      </c>
      <c r="C317" s="31">
        <f>'D) Ecrêtage'!C307</f>
        <v>7703.3244000000022</v>
      </c>
      <c r="D317" s="14">
        <f>'A) Base RI'!V308</f>
        <v>228</v>
      </c>
      <c r="E317" s="10">
        <f t="shared" si="12"/>
        <v>143699.42286058457</v>
      </c>
      <c r="F317" s="14">
        <f>'F) Population'!K310</f>
        <v>28442.655935613679</v>
      </c>
      <c r="G317" s="10">
        <f>'G) Solidarité'!I307</f>
        <v>74793.080886727752</v>
      </c>
      <c r="H317" s="14">
        <f t="shared" si="13"/>
        <v>103235.73682234142</v>
      </c>
      <c r="I317" s="55">
        <f t="shared" si="14"/>
        <v>40463.686038243148</v>
      </c>
    </row>
    <row r="318" spans="1:9" x14ac:dyDescent="0.25">
      <c r="A318" s="49">
        <f>'A) Base RI'!A309</f>
        <v>5933</v>
      </c>
      <c r="B318" s="32" t="str">
        <f>'A) Base RI'!B309</f>
        <v>Valeyres-sous-Montagny</v>
      </c>
      <c r="C318" s="31">
        <f>'D) Ecrêtage'!C308</f>
        <v>19607.073049645387</v>
      </c>
      <c r="D318" s="14">
        <f>'A) Base RI'!V309</f>
        <v>697</v>
      </c>
      <c r="E318" s="10">
        <f t="shared" si="12"/>
        <v>365754.4372945482</v>
      </c>
      <c r="F318" s="14">
        <f>'F) Population'!K311</f>
        <v>86949.698189134797</v>
      </c>
      <c r="G318" s="10">
        <f>'G) Solidarité'!I308</f>
        <v>280285.51134938974</v>
      </c>
      <c r="H318" s="14">
        <f t="shared" si="13"/>
        <v>367235.2095385245</v>
      </c>
      <c r="I318" s="55">
        <f t="shared" si="14"/>
        <v>-1480.772243976302</v>
      </c>
    </row>
    <row r="319" spans="1:9" x14ac:dyDescent="0.25">
      <c r="A319" s="49">
        <f>'A) Base RI'!A310</f>
        <v>5934</v>
      </c>
      <c r="B319" s="32" t="str">
        <f>'A) Base RI'!B310</f>
        <v>Valeyres-sous-Ursins</v>
      </c>
      <c r="C319" s="31">
        <f>'D) Ecrêtage'!C309</f>
        <v>7018.283636363637</v>
      </c>
      <c r="D319" s="14">
        <f>'A) Base RI'!V310</f>
        <v>247</v>
      </c>
      <c r="E319" s="10">
        <f t="shared" si="12"/>
        <v>130920.52932592832</v>
      </c>
      <c r="F319" s="14">
        <f>'F) Population'!K312</f>
        <v>30812.877263581486</v>
      </c>
      <c r="G319" s="10">
        <f>'G) Solidarité'!I309</f>
        <v>116828.41622294429</v>
      </c>
      <c r="H319" s="14">
        <f t="shared" si="13"/>
        <v>147641.29348652577</v>
      </c>
      <c r="I319" s="55">
        <f t="shared" si="14"/>
        <v>-16720.76416059745</v>
      </c>
    </row>
    <row r="320" spans="1:9" x14ac:dyDescent="0.25">
      <c r="A320" s="49">
        <f>'A) Base RI'!A311</f>
        <v>5935</v>
      </c>
      <c r="B320" s="32" t="str">
        <f>'A) Base RI'!B311</f>
        <v>Villars-Epeney</v>
      </c>
      <c r="C320" s="31">
        <f>'D) Ecrêtage'!C310</f>
        <v>3448.2304999999997</v>
      </c>
      <c r="D320" s="14">
        <f>'A) Base RI'!V311</f>
        <v>95</v>
      </c>
      <c r="E320" s="10">
        <f t="shared" si="12"/>
        <v>64324.012207023865</v>
      </c>
      <c r="F320" s="14">
        <f>'F) Population'!K313</f>
        <v>11851.106639839034</v>
      </c>
      <c r="G320" s="10">
        <f>'G) Solidarité'!I310</f>
        <v>16515.397920128889</v>
      </c>
      <c r="H320" s="14">
        <f t="shared" si="13"/>
        <v>28366.504559967922</v>
      </c>
      <c r="I320" s="55">
        <f t="shared" si="14"/>
        <v>35957.507647055943</v>
      </c>
    </row>
    <row r="321" spans="1:9" x14ac:dyDescent="0.25">
      <c r="A321" s="49">
        <f>'A) Base RI'!A312</f>
        <v>5937</v>
      </c>
      <c r="B321" s="32" t="str">
        <f>'A) Base RI'!B312</f>
        <v>Vugelles-La Mothe</v>
      </c>
      <c r="C321" s="31">
        <f>'D) Ecrêtage'!C311</f>
        <v>3479.7743061224487</v>
      </c>
      <c r="D321" s="14">
        <f>'A) Base RI'!V312</f>
        <v>140</v>
      </c>
      <c r="E321" s="10">
        <f t="shared" si="12"/>
        <v>64912.436957073609</v>
      </c>
      <c r="F321" s="14">
        <f>'F) Population'!K314</f>
        <v>17464.788732394365</v>
      </c>
      <c r="G321" s="10">
        <f>'G) Solidarité'!I311</f>
        <v>64476.14742300933</v>
      </c>
      <c r="H321" s="14">
        <f t="shared" si="13"/>
        <v>81940.936155403702</v>
      </c>
      <c r="I321" s="55">
        <f t="shared" si="14"/>
        <v>-17028.499198330093</v>
      </c>
    </row>
    <row r="322" spans="1:9" x14ac:dyDescent="0.25">
      <c r="A322" s="49">
        <f>'A) Base RI'!A313</f>
        <v>5938</v>
      </c>
      <c r="B322" s="32" t="str">
        <f>'A) Base RI'!B313</f>
        <v>Yverdon-les-Bains</v>
      </c>
      <c r="C322" s="31">
        <f>'D) Ecrêtage'!C312</f>
        <v>762770.29813333345</v>
      </c>
      <c r="D322" s="14">
        <f>'A) Base RI'!V313</f>
        <v>29710</v>
      </c>
      <c r="E322" s="10">
        <f t="shared" si="12"/>
        <v>14228876.511672806</v>
      </c>
      <c r="F322" s="14">
        <f>'F) Population'!K315</f>
        <v>25169754.527162977</v>
      </c>
      <c r="G322" s="10">
        <f>'G) Solidarité'!I312</f>
        <v>15161038.837702442</v>
      </c>
      <c r="H322" s="14">
        <f t="shared" si="13"/>
        <v>40330793.364865422</v>
      </c>
      <c r="I322" s="55">
        <f t="shared" si="14"/>
        <v>-26101916.853192616</v>
      </c>
    </row>
    <row r="323" spans="1:9" x14ac:dyDescent="0.25">
      <c r="A323" s="49">
        <f>'A) Base RI'!A314</f>
        <v>5939</v>
      </c>
      <c r="B323" s="32" t="str">
        <f>'A) Base RI'!B314</f>
        <v>Yvonand</v>
      </c>
      <c r="C323" s="31">
        <f>'D) Ecrêtage'!C313</f>
        <v>105336.86867132869</v>
      </c>
      <c r="D323" s="14">
        <f>'A) Base RI'!V314</f>
        <v>3512</v>
      </c>
      <c r="E323" s="10">
        <f t="shared" si="12"/>
        <v>1964975.9568753357</v>
      </c>
      <c r="F323" s="14">
        <f>'F) Population'!K316</f>
        <v>1078824.949698189</v>
      </c>
      <c r="G323" s="10">
        <f>'G) Solidarité'!I313</f>
        <v>1319057.7780078051</v>
      </c>
      <c r="H323" s="14">
        <f t="shared" si="13"/>
        <v>2397882.7277059942</v>
      </c>
      <c r="I323" s="55">
        <f t="shared" si="14"/>
        <v>-432906.7708306585</v>
      </c>
    </row>
    <row r="324" spans="1:9" x14ac:dyDescent="0.25">
      <c r="A324" s="30"/>
      <c r="B324" s="117">
        <f>COUNTA(B16:B323)</f>
        <v>308</v>
      </c>
      <c r="C324" s="118">
        <f>SUM(C16:C323)</f>
        <v>39865815.115802124</v>
      </c>
      <c r="D324" s="11">
        <f>SUM(D16:D323)</f>
        <v>823879</v>
      </c>
      <c r="E324" s="11">
        <f>SUM(E16:E323)</f>
        <v>743665244.58031857</v>
      </c>
      <c r="F324" s="11">
        <f>SUM(F16:F323)</f>
        <v>437249573.44064391</v>
      </c>
      <c r="G324" s="11">
        <f>SUM(G16:G323)</f>
        <v>140413800.40735322</v>
      </c>
      <c r="H324" s="11">
        <f>F324+G324</f>
        <v>577663373.84799719</v>
      </c>
      <c r="I324" s="37">
        <f>E324-H324</f>
        <v>166001870.73232138</v>
      </c>
    </row>
    <row r="325" spans="1:9" x14ac:dyDescent="0.25">
      <c r="C325" s="71"/>
      <c r="D325" s="71"/>
      <c r="E325" s="36"/>
      <c r="H325" s="36"/>
      <c r="I325" s="6"/>
    </row>
    <row r="326" spans="1:9" x14ac:dyDescent="0.25">
      <c r="C326" s="5"/>
      <c r="D326" s="5"/>
      <c r="E326" s="6"/>
      <c r="F326" s="6"/>
      <c r="G326" s="6"/>
      <c r="H326" s="6"/>
      <c r="I326" s="6"/>
    </row>
    <row r="327" spans="1:9" x14ac:dyDescent="0.25">
      <c r="G327" s="12"/>
    </row>
    <row r="329" spans="1:9" x14ac:dyDescent="0.25">
      <c r="F329" s="12"/>
    </row>
    <row r="330" spans="1:9" x14ac:dyDescent="0.25">
      <c r="F330" s="12"/>
    </row>
    <row r="332" spans="1:9" x14ac:dyDescent="0.25">
      <c r="F332" s="107"/>
      <c r="G332" s="107"/>
      <c r="H332" s="107"/>
      <c r="I332" s="107"/>
    </row>
    <row r="333" spans="1:9" x14ac:dyDescent="0.25">
      <c r="E333" s="107"/>
      <c r="F333" s="107"/>
      <c r="G333" s="107"/>
      <c r="H333" s="107"/>
      <c r="I333" s="107"/>
    </row>
    <row r="334" spans="1:9" x14ac:dyDescent="0.25">
      <c r="E334" s="114"/>
      <c r="F334" s="114"/>
      <c r="G334" s="114"/>
      <c r="H334" s="114"/>
      <c r="I334" s="114"/>
    </row>
    <row r="341" spans="3:3" x14ac:dyDescent="0.25">
      <c r="C341" s="48"/>
    </row>
    <row r="342" spans="3:3" x14ac:dyDescent="0.25">
      <c r="C342" s="48"/>
    </row>
    <row r="343" spans="3:3" x14ac:dyDescent="0.25">
      <c r="C343" s="48"/>
    </row>
  </sheetData>
  <mergeCells count="4">
    <mergeCell ref="D14:D15"/>
    <mergeCell ref="C14:C15"/>
    <mergeCell ref="B14:B15"/>
    <mergeCell ref="A14:A15"/>
  </mergeCells>
  <phoneticPr fontId="21" type="noConversion"/>
  <pageMargins left="0.25" right="0.25" top="0.75" bottom="0.75" header="0.3" footer="0.3"/>
  <pageSetup paperSize="9" orientation="landscape"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rgb="FF00B050"/>
  </sheetPr>
  <dimension ref="A1:V314"/>
  <sheetViews>
    <sheetView zoomScaleNormal="100" workbookViewId="0">
      <pane ySplit="5" topLeftCell="A6" activePane="bottomLeft" state="frozen"/>
      <selection pane="bottomLeft"/>
    </sheetView>
  </sheetViews>
  <sheetFormatPr baseColWidth="10" defaultColWidth="10.75" defaultRowHeight="15" x14ac:dyDescent="0.25"/>
  <cols>
    <col min="1" max="1" width="7.25" style="13" customWidth="1"/>
    <col min="2" max="2" width="22.125" style="13" bestFit="1" customWidth="1"/>
    <col min="3" max="3" width="14.25" style="6" bestFit="1" customWidth="1"/>
    <col min="4" max="4" width="16.25" style="6" customWidth="1"/>
    <col min="5" max="5" width="10.75" style="6" bestFit="1" customWidth="1"/>
    <col min="6" max="6" width="11.75" style="6" bestFit="1" customWidth="1"/>
    <col min="7" max="7" width="15.125" style="6" customWidth="1"/>
    <col min="8" max="8" width="13.125" style="6" bestFit="1" customWidth="1"/>
    <col min="9" max="9" width="12.25" style="6" bestFit="1" customWidth="1"/>
    <col min="10" max="10" width="13.125" style="6" bestFit="1" customWidth="1"/>
    <col min="11" max="11" width="16.875" style="6" bestFit="1" customWidth="1"/>
    <col min="12" max="12" width="13.25" style="6" bestFit="1" customWidth="1"/>
    <col min="13" max="13" width="13.125" style="6" customWidth="1"/>
    <col min="14" max="14" width="15.25" style="6" customWidth="1"/>
    <col min="15" max="15" width="17.875" style="6" customWidth="1"/>
    <col min="16" max="16" width="10.75" style="6" bestFit="1" customWidth="1"/>
    <col min="17" max="17" width="11.375" style="6" customWidth="1"/>
    <col min="18" max="18" width="11.875" style="6" customWidth="1"/>
    <col min="19" max="19" width="12.5" style="6" customWidth="1"/>
    <col min="20" max="20" width="12.875" style="6" customWidth="1"/>
    <col min="21" max="21" width="10" style="15" customWidth="1"/>
    <col min="22" max="22" width="2.5" style="13" customWidth="1"/>
    <col min="23" max="16384" width="10.75" style="13"/>
  </cols>
  <sheetData>
    <row r="1" spans="1:22" s="43" customFormat="1" ht="20.25" customHeight="1" x14ac:dyDescent="0.25">
      <c r="A1" s="51" t="s">
        <v>137</v>
      </c>
      <c r="B1" s="42"/>
      <c r="C1" s="44"/>
      <c r="D1" s="44"/>
      <c r="E1" s="44"/>
      <c r="F1" s="44"/>
      <c r="G1" s="44"/>
      <c r="H1" s="44"/>
      <c r="I1" s="44"/>
      <c r="J1" s="44"/>
      <c r="K1" s="44"/>
      <c r="L1" s="44"/>
      <c r="M1" s="44"/>
      <c r="N1" s="44"/>
      <c r="O1" s="44"/>
      <c r="P1" s="279"/>
      <c r="Q1" s="44"/>
      <c r="R1" s="279"/>
      <c r="S1" s="44"/>
      <c r="T1" s="44"/>
      <c r="U1" s="133"/>
      <c r="V1" s="13"/>
    </row>
    <row r="2" spans="1:22" s="43" customFormat="1" ht="20.25" customHeight="1" x14ac:dyDescent="0.25">
      <c r="A2" s="199">
        <f>Paramètres!B5</f>
        <v>2021</v>
      </c>
      <c r="B2" s="42"/>
      <c r="C2" s="44"/>
      <c r="D2" s="44"/>
      <c r="E2" s="44"/>
      <c r="F2" s="44"/>
      <c r="G2" s="44"/>
      <c r="H2" s="44"/>
      <c r="I2" s="44"/>
      <c r="J2" s="44"/>
      <c r="K2" s="44"/>
      <c r="L2" s="44"/>
      <c r="M2" s="44"/>
      <c r="N2" s="44"/>
      <c r="O2" s="44"/>
      <c r="P2" s="279"/>
      <c r="Q2" s="44"/>
      <c r="R2" s="279"/>
      <c r="S2" s="44"/>
      <c r="T2" s="44"/>
      <c r="U2" s="133"/>
      <c r="V2" s="393"/>
    </row>
    <row r="4" spans="1:22" ht="60" customHeight="1" x14ac:dyDescent="0.25">
      <c r="A4" s="592" t="s">
        <v>46</v>
      </c>
      <c r="B4" s="592" t="s">
        <v>94</v>
      </c>
      <c r="C4" s="589" t="s">
        <v>509</v>
      </c>
      <c r="D4" s="445" t="s">
        <v>611</v>
      </c>
      <c r="E4" s="616" t="s">
        <v>612</v>
      </c>
      <c r="F4" s="617"/>
      <c r="G4" s="589" t="s">
        <v>524</v>
      </c>
      <c r="H4" s="589" t="s">
        <v>321</v>
      </c>
      <c r="I4" s="589" t="s">
        <v>322</v>
      </c>
      <c r="J4" s="589" t="s">
        <v>294</v>
      </c>
      <c r="K4" s="589" t="s">
        <v>44</v>
      </c>
      <c r="L4" s="275" t="s">
        <v>295</v>
      </c>
      <c r="M4" s="275" t="s">
        <v>208</v>
      </c>
      <c r="N4" s="445" t="s">
        <v>551</v>
      </c>
      <c r="O4" s="445" t="s">
        <v>552</v>
      </c>
      <c r="P4" s="589" t="s">
        <v>525</v>
      </c>
      <c r="Q4" s="589" t="s">
        <v>45</v>
      </c>
      <c r="R4" s="275" t="s">
        <v>209</v>
      </c>
      <c r="S4" s="275" t="s">
        <v>208</v>
      </c>
      <c r="T4" s="280" t="s">
        <v>355</v>
      </c>
      <c r="U4" s="314" t="s">
        <v>496</v>
      </c>
    </row>
    <row r="5" spans="1:22" x14ac:dyDescent="0.25">
      <c r="A5" s="593"/>
      <c r="B5" s="594"/>
      <c r="C5" s="590"/>
      <c r="D5" s="475" t="s">
        <v>437</v>
      </c>
      <c r="E5" s="475" t="s">
        <v>437</v>
      </c>
      <c r="F5" s="475" t="s">
        <v>613</v>
      </c>
      <c r="G5" s="590"/>
      <c r="H5" s="590"/>
      <c r="I5" s="591"/>
      <c r="J5" s="590"/>
      <c r="K5" s="591"/>
      <c r="L5" s="277">
        <f>Paramètres!B37</f>
        <v>8</v>
      </c>
      <c r="M5" s="414">
        <f>+Paramètres!C37</f>
        <v>0.75</v>
      </c>
      <c r="N5" s="475" t="s">
        <v>437</v>
      </c>
      <c r="O5" s="475" t="s">
        <v>437</v>
      </c>
      <c r="P5" s="590"/>
      <c r="Q5" s="590"/>
      <c r="R5" s="285">
        <f>Paramètres!B38</f>
        <v>1</v>
      </c>
      <c r="S5" s="414">
        <f>+Paramètres!C38</f>
        <v>0.75</v>
      </c>
      <c r="T5" s="281" t="s">
        <v>437</v>
      </c>
      <c r="U5" s="316" t="s">
        <v>438</v>
      </c>
    </row>
    <row r="6" spans="1:22" x14ac:dyDescent="0.25">
      <c r="A6" s="46">
        <f>+'A) Base RI'!A7</f>
        <v>5401</v>
      </c>
      <c r="B6" s="446" t="str">
        <f>+'A) Base RI'!B7</f>
        <v>Aigle</v>
      </c>
      <c r="C6" s="295">
        <f>+'D) Ecrêtage'!C6</f>
        <v>280991.46517676767</v>
      </c>
      <c r="D6" s="421">
        <v>899537</v>
      </c>
      <c r="E6" s="421">
        <f t="shared" ref="E6:E69" si="0">+G6-D6</f>
        <v>3493981</v>
      </c>
      <c r="F6" s="541">
        <f>+E6/C6</f>
        <v>12.434473758133498</v>
      </c>
      <c r="G6" s="420">
        <v>4393518</v>
      </c>
      <c r="H6" s="420">
        <v>2609381</v>
      </c>
      <c r="I6" s="419">
        <v>11344</v>
      </c>
      <c r="J6" s="295">
        <f>+G6+H6+I6</f>
        <v>7014243</v>
      </c>
      <c r="K6" s="276">
        <f t="shared" ref="K6:K69" si="1">+C6*$L$5</f>
        <v>2247931.7214141414</v>
      </c>
      <c r="L6" s="54">
        <f>IF(J6&gt;K6,J6-K6,0)</f>
        <v>4766311.2785858586</v>
      </c>
      <c r="M6" s="293">
        <f>-L6*M$5</f>
        <v>-3574733.458939394</v>
      </c>
      <c r="N6" s="10">
        <v>0</v>
      </c>
      <c r="O6" s="10">
        <f>+P6-N6</f>
        <v>898588</v>
      </c>
      <c r="P6" s="424">
        <v>898588</v>
      </c>
      <c r="Q6" s="54">
        <f t="shared" ref="Q6:Q69" si="2">C6*R$5</f>
        <v>280991.46517676767</v>
      </c>
      <c r="R6" s="69">
        <f>IF(P6&gt;Q6,P6-Q6,0)</f>
        <v>617596.53482323233</v>
      </c>
      <c r="S6" s="127">
        <f>-R6*S$5</f>
        <v>-463197.40111742425</v>
      </c>
      <c r="T6" s="128">
        <f>S6+M6</f>
        <v>-4037930.8600568185</v>
      </c>
      <c r="U6" s="418">
        <f t="shared" ref="U6:U69" si="3">+T6/C6</f>
        <v>-14.370297181505547</v>
      </c>
      <c r="V6" s="123"/>
    </row>
    <row r="7" spans="1:22" x14ac:dyDescent="0.25">
      <c r="A7" s="49">
        <f>+'A) Base RI'!A8</f>
        <v>5402</v>
      </c>
      <c r="B7" s="446" t="str">
        <f>+'A) Base RI'!B8</f>
        <v>Bex</v>
      </c>
      <c r="C7" s="296">
        <f>+'D) Ecrêtage'!C7</f>
        <v>192706.98084507044</v>
      </c>
      <c r="D7" s="421">
        <v>535770</v>
      </c>
      <c r="E7" s="421">
        <f t="shared" si="0"/>
        <v>2581669</v>
      </c>
      <c r="F7" s="541">
        <f t="shared" ref="F7:F70" si="4">+E7/C7</f>
        <v>13.396862888301747</v>
      </c>
      <c r="G7" s="421">
        <v>3117439</v>
      </c>
      <c r="H7" s="421">
        <v>836546</v>
      </c>
      <c r="I7" s="419">
        <v>227029</v>
      </c>
      <c r="J7" s="296">
        <f t="shared" ref="J7:J70" si="5">+G7+H7+I7</f>
        <v>4181014</v>
      </c>
      <c r="K7" s="276">
        <f t="shared" si="1"/>
        <v>1541655.8467605636</v>
      </c>
      <c r="L7" s="10">
        <f t="shared" ref="L7:L70" si="6">IF(J7&gt;K7,J7-K7,0)</f>
        <v>2639358.1532394364</v>
      </c>
      <c r="M7" s="293">
        <f t="shared" ref="M7:M70" si="7">-L7*M$5</f>
        <v>-1979518.6149295773</v>
      </c>
      <c r="N7" s="10">
        <v>0</v>
      </c>
      <c r="O7" s="10">
        <f t="shared" ref="O7:O70" si="8">+P7-N7</f>
        <v>517144</v>
      </c>
      <c r="P7" s="423">
        <v>517144</v>
      </c>
      <c r="Q7" s="10">
        <f t="shared" si="2"/>
        <v>192706.98084507044</v>
      </c>
      <c r="R7" s="14">
        <f t="shared" ref="R7:R70" si="9">IF(P7&gt;Q7,P7-Q7,0)</f>
        <v>324437.01915492956</v>
      </c>
      <c r="S7" s="2">
        <f t="shared" ref="S7:S70" si="10">-R7*S$5</f>
        <v>-243327.76436619717</v>
      </c>
      <c r="T7" s="129">
        <f t="shared" ref="T7:T70" si="11">S7+M7</f>
        <v>-2222846.3792957747</v>
      </c>
      <c r="U7" s="418">
        <f t="shared" si="3"/>
        <v>-11.534851355918777</v>
      </c>
      <c r="V7" s="123"/>
    </row>
    <row r="8" spans="1:22" x14ac:dyDescent="0.25">
      <c r="A8" s="49">
        <f>+'A) Base RI'!A9</f>
        <v>5403</v>
      </c>
      <c r="B8" s="446" t="str">
        <f>+'A) Base RI'!B9</f>
        <v>Chessel</v>
      </c>
      <c r="C8" s="296">
        <f>+'D) Ecrêtage'!C8</f>
        <v>12090.332702702703</v>
      </c>
      <c r="D8" s="421">
        <v>17601</v>
      </c>
      <c r="E8" s="421">
        <f t="shared" si="0"/>
        <v>31068</v>
      </c>
      <c r="F8" s="541">
        <f t="shared" si="4"/>
        <v>2.5696563332004074</v>
      </c>
      <c r="G8" s="421">
        <v>48669</v>
      </c>
      <c r="H8" s="421">
        <v>32370</v>
      </c>
      <c r="I8" s="419">
        <v>12790</v>
      </c>
      <c r="J8" s="296">
        <f t="shared" si="5"/>
        <v>93829</v>
      </c>
      <c r="K8" s="276">
        <f t="shared" si="1"/>
        <v>96722.661621621621</v>
      </c>
      <c r="L8" s="10">
        <f t="shared" si="6"/>
        <v>0</v>
      </c>
      <c r="M8" s="293">
        <f t="shared" si="7"/>
        <v>0</v>
      </c>
      <c r="N8" s="10">
        <v>0</v>
      </c>
      <c r="O8" s="10">
        <f t="shared" si="8"/>
        <v>36400</v>
      </c>
      <c r="P8" s="423">
        <v>36400</v>
      </c>
      <c r="Q8" s="10">
        <f t="shared" si="2"/>
        <v>12090.332702702703</v>
      </c>
      <c r="R8" s="14">
        <f t="shared" si="9"/>
        <v>24309.667297297296</v>
      </c>
      <c r="S8" s="2">
        <f t="shared" si="10"/>
        <v>-18232.25047297297</v>
      </c>
      <c r="T8" s="129">
        <f t="shared" si="11"/>
        <v>-18232.25047297297</v>
      </c>
      <c r="U8" s="418">
        <f t="shared" si="3"/>
        <v>-1.5080023785364722</v>
      </c>
      <c r="V8" s="125"/>
    </row>
    <row r="9" spans="1:22" x14ac:dyDescent="0.25">
      <c r="A9" s="49">
        <f>+'A) Base RI'!A10</f>
        <v>5404</v>
      </c>
      <c r="B9" s="446" t="str">
        <f>+'A) Base RI'!B10</f>
        <v>Corbeyrier</v>
      </c>
      <c r="C9" s="296">
        <f>+'D) Ecrêtage'!C9</f>
        <v>11581.118783783784</v>
      </c>
      <c r="D9" s="421">
        <v>11423</v>
      </c>
      <c r="E9" s="421">
        <f t="shared" si="0"/>
        <v>238544</v>
      </c>
      <c r="F9" s="541">
        <f t="shared" si="4"/>
        <v>20.597664565362734</v>
      </c>
      <c r="G9" s="421">
        <v>249967</v>
      </c>
      <c r="H9" s="421">
        <v>21628</v>
      </c>
      <c r="I9" s="419">
        <v>29470</v>
      </c>
      <c r="J9" s="296">
        <f t="shared" si="5"/>
        <v>301065</v>
      </c>
      <c r="K9" s="276">
        <f t="shared" si="1"/>
        <v>92648.950270270274</v>
      </c>
      <c r="L9" s="10">
        <f t="shared" si="6"/>
        <v>208416.04972972971</v>
      </c>
      <c r="M9" s="293">
        <f t="shared" si="7"/>
        <v>-156312.03729729727</v>
      </c>
      <c r="N9" s="10">
        <v>0</v>
      </c>
      <c r="O9" s="10">
        <f t="shared" si="8"/>
        <v>31200</v>
      </c>
      <c r="P9" s="423">
        <v>31200</v>
      </c>
      <c r="Q9" s="10">
        <f t="shared" si="2"/>
        <v>11581.118783783784</v>
      </c>
      <c r="R9" s="14">
        <f t="shared" si="9"/>
        <v>19618.881216216214</v>
      </c>
      <c r="S9" s="2">
        <f t="shared" si="10"/>
        <v>-14714.16091216216</v>
      </c>
      <c r="T9" s="129">
        <f t="shared" si="11"/>
        <v>-171026.19820945943</v>
      </c>
      <c r="U9" s="418">
        <f t="shared" si="3"/>
        <v>-14.767674989132763</v>
      </c>
      <c r="V9" s="125"/>
    </row>
    <row r="10" spans="1:22" x14ac:dyDescent="0.25">
      <c r="A10" s="49">
        <f>+'A) Base RI'!A11</f>
        <v>5405</v>
      </c>
      <c r="B10" s="446" t="str">
        <f>+'A) Base RI'!B11</f>
        <v>Gryon</v>
      </c>
      <c r="C10" s="296">
        <f>+'D) Ecrêtage'!C10</f>
        <v>78111.135102040818</v>
      </c>
      <c r="D10" s="421">
        <v>438324</v>
      </c>
      <c r="E10" s="421">
        <f t="shared" si="0"/>
        <v>1116120</v>
      </c>
      <c r="F10" s="541">
        <f t="shared" si="4"/>
        <v>14.288871856003011</v>
      </c>
      <c r="G10" s="421">
        <v>1554444</v>
      </c>
      <c r="H10" s="421">
        <v>184376</v>
      </c>
      <c r="I10" s="419">
        <v>64075</v>
      </c>
      <c r="J10" s="296">
        <f t="shared" si="5"/>
        <v>1802895</v>
      </c>
      <c r="K10" s="276">
        <f t="shared" si="1"/>
        <v>624889.08081632655</v>
      </c>
      <c r="L10" s="10">
        <f t="shared" si="6"/>
        <v>1178005.9191836733</v>
      </c>
      <c r="M10" s="293">
        <f t="shared" si="7"/>
        <v>-883504.439387755</v>
      </c>
      <c r="N10" s="10">
        <v>0</v>
      </c>
      <c r="O10" s="10">
        <f t="shared" si="8"/>
        <v>28627</v>
      </c>
      <c r="P10" s="423">
        <v>28627</v>
      </c>
      <c r="Q10" s="10">
        <f t="shared" si="2"/>
        <v>78111.135102040818</v>
      </c>
      <c r="R10" s="14">
        <f t="shared" si="9"/>
        <v>0</v>
      </c>
      <c r="S10" s="2">
        <f t="shared" si="10"/>
        <v>0</v>
      </c>
      <c r="T10" s="129">
        <f t="shared" si="11"/>
        <v>-883504.439387755</v>
      </c>
      <c r="U10" s="418">
        <f t="shared" si="3"/>
        <v>-11.310864171076059</v>
      </c>
      <c r="V10" s="125"/>
    </row>
    <row r="11" spans="1:22" x14ac:dyDescent="0.25">
      <c r="A11" s="49">
        <f>+'A) Base RI'!A12</f>
        <v>5406</v>
      </c>
      <c r="B11" s="446" t="str">
        <f>+'A) Base RI'!B12</f>
        <v>Lavey-Morcles</v>
      </c>
      <c r="C11" s="296">
        <f>+'D) Ecrêtage'!C11</f>
        <v>21513.822183969878</v>
      </c>
      <c r="D11" s="421">
        <v>80148</v>
      </c>
      <c r="E11" s="421">
        <f t="shared" si="0"/>
        <v>231116</v>
      </c>
      <c r="F11" s="541">
        <f t="shared" si="4"/>
        <v>10.742675012541769</v>
      </c>
      <c r="G11" s="421">
        <v>311264</v>
      </c>
      <c r="H11" s="421">
        <v>45882</v>
      </c>
      <c r="I11" s="419">
        <v>31167</v>
      </c>
      <c r="J11" s="296">
        <f t="shared" si="5"/>
        <v>388313</v>
      </c>
      <c r="K11" s="276">
        <f t="shared" si="1"/>
        <v>172110.57747175902</v>
      </c>
      <c r="L11" s="10">
        <f t="shared" si="6"/>
        <v>216202.42252824098</v>
      </c>
      <c r="M11" s="293">
        <f t="shared" si="7"/>
        <v>-162151.81689618074</v>
      </c>
      <c r="N11" s="10">
        <v>0</v>
      </c>
      <c r="O11" s="10">
        <f t="shared" si="8"/>
        <v>12715</v>
      </c>
      <c r="P11" s="423">
        <v>12715</v>
      </c>
      <c r="Q11" s="10">
        <f t="shared" si="2"/>
        <v>21513.822183969878</v>
      </c>
      <c r="R11" s="14">
        <f t="shared" si="9"/>
        <v>0</v>
      </c>
      <c r="S11" s="2">
        <f t="shared" si="10"/>
        <v>0</v>
      </c>
      <c r="T11" s="129">
        <f t="shared" si="11"/>
        <v>-162151.81689618074</v>
      </c>
      <c r="U11" s="418">
        <f t="shared" si="3"/>
        <v>-7.5370994288965241</v>
      </c>
      <c r="V11" s="125"/>
    </row>
    <row r="12" spans="1:22" x14ac:dyDescent="0.25">
      <c r="A12" s="49">
        <f>+'A) Base RI'!A13</f>
        <v>5407</v>
      </c>
      <c r="B12" s="446" t="str">
        <f>+'A) Base RI'!B13</f>
        <v>Leysin</v>
      </c>
      <c r="C12" s="296">
        <f>+'D) Ecrêtage'!C12</f>
        <v>90687.443803418792</v>
      </c>
      <c r="D12" s="421">
        <v>301428</v>
      </c>
      <c r="E12" s="421">
        <f t="shared" si="0"/>
        <v>2109773</v>
      </c>
      <c r="F12" s="541">
        <f t="shared" si="4"/>
        <v>23.264223926890136</v>
      </c>
      <c r="G12" s="421">
        <v>2411201</v>
      </c>
      <c r="H12" s="421">
        <v>795931</v>
      </c>
      <c r="I12" s="419">
        <v>225416</v>
      </c>
      <c r="J12" s="296">
        <f t="shared" si="5"/>
        <v>3432548</v>
      </c>
      <c r="K12" s="276">
        <f t="shared" si="1"/>
        <v>725499.55042735033</v>
      </c>
      <c r="L12" s="10">
        <f t="shared" si="6"/>
        <v>2707048.4495726498</v>
      </c>
      <c r="M12" s="293">
        <f t="shared" si="7"/>
        <v>-2030286.3371794873</v>
      </c>
      <c r="N12" s="10">
        <v>0</v>
      </c>
      <c r="O12" s="10">
        <f t="shared" si="8"/>
        <v>112901</v>
      </c>
      <c r="P12" s="423">
        <v>112901</v>
      </c>
      <c r="Q12" s="10">
        <f t="shared" si="2"/>
        <v>90687.443803418792</v>
      </c>
      <c r="R12" s="14">
        <f t="shared" si="9"/>
        <v>22213.556196581208</v>
      </c>
      <c r="S12" s="2">
        <f t="shared" si="10"/>
        <v>-16660.167147435906</v>
      </c>
      <c r="T12" s="129">
        <f t="shared" si="11"/>
        <v>-2046946.5043269233</v>
      </c>
      <c r="U12" s="418">
        <f t="shared" si="3"/>
        <v>-22.571443393685733</v>
      </c>
      <c r="V12" s="125"/>
    </row>
    <row r="13" spans="1:22" x14ac:dyDescent="0.25">
      <c r="A13" s="49">
        <f>+'A) Base RI'!A14</f>
        <v>5408</v>
      </c>
      <c r="B13" s="446" t="str">
        <f>+'A) Base RI'!B14</f>
        <v>Noville</v>
      </c>
      <c r="C13" s="296">
        <f>+'D) Ecrêtage'!C13</f>
        <v>41389.442632696395</v>
      </c>
      <c r="D13" s="421">
        <v>157518</v>
      </c>
      <c r="E13" s="421">
        <f t="shared" si="0"/>
        <v>435570</v>
      </c>
      <c r="F13" s="541">
        <f t="shared" si="4"/>
        <v>10.523698129143517</v>
      </c>
      <c r="G13" s="421">
        <v>593088</v>
      </c>
      <c r="H13" s="421">
        <v>85299</v>
      </c>
      <c r="I13" s="419">
        <v>37726</v>
      </c>
      <c r="J13" s="296">
        <f t="shared" si="5"/>
        <v>716113</v>
      </c>
      <c r="K13" s="276">
        <f t="shared" si="1"/>
        <v>331115.54106157116</v>
      </c>
      <c r="L13" s="10">
        <f t="shared" si="6"/>
        <v>384997.45893842884</v>
      </c>
      <c r="M13" s="293">
        <f t="shared" si="7"/>
        <v>-288748.09420382162</v>
      </c>
      <c r="N13" s="10">
        <v>0</v>
      </c>
      <c r="O13" s="10">
        <f t="shared" si="8"/>
        <v>49790</v>
      </c>
      <c r="P13" s="423">
        <v>49790</v>
      </c>
      <c r="Q13" s="10">
        <f t="shared" si="2"/>
        <v>41389.442632696395</v>
      </c>
      <c r="R13" s="14">
        <f t="shared" si="9"/>
        <v>8400.5573673036051</v>
      </c>
      <c r="S13" s="2">
        <f t="shared" si="10"/>
        <v>-6300.4180254777038</v>
      </c>
      <c r="T13" s="129">
        <f t="shared" si="11"/>
        <v>-295048.51222929935</v>
      </c>
      <c r="U13" s="418">
        <f t="shared" si="3"/>
        <v>-7.1285935123035467</v>
      </c>
      <c r="V13" s="125"/>
    </row>
    <row r="14" spans="1:22" x14ac:dyDescent="0.25">
      <c r="A14" s="49">
        <f>+'A) Base RI'!A15</f>
        <v>5409</v>
      </c>
      <c r="B14" s="446" t="str">
        <f>+'A) Base RI'!B15</f>
        <v>Ollon</v>
      </c>
      <c r="C14" s="296">
        <f>+'D) Ecrêtage'!C14</f>
        <v>428262.96074660635</v>
      </c>
      <c r="D14" s="421">
        <v>851445</v>
      </c>
      <c r="E14" s="421">
        <f t="shared" si="0"/>
        <v>3859083</v>
      </c>
      <c r="F14" s="541">
        <f t="shared" si="4"/>
        <v>9.0110127508396261</v>
      </c>
      <c r="G14" s="421">
        <v>4710528</v>
      </c>
      <c r="H14" s="421">
        <v>1940232</v>
      </c>
      <c r="I14" s="419">
        <v>443720</v>
      </c>
      <c r="J14" s="296">
        <f t="shared" si="5"/>
        <v>7094480</v>
      </c>
      <c r="K14" s="276">
        <f t="shared" si="1"/>
        <v>3426103.6859728508</v>
      </c>
      <c r="L14" s="10">
        <f t="shared" si="6"/>
        <v>3668376.3140271492</v>
      </c>
      <c r="M14" s="293">
        <f t="shared" si="7"/>
        <v>-2751282.2355203619</v>
      </c>
      <c r="N14" s="10">
        <v>62921</v>
      </c>
      <c r="O14" s="10">
        <f t="shared" si="8"/>
        <v>1435064</v>
      </c>
      <c r="P14" s="423">
        <v>1497985</v>
      </c>
      <c r="Q14" s="10">
        <f t="shared" si="2"/>
        <v>428262.96074660635</v>
      </c>
      <c r="R14" s="14">
        <f t="shared" si="9"/>
        <v>1069722.0392533937</v>
      </c>
      <c r="S14" s="2">
        <f t="shared" si="10"/>
        <v>-802291.52944004524</v>
      </c>
      <c r="T14" s="129">
        <f t="shared" si="11"/>
        <v>-3553573.7649604073</v>
      </c>
      <c r="U14" s="418">
        <f t="shared" si="3"/>
        <v>-8.2976444163308756</v>
      </c>
      <c r="V14" s="125"/>
    </row>
    <row r="15" spans="1:22" x14ac:dyDescent="0.25">
      <c r="A15" s="49">
        <f>+'A) Base RI'!A16</f>
        <v>5410</v>
      </c>
      <c r="B15" s="446" t="str">
        <f>+'A) Base RI'!B16</f>
        <v>Ormont-Dessous</v>
      </c>
      <c r="C15" s="296">
        <f>+'D) Ecrêtage'!C15</f>
        <v>38614.348051948051</v>
      </c>
      <c r="D15" s="421">
        <v>266385</v>
      </c>
      <c r="E15" s="421">
        <f t="shared" si="0"/>
        <v>1530409</v>
      </c>
      <c r="F15" s="541">
        <f t="shared" si="4"/>
        <v>39.633169461805601</v>
      </c>
      <c r="G15" s="421">
        <v>1796794</v>
      </c>
      <c r="H15" s="421">
        <v>114704</v>
      </c>
      <c r="I15" s="419">
        <v>71172</v>
      </c>
      <c r="J15" s="296">
        <f t="shared" si="5"/>
        <v>1982670</v>
      </c>
      <c r="K15" s="276">
        <f t="shared" si="1"/>
        <v>308914.78441558441</v>
      </c>
      <c r="L15" s="10">
        <f t="shared" si="6"/>
        <v>1673755.2155844155</v>
      </c>
      <c r="M15" s="293">
        <f t="shared" si="7"/>
        <v>-1255316.4116883115</v>
      </c>
      <c r="N15" s="10">
        <v>0</v>
      </c>
      <c r="O15" s="10">
        <f t="shared" si="8"/>
        <v>100560</v>
      </c>
      <c r="P15" s="423">
        <v>100560</v>
      </c>
      <c r="Q15" s="10">
        <f t="shared" si="2"/>
        <v>38614.348051948051</v>
      </c>
      <c r="R15" s="14">
        <f t="shared" si="9"/>
        <v>61945.651948051949</v>
      </c>
      <c r="S15" s="2">
        <f t="shared" si="10"/>
        <v>-46459.238961038965</v>
      </c>
      <c r="T15" s="129">
        <f t="shared" si="11"/>
        <v>-1301775.6506493504</v>
      </c>
      <c r="U15" s="418">
        <f t="shared" si="3"/>
        <v>-33.712226576972526</v>
      </c>
      <c r="V15" s="125"/>
    </row>
    <row r="16" spans="1:22" x14ac:dyDescent="0.25">
      <c r="A16" s="49">
        <f>+'A) Base RI'!A17</f>
        <v>5411</v>
      </c>
      <c r="B16" s="446" t="str">
        <f>+'A) Base RI'!B17</f>
        <v>Ormont-Dessus</v>
      </c>
      <c r="C16" s="296">
        <f>+'D) Ecrêtage'!C16</f>
        <v>77411.411228070181</v>
      </c>
      <c r="D16" s="421">
        <v>265757</v>
      </c>
      <c r="E16" s="421">
        <f t="shared" si="0"/>
        <v>1300129</v>
      </c>
      <c r="F16" s="541">
        <f t="shared" si="4"/>
        <v>16.795056172914204</v>
      </c>
      <c r="G16" s="421">
        <v>1565886</v>
      </c>
      <c r="H16" s="421">
        <v>215909</v>
      </c>
      <c r="I16" s="419">
        <v>77589</v>
      </c>
      <c r="J16" s="296">
        <f t="shared" si="5"/>
        <v>1859384</v>
      </c>
      <c r="K16" s="276">
        <f t="shared" si="1"/>
        <v>619291.28982456145</v>
      </c>
      <c r="L16" s="10">
        <f t="shared" si="6"/>
        <v>1240092.7101754386</v>
      </c>
      <c r="M16" s="293">
        <f t="shared" si="7"/>
        <v>-930069.53263157886</v>
      </c>
      <c r="N16" s="10">
        <v>0</v>
      </c>
      <c r="O16" s="10">
        <f t="shared" si="8"/>
        <v>113230</v>
      </c>
      <c r="P16" s="423">
        <v>113230</v>
      </c>
      <c r="Q16" s="10">
        <f t="shared" si="2"/>
        <v>77411.411228070181</v>
      </c>
      <c r="R16" s="14">
        <f t="shared" si="9"/>
        <v>35818.588771929819</v>
      </c>
      <c r="S16" s="2">
        <f t="shared" si="10"/>
        <v>-26863.941578947364</v>
      </c>
      <c r="T16" s="129">
        <f t="shared" si="11"/>
        <v>-956933.47421052621</v>
      </c>
      <c r="U16" s="418">
        <f t="shared" si="3"/>
        <v>-12.361659076220693</v>
      </c>
      <c r="V16" s="125"/>
    </row>
    <row r="17" spans="1:22" x14ac:dyDescent="0.25">
      <c r="A17" s="49">
        <f>+'A) Base RI'!A18</f>
        <v>5412</v>
      </c>
      <c r="B17" s="446" t="str">
        <f>+'A) Base RI'!B18</f>
        <v>Rennaz</v>
      </c>
      <c r="C17" s="296">
        <f>+'D) Ecrêtage'!C17</f>
        <v>28875.999420289856</v>
      </c>
      <c r="D17" s="421">
        <v>49427</v>
      </c>
      <c r="E17" s="421">
        <f t="shared" si="0"/>
        <v>199263</v>
      </c>
      <c r="F17" s="541">
        <f t="shared" si="4"/>
        <v>6.9006442720727765</v>
      </c>
      <c r="G17" s="421">
        <v>248690</v>
      </c>
      <c r="H17" s="421">
        <v>64813</v>
      </c>
      <c r="I17" s="419">
        <v>27082</v>
      </c>
      <c r="J17" s="296">
        <f t="shared" si="5"/>
        <v>340585</v>
      </c>
      <c r="K17" s="276">
        <f t="shared" si="1"/>
        <v>231007.99536231885</v>
      </c>
      <c r="L17" s="10">
        <f t="shared" si="6"/>
        <v>109577.00463768115</v>
      </c>
      <c r="M17" s="293">
        <f t="shared" si="7"/>
        <v>-82182.753478260856</v>
      </c>
      <c r="N17" s="10">
        <v>0</v>
      </c>
      <c r="O17" s="10">
        <f t="shared" si="8"/>
        <v>41799</v>
      </c>
      <c r="P17" s="423">
        <v>41799</v>
      </c>
      <c r="Q17" s="10">
        <f t="shared" si="2"/>
        <v>28875.999420289856</v>
      </c>
      <c r="R17" s="14">
        <f t="shared" si="9"/>
        <v>12923.000579710144</v>
      </c>
      <c r="S17" s="2">
        <f t="shared" si="10"/>
        <v>-9692.250434782607</v>
      </c>
      <c r="T17" s="129">
        <f t="shared" si="11"/>
        <v>-91875.00391304346</v>
      </c>
      <c r="U17" s="418">
        <f t="shared" si="3"/>
        <v>-3.1817081921842352</v>
      </c>
      <c r="V17" s="125"/>
    </row>
    <row r="18" spans="1:22" x14ac:dyDescent="0.25">
      <c r="A18" s="49">
        <f>+'A) Base RI'!A19</f>
        <v>5413</v>
      </c>
      <c r="B18" s="446" t="str">
        <f>+'A) Base RI'!B19</f>
        <v>Roche</v>
      </c>
      <c r="C18" s="296">
        <f>+'D) Ecrêtage'!C18</f>
        <v>43148.541249999987</v>
      </c>
      <c r="D18" s="421">
        <v>45901</v>
      </c>
      <c r="E18" s="421">
        <f t="shared" si="0"/>
        <v>163513</v>
      </c>
      <c r="F18" s="541">
        <f t="shared" si="4"/>
        <v>3.7895371491846217</v>
      </c>
      <c r="G18" s="421">
        <v>209414</v>
      </c>
      <c r="H18" s="421">
        <v>181583</v>
      </c>
      <c r="I18" s="419">
        <v>61945</v>
      </c>
      <c r="J18" s="296">
        <f t="shared" si="5"/>
        <v>452942</v>
      </c>
      <c r="K18" s="276">
        <f t="shared" si="1"/>
        <v>345188.3299999999</v>
      </c>
      <c r="L18" s="10">
        <f t="shared" si="6"/>
        <v>107753.6700000001</v>
      </c>
      <c r="M18" s="293">
        <f t="shared" si="7"/>
        <v>-80815.252500000075</v>
      </c>
      <c r="N18" s="10">
        <v>1494</v>
      </c>
      <c r="O18" s="10">
        <f t="shared" si="8"/>
        <v>15960</v>
      </c>
      <c r="P18" s="423">
        <v>17454</v>
      </c>
      <c r="Q18" s="10">
        <f t="shared" si="2"/>
        <v>43148.541249999987</v>
      </c>
      <c r="R18" s="14">
        <f t="shared" si="9"/>
        <v>0</v>
      </c>
      <c r="S18" s="2">
        <f t="shared" si="10"/>
        <v>0</v>
      </c>
      <c r="T18" s="129">
        <f t="shared" si="11"/>
        <v>-80815.252500000075</v>
      </c>
      <c r="U18" s="418">
        <f t="shared" si="3"/>
        <v>-1.8729544535877003</v>
      </c>
      <c r="V18" s="125"/>
    </row>
    <row r="19" spans="1:22" x14ac:dyDescent="0.25">
      <c r="A19" s="49">
        <f>+'A) Base RI'!A20</f>
        <v>5414</v>
      </c>
      <c r="B19" s="446" t="str">
        <f>+'A) Base RI'!B20</f>
        <v>Villeneuve</v>
      </c>
      <c r="C19" s="296">
        <f>+'D) Ecrêtage'!C19</f>
        <v>185712.20711111111</v>
      </c>
      <c r="D19" s="421">
        <v>582907</v>
      </c>
      <c r="E19" s="421">
        <f t="shared" si="0"/>
        <v>2051218</v>
      </c>
      <c r="F19" s="541">
        <f t="shared" si="4"/>
        <v>11.045143622533988</v>
      </c>
      <c r="G19" s="421">
        <v>2634125</v>
      </c>
      <c r="H19" s="421">
        <v>1612658</v>
      </c>
      <c r="I19" s="419">
        <v>169154</v>
      </c>
      <c r="J19" s="296">
        <f t="shared" si="5"/>
        <v>4415937</v>
      </c>
      <c r="K19" s="276">
        <f t="shared" si="1"/>
        <v>1485697.6568888889</v>
      </c>
      <c r="L19" s="10">
        <f t="shared" si="6"/>
        <v>2930239.3431111109</v>
      </c>
      <c r="M19" s="293">
        <f t="shared" si="7"/>
        <v>-2197679.5073333331</v>
      </c>
      <c r="N19" s="10">
        <v>0</v>
      </c>
      <c r="O19" s="10">
        <f t="shared" si="8"/>
        <v>376784</v>
      </c>
      <c r="P19" s="423">
        <v>376784</v>
      </c>
      <c r="Q19" s="10">
        <f t="shared" si="2"/>
        <v>185712.20711111111</v>
      </c>
      <c r="R19" s="14">
        <f t="shared" si="9"/>
        <v>191071.79288888889</v>
      </c>
      <c r="S19" s="2">
        <f t="shared" si="10"/>
        <v>-143303.84466666667</v>
      </c>
      <c r="T19" s="129">
        <f t="shared" si="11"/>
        <v>-2340983.352</v>
      </c>
      <c r="U19" s="418">
        <f t="shared" si="3"/>
        <v>-12.605436058381429</v>
      </c>
      <c r="V19" s="125"/>
    </row>
    <row r="20" spans="1:22" x14ac:dyDescent="0.25">
      <c r="A20" s="49">
        <f>+'A) Base RI'!A21</f>
        <v>5415</v>
      </c>
      <c r="B20" s="446" t="str">
        <f>+'A) Base RI'!B21</f>
        <v>Yvorne</v>
      </c>
      <c r="C20" s="296">
        <f>+'D) Ecrêtage'!C20</f>
        <v>35910.274638694631</v>
      </c>
      <c r="D20" s="421">
        <v>38892</v>
      </c>
      <c r="E20" s="421">
        <f t="shared" si="0"/>
        <v>263259</v>
      </c>
      <c r="F20" s="541">
        <f t="shared" si="4"/>
        <v>7.3310216267833503</v>
      </c>
      <c r="G20" s="421">
        <v>302151</v>
      </c>
      <c r="H20" s="421">
        <v>78009</v>
      </c>
      <c r="I20" s="419">
        <v>170130</v>
      </c>
      <c r="J20" s="296">
        <f t="shared" si="5"/>
        <v>550290</v>
      </c>
      <c r="K20" s="276">
        <f t="shared" si="1"/>
        <v>287282.19710955705</v>
      </c>
      <c r="L20" s="10">
        <f t="shared" si="6"/>
        <v>263007.80289044295</v>
      </c>
      <c r="M20" s="293">
        <f t="shared" si="7"/>
        <v>-197255.8521678322</v>
      </c>
      <c r="N20" s="10">
        <v>0</v>
      </c>
      <c r="O20" s="10">
        <f t="shared" si="8"/>
        <v>71814</v>
      </c>
      <c r="P20" s="423">
        <v>71814</v>
      </c>
      <c r="Q20" s="10">
        <f t="shared" si="2"/>
        <v>35910.274638694631</v>
      </c>
      <c r="R20" s="14">
        <f t="shared" si="9"/>
        <v>35903.725361305369</v>
      </c>
      <c r="S20" s="2">
        <f t="shared" si="10"/>
        <v>-26927.794020979025</v>
      </c>
      <c r="T20" s="129">
        <f t="shared" si="11"/>
        <v>-224183.64618881122</v>
      </c>
      <c r="U20" s="418">
        <f t="shared" si="3"/>
        <v>-6.2428830869270255</v>
      </c>
      <c r="V20" s="125"/>
    </row>
    <row r="21" spans="1:22" x14ac:dyDescent="0.25">
      <c r="A21" s="49">
        <f>+'A) Base RI'!A22</f>
        <v>5421</v>
      </c>
      <c r="B21" s="446" t="str">
        <f>+'A) Base RI'!B22</f>
        <v>Apples</v>
      </c>
      <c r="C21" s="296">
        <f>+'D) Ecrêtage'!C21</f>
        <v>68531.648243243253</v>
      </c>
      <c r="D21" s="421">
        <v>224044</v>
      </c>
      <c r="E21" s="421">
        <f t="shared" si="0"/>
        <v>298815</v>
      </c>
      <c r="F21" s="541">
        <f t="shared" si="4"/>
        <v>4.3602482598900734</v>
      </c>
      <c r="G21" s="421">
        <v>522859</v>
      </c>
      <c r="H21" s="421">
        <v>144442</v>
      </c>
      <c r="I21" s="419">
        <v>229319</v>
      </c>
      <c r="J21" s="296">
        <f t="shared" si="5"/>
        <v>896620</v>
      </c>
      <c r="K21" s="276">
        <f t="shared" si="1"/>
        <v>548253.18594594602</v>
      </c>
      <c r="L21" s="10">
        <f t="shared" si="6"/>
        <v>348366.81405405398</v>
      </c>
      <c r="M21" s="293">
        <f t="shared" si="7"/>
        <v>-261275.11054054048</v>
      </c>
      <c r="N21" s="10">
        <v>0</v>
      </c>
      <c r="O21" s="10">
        <f t="shared" si="8"/>
        <v>118463</v>
      </c>
      <c r="P21" s="423">
        <v>118463</v>
      </c>
      <c r="Q21" s="10">
        <f t="shared" si="2"/>
        <v>68531.648243243253</v>
      </c>
      <c r="R21" s="14">
        <f t="shared" si="9"/>
        <v>49931.351756756747</v>
      </c>
      <c r="S21" s="2">
        <f t="shared" si="10"/>
        <v>-37448.51381756756</v>
      </c>
      <c r="T21" s="129">
        <f t="shared" si="11"/>
        <v>-298723.62435810803</v>
      </c>
      <c r="U21" s="418">
        <f t="shared" si="3"/>
        <v>-4.3589149249384951</v>
      </c>
      <c r="V21" s="125"/>
    </row>
    <row r="22" spans="1:22" x14ac:dyDescent="0.25">
      <c r="A22" s="49">
        <f>+'A) Base RI'!A23</f>
        <v>5422</v>
      </c>
      <c r="B22" s="446" t="str">
        <f>+'A) Base RI'!B23</f>
        <v>Aubonne</v>
      </c>
      <c r="C22" s="296">
        <f>+'D) Ecrêtage'!C22</f>
        <v>364706.48499999999</v>
      </c>
      <c r="D22" s="421">
        <v>225588</v>
      </c>
      <c r="E22" s="421">
        <f t="shared" si="0"/>
        <v>1322665</v>
      </c>
      <c r="F22" s="541">
        <f t="shared" si="4"/>
        <v>3.6266561040174539</v>
      </c>
      <c r="G22" s="421">
        <v>1548253</v>
      </c>
      <c r="H22" s="421">
        <v>164487</v>
      </c>
      <c r="I22" s="419">
        <v>371253</v>
      </c>
      <c r="J22" s="296">
        <f t="shared" si="5"/>
        <v>2083993</v>
      </c>
      <c r="K22" s="276">
        <f t="shared" si="1"/>
        <v>2917651.88</v>
      </c>
      <c r="L22" s="10">
        <f t="shared" si="6"/>
        <v>0</v>
      </c>
      <c r="M22" s="293">
        <f t="shared" si="7"/>
        <v>0</v>
      </c>
      <c r="N22" s="10">
        <v>0</v>
      </c>
      <c r="O22" s="10">
        <f t="shared" si="8"/>
        <v>18703</v>
      </c>
      <c r="P22" s="423">
        <v>18703</v>
      </c>
      <c r="Q22" s="10">
        <f t="shared" si="2"/>
        <v>364706.48499999999</v>
      </c>
      <c r="R22" s="14">
        <f t="shared" si="9"/>
        <v>0</v>
      </c>
      <c r="S22" s="2">
        <f t="shared" si="10"/>
        <v>0</v>
      </c>
      <c r="T22" s="129">
        <f t="shared" si="11"/>
        <v>0</v>
      </c>
      <c r="U22" s="418">
        <f t="shared" si="3"/>
        <v>0</v>
      </c>
      <c r="V22" s="125"/>
    </row>
    <row r="23" spans="1:22" x14ac:dyDescent="0.25">
      <c r="A23" s="49">
        <f>+'A) Base RI'!A24</f>
        <v>5423</v>
      </c>
      <c r="B23" s="446" t="str">
        <f>+'A) Base RI'!B24</f>
        <v>Ballens</v>
      </c>
      <c r="C23" s="296">
        <f>+'D) Ecrêtage'!C23</f>
        <v>16194.440273972601</v>
      </c>
      <c r="D23" s="421">
        <v>39559</v>
      </c>
      <c r="E23" s="421">
        <f t="shared" si="0"/>
        <v>64880</v>
      </c>
      <c r="F23" s="541">
        <f t="shared" si="4"/>
        <v>4.0063132101128502</v>
      </c>
      <c r="G23" s="421">
        <v>104439</v>
      </c>
      <c r="H23" s="421">
        <v>55715</v>
      </c>
      <c r="I23" s="419">
        <v>80067</v>
      </c>
      <c r="J23" s="296">
        <f t="shared" si="5"/>
        <v>240221</v>
      </c>
      <c r="K23" s="276">
        <f t="shared" si="1"/>
        <v>129555.52219178081</v>
      </c>
      <c r="L23" s="10">
        <f t="shared" si="6"/>
        <v>110665.47780821919</v>
      </c>
      <c r="M23" s="293">
        <f t="shared" si="7"/>
        <v>-82999.10835616439</v>
      </c>
      <c r="N23" s="10">
        <v>0</v>
      </c>
      <c r="O23" s="10">
        <f t="shared" si="8"/>
        <v>13821</v>
      </c>
      <c r="P23" s="423">
        <v>13821</v>
      </c>
      <c r="Q23" s="10">
        <f t="shared" si="2"/>
        <v>16194.440273972601</v>
      </c>
      <c r="R23" s="14">
        <f t="shared" si="9"/>
        <v>0</v>
      </c>
      <c r="S23" s="2">
        <f t="shared" si="10"/>
        <v>0</v>
      </c>
      <c r="T23" s="129">
        <f t="shared" si="11"/>
        <v>-82999.10835616439</v>
      </c>
      <c r="U23" s="418">
        <f t="shared" si="3"/>
        <v>-5.1251606694650009</v>
      </c>
      <c r="V23" s="125"/>
    </row>
    <row r="24" spans="1:22" x14ac:dyDescent="0.25">
      <c r="A24" s="49">
        <f>+'A) Base RI'!A25</f>
        <v>5424</v>
      </c>
      <c r="B24" s="446" t="str">
        <f>+'A) Base RI'!B25</f>
        <v>Berolle</v>
      </c>
      <c r="C24" s="296">
        <f>+'D) Ecrêtage'!C24</f>
        <v>8301.8684768211915</v>
      </c>
      <c r="D24" s="421">
        <v>21357</v>
      </c>
      <c r="E24" s="421">
        <f t="shared" si="0"/>
        <v>59916</v>
      </c>
      <c r="F24" s="541">
        <f t="shared" si="4"/>
        <v>7.2171704679838538</v>
      </c>
      <c r="G24" s="421">
        <v>81273</v>
      </c>
      <c r="H24" s="421">
        <v>13034</v>
      </c>
      <c r="I24" s="419">
        <v>49153</v>
      </c>
      <c r="J24" s="296">
        <f t="shared" si="5"/>
        <v>143460</v>
      </c>
      <c r="K24" s="276">
        <f t="shared" si="1"/>
        <v>66414.947814569532</v>
      </c>
      <c r="L24" s="10">
        <f t="shared" si="6"/>
        <v>77045.052185430468</v>
      </c>
      <c r="M24" s="293">
        <f t="shared" si="7"/>
        <v>-57783.789139072847</v>
      </c>
      <c r="N24" s="10">
        <v>22881</v>
      </c>
      <c r="O24" s="10">
        <f t="shared" si="8"/>
        <v>8018</v>
      </c>
      <c r="P24" s="423">
        <v>30899</v>
      </c>
      <c r="Q24" s="10">
        <f t="shared" si="2"/>
        <v>8301.8684768211915</v>
      </c>
      <c r="R24" s="14">
        <f t="shared" si="9"/>
        <v>22597.13152317881</v>
      </c>
      <c r="S24" s="2">
        <f t="shared" si="10"/>
        <v>-16947.84864238411</v>
      </c>
      <c r="T24" s="129">
        <f t="shared" si="11"/>
        <v>-74731.637781456957</v>
      </c>
      <c r="U24" s="418">
        <f t="shared" si="3"/>
        <v>-9.0017853197876612</v>
      </c>
      <c r="V24" s="125"/>
    </row>
    <row r="25" spans="1:22" x14ac:dyDescent="0.25">
      <c r="A25" s="49">
        <f>+'A) Base RI'!A26</f>
        <v>5425</v>
      </c>
      <c r="B25" s="446" t="str">
        <f>+'A) Base RI'!B26</f>
        <v>Bière</v>
      </c>
      <c r="C25" s="296">
        <f>+'D) Ecrêtage'!C25</f>
        <v>44230.498130934531</v>
      </c>
      <c r="D25" s="421">
        <v>161611</v>
      </c>
      <c r="E25" s="421">
        <f t="shared" si="0"/>
        <v>471012</v>
      </c>
      <c r="F25" s="541">
        <f t="shared" si="4"/>
        <v>10.649032226715466</v>
      </c>
      <c r="G25" s="421">
        <v>632623</v>
      </c>
      <c r="H25" s="421">
        <v>320161</v>
      </c>
      <c r="I25" s="419">
        <v>245333</v>
      </c>
      <c r="J25" s="296">
        <f t="shared" si="5"/>
        <v>1198117</v>
      </c>
      <c r="K25" s="276">
        <f t="shared" si="1"/>
        <v>353843.98504747625</v>
      </c>
      <c r="L25" s="10">
        <f t="shared" si="6"/>
        <v>844273.01495252375</v>
      </c>
      <c r="M25" s="293">
        <f t="shared" si="7"/>
        <v>-633204.76121439284</v>
      </c>
      <c r="N25" s="10">
        <v>0</v>
      </c>
      <c r="O25" s="10">
        <f t="shared" si="8"/>
        <v>194792</v>
      </c>
      <c r="P25" s="423">
        <v>194792</v>
      </c>
      <c r="Q25" s="10">
        <f t="shared" si="2"/>
        <v>44230.498130934531</v>
      </c>
      <c r="R25" s="14">
        <f t="shared" si="9"/>
        <v>150561.50186906545</v>
      </c>
      <c r="S25" s="2">
        <f t="shared" si="10"/>
        <v>-112921.12640179909</v>
      </c>
      <c r="T25" s="129">
        <f t="shared" si="11"/>
        <v>-746125.88761619199</v>
      </c>
      <c r="U25" s="418">
        <f t="shared" si="3"/>
        <v>-16.869036505251479</v>
      </c>
      <c r="V25" s="125"/>
    </row>
    <row r="26" spans="1:22" x14ac:dyDescent="0.25">
      <c r="A26" s="49">
        <f>+'A) Base RI'!A27</f>
        <v>5426</v>
      </c>
      <c r="B26" s="446" t="str">
        <f>+'A) Base RI'!B27</f>
        <v>Bougy-Villars</v>
      </c>
      <c r="C26" s="296">
        <f>+'D) Ecrêtage'!C26</f>
        <v>53043.718423772611</v>
      </c>
      <c r="D26" s="421">
        <v>0</v>
      </c>
      <c r="E26" s="421">
        <f t="shared" si="0"/>
        <v>0</v>
      </c>
      <c r="F26" s="541">
        <f t="shared" si="4"/>
        <v>0</v>
      </c>
      <c r="G26" s="421">
        <v>0</v>
      </c>
      <c r="H26" s="421">
        <v>0</v>
      </c>
      <c r="I26" s="419">
        <v>0</v>
      </c>
      <c r="J26" s="296">
        <f t="shared" si="5"/>
        <v>0</v>
      </c>
      <c r="K26" s="276">
        <f t="shared" si="1"/>
        <v>424349.74739018088</v>
      </c>
      <c r="L26" s="10">
        <f t="shared" si="6"/>
        <v>0</v>
      </c>
      <c r="M26" s="293">
        <f t="shared" si="7"/>
        <v>0</v>
      </c>
      <c r="N26" s="10">
        <v>0</v>
      </c>
      <c r="O26" s="10">
        <f t="shared" si="8"/>
        <v>0</v>
      </c>
      <c r="P26" s="423">
        <v>0</v>
      </c>
      <c r="Q26" s="10">
        <f t="shared" si="2"/>
        <v>53043.718423772611</v>
      </c>
      <c r="R26" s="14">
        <f t="shared" si="9"/>
        <v>0</v>
      </c>
      <c r="S26" s="2">
        <f t="shared" si="10"/>
        <v>0</v>
      </c>
      <c r="T26" s="129">
        <f t="shared" si="11"/>
        <v>0</v>
      </c>
      <c r="U26" s="418">
        <f t="shared" si="3"/>
        <v>0</v>
      </c>
      <c r="V26" s="125"/>
    </row>
    <row r="27" spans="1:22" x14ac:dyDescent="0.25">
      <c r="A27" s="49">
        <f>+'A) Base RI'!A28</f>
        <v>5427</v>
      </c>
      <c r="B27" s="446" t="str">
        <f>+'A) Base RI'!B28</f>
        <v>Féchy</v>
      </c>
      <c r="C27" s="296">
        <f>+'D) Ecrêtage'!C27</f>
        <v>88215.323569711545</v>
      </c>
      <c r="D27" s="421">
        <v>0</v>
      </c>
      <c r="E27" s="421">
        <f t="shared" si="0"/>
        <v>0</v>
      </c>
      <c r="F27" s="541">
        <f t="shared" si="4"/>
        <v>0</v>
      </c>
      <c r="G27" s="421">
        <v>0</v>
      </c>
      <c r="H27" s="421">
        <v>0</v>
      </c>
      <c r="I27" s="419">
        <v>0</v>
      </c>
      <c r="J27" s="296">
        <f t="shared" si="5"/>
        <v>0</v>
      </c>
      <c r="K27" s="276">
        <f t="shared" si="1"/>
        <v>705722.58855769236</v>
      </c>
      <c r="L27" s="10">
        <f t="shared" si="6"/>
        <v>0</v>
      </c>
      <c r="M27" s="293">
        <f t="shared" si="7"/>
        <v>0</v>
      </c>
      <c r="N27" s="10">
        <v>0</v>
      </c>
      <c r="O27" s="10">
        <f t="shared" si="8"/>
        <v>0</v>
      </c>
      <c r="P27" s="423">
        <v>0</v>
      </c>
      <c r="Q27" s="10">
        <f t="shared" si="2"/>
        <v>88215.323569711545</v>
      </c>
      <c r="R27" s="14">
        <f t="shared" si="9"/>
        <v>0</v>
      </c>
      <c r="S27" s="2">
        <f t="shared" si="10"/>
        <v>0</v>
      </c>
      <c r="T27" s="129">
        <f t="shared" si="11"/>
        <v>0</v>
      </c>
      <c r="U27" s="418">
        <f t="shared" si="3"/>
        <v>0</v>
      </c>
      <c r="V27" s="125"/>
    </row>
    <row r="28" spans="1:22" x14ac:dyDescent="0.25">
      <c r="A28" s="49">
        <f>+'A) Base RI'!A29</f>
        <v>5428</v>
      </c>
      <c r="B28" s="446" t="str">
        <f>+'A) Base RI'!B29</f>
        <v>Gimel</v>
      </c>
      <c r="C28" s="296">
        <f>+'D) Ecrêtage'!C28</f>
        <v>70558.698881431759</v>
      </c>
      <c r="D28" s="421">
        <v>240024</v>
      </c>
      <c r="E28" s="421">
        <f t="shared" si="0"/>
        <v>542727</v>
      </c>
      <c r="F28" s="541">
        <f t="shared" si="4"/>
        <v>7.6918510205525363</v>
      </c>
      <c r="G28" s="421">
        <v>782751</v>
      </c>
      <c r="H28" s="421">
        <v>111430</v>
      </c>
      <c r="I28" s="419">
        <v>244512</v>
      </c>
      <c r="J28" s="296">
        <f t="shared" si="5"/>
        <v>1138693</v>
      </c>
      <c r="K28" s="276">
        <f t="shared" si="1"/>
        <v>564469.59105145407</v>
      </c>
      <c r="L28" s="10">
        <f t="shared" si="6"/>
        <v>574223.40894854593</v>
      </c>
      <c r="M28" s="293">
        <f t="shared" si="7"/>
        <v>-430667.55671140947</v>
      </c>
      <c r="N28" s="10">
        <v>0</v>
      </c>
      <c r="O28" s="10">
        <f t="shared" si="8"/>
        <v>253604</v>
      </c>
      <c r="P28" s="423">
        <v>253604</v>
      </c>
      <c r="Q28" s="10">
        <f t="shared" si="2"/>
        <v>70558.698881431759</v>
      </c>
      <c r="R28" s="14">
        <f t="shared" si="9"/>
        <v>183045.30111856823</v>
      </c>
      <c r="S28" s="387">
        <f t="shared" si="10"/>
        <v>-137283.97583892616</v>
      </c>
      <c r="T28" s="129">
        <f t="shared" si="11"/>
        <v>-567951.53255033563</v>
      </c>
      <c r="U28" s="418">
        <f t="shared" si="3"/>
        <v>-8.0493481534393467</v>
      </c>
      <c r="V28" s="125"/>
    </row>
    <row r="29" spans="1:22" x14ac:dyDescent="0.25">
      <c r="A29" s="49">
        <f>+'A) Base RI'!A30</f>
        <v>5429</v>
      </c>
      <c r="B29" s="446" t="str">
        <f>+'A) Base RI'!B30</f>
        <v>Longirod</v>
      </c>
      <c r="C29" s="296">
        <f>+'D) Ecrêtage'!C29</f>
        <v>18574.452387096771</v>
      </c>
      <c r="D29" s="421">
        <v>4161</v>
      </c>
      <c r="E29" s="421">
        <f t="shared" si="0"/>
        <v>186710</v>
      </c>
      <c r="F29" s="541">
        <f t="shared" si="4"/>
        <v>10.051978712960764</v>
      </c>
      <c r="G29" s="421">
        <v>190871</v>
      </c>
      <c r="H29" s="421">
        <v>21588</v>
      </c>
      <c r="I29" s="419">
        <v>46843</v>
      </c>
      <c r="J29" s="296">
        <f t="shared" si="5"/>
        <v>259302</v>
      </c>
      <c r="K29" s="276">
        <f t="shared" si="1"/>
        <v>148595.61909677417</v>
      </c>
      <c r="L29" s="10">
        <f t="shared" si="6"/>
        <v>110706.38090322583</v>
      </c>
      <c r="M29" s="293">
        <f t="shared" si="7"/>
        <v>-83029.785677419364</v>
      </c>
      <c r="N29" s="10">
        <v>0</v>
      </c>
      <c r="O29" s="10">
        <f t="shared" si="8"/>
        <v>26814</v>
      </c>
      <c r="P29" s="423">
        <v>26814</v>
      </c>
      <c r="Q29" s="10">
        <f t="shared" si="2"/>
        <v>18574.452387096771</v>
      </c>
      <c r="R29" s="14">
        <f t="shared" si="9"/>
        <v>8239.5476129032286</v>
      </c>
      <c r="S29" s="2">
        <f t="shared" si="10"/>
        <v>-6179.6607096774214</v>
      </c>
      <c r="T29" s="129">
        <f t="shared" si="11"/>
        <v>-89209.446387096788</v>
      </c>
      <c r="U29" s="418">
        <f t="shared" si="3"/>
        <v>-4.8028035781592386</v>
      </c>
      <c r="V29" s="125"/>
    </row>
    <row r="30" spans="1:22" s="393" customFormat="1" x14ac:dyDescent="0.25">
      <c r="A30" s="49">
        <f>+'A) Base RI'!A31</f>
        <v>5430</v>
      </c>
      <c r="B30" s="446" t="str">
        <f>+'A) Base RI'!B31</f>
        <v>Marchissy</v>
      </c>
      <c r="C30" s="421">
        <f>+'D) Ecrêtage'!C30</f>
        <v>15580.981548387101</v>
      </c>
      <c r="D30" s="421">
        <v>47590</v>
      </c>
      <c r="E30" s="421">
        <f t="shared" si="0"/>
        <v>92589</v>
      </c>
      <c r="F30" s="541">
        <f t="shared" si="4"/>
        <v>5.9424369198091087</v>
      </c>
      <c r="G30" s="421">
        <f>161852-21673</f>
        <v>140179</v>
      </c>
      <c r="H30" s="421">
        <v>21020</v>
      </c>
      <c r="I30" s="419">
        <v>44021</v>
      </c>
      <c r="J30" s="421">
        <f t="shared" si="5"/>
        <v>205220</v>
      </c>
      <c r="K30" s="419">
        <f t="shared" si="1"/>
        <v>124647.85238709681</v>
      </c>
      <c r="L30" s="10">
        <f t="shared" si="6"/>
        <v>80572.147612903194</v>
      </c>
      <c r="M30" s="293">
        <f t="shared" si="7"/>
        <v>-60429.110709677392</v>
      </c>
      <c r="N30" s="10">
        <v>0</v>
      </c>
      <c r="O30" s="10">
        <f t="shared" si="8"/>
        <v>-1255</v>
      </c>
      <c r="P30" s="423">
        <v>-1255</v>
      </c>
      <c r="Q30" s="10">
        <f t="shared" si="2"/>
        <v>15580.981548387101</v>
      </c>
      <c r="R30" s="423">
        <f t="shared" si="9"/>
        <v>0</v>
      </c>
      <c r="S30" s="387">
        <f t="shared" si="10"/>
        <v>0</v>
      </c>
      <c r="T30" s="129">
        <f t="shared" si="11"/>
        <v>-60429.110709677392</v>
      </c>
      <c r="U30" s="428">
        <f t="shared" si="3"/>
        <v>-3.8783892094354506</v>
      </c>
      <c r="V30" s="125"/>
    </row>
    <row r="31" spans="1:22" x14ac:dyDescent="0.25">
      <c r="A31" s="49">
        <f>+'A) Base RI'!A32</f>
        <v>5431</v>
      </c>
      <c r="B31" s="446" t="str">
        <f>+'A) Base RI'!B32</f>
        <v>Mollens</v>
      </c>
      <c r="C31" s="296">
        <f>+'D) Ecrêtage'!C31</f>
        <v>10464.972567567567</v>
      </c>
      <c r="D31" s="421">
        <v>0</v>
      </c>
      <c r="E31" s="421">
        <f t="shared" si="0"/>
        <v>45203</v>
      </c>
      <c r="F31" s="541">
        <f t="shared" si="4"/>
        <v>4.3194570944304722</v>
      </c>
      <c r="G31" s="421">
        <v>45203</v>
      </c>
      <c r="H31" s="421">
        <v>13086</v>
      </c>
      <c r="I31" s="419">
        <v>41493</v>
      </c>
      <c r="J31" s="296">
        <f t="shared" si="5"/>
        <v>99782</v>
      </c>
      <c r="K31" s="276">
        <f t="shared" si="1"/>
        <v>83719.780540540538</v>
      </c>
      <c r="L31" s="10">
        <f t="shared" si="6"/>
        <v>16062.219459459462</v>
      </c>
      <c r="M31" s="293">
        <f t="shared" si="7"/>
        <v>-12046.664594594597</v>
      </c>
      <c r="N31" s="10">
        <v>0</v>
      </c>
      <c r="O31" s="10">
        <f t="shared" si="8"/>
        <v>45701</v>
      </c>
      <c r="P31" s="423">
        <v>45701</v>
      </c>
      <c r="Q31" s="10">
        <f t="shared" si="2"/>
        <v>10464.972567567567</v>
      </c>
      <c r="R31" s="14">
        <f t="shared" si="9"/>
        <v>35236.027432432435</v>
      </c>
      <c r="S31" s="2">
        <f t="shared" si="10"/>
        <v>-26427.020574324328</v>
      </c>
      <c r="T31" s="129">
        <f t="shared" si="11"/>
        <v>-38473.685168918921</v>
      </c>
      <c r="U31" s="418">
        <f t="shared" si="3"/>
        <v>-3.676424846841388</v>
      </c>
      <c r="V31" s="125"/>
    </row>
    <row r="32" spans="1:22" x14ac:dyDescent="0.25">
      <c r="A32" s="49">
        <f>+'A) Base RI'!A33</f>
        <v>5434</v>
      </c>
      <c r="B32" s="446" t="str">
        <f>+'A) Base RI'!B33</f>
        <v>Saint-George</v>
      </c>
      <c r="C32" s="296">
        <f>+'D) Ecrêtage'!C32</f>
        <v>43544.748513189443</v>
      </c>
      <c r="D32" s="421">
        <v>14491</v>
      </c>
      <c r="E32" s="421">
        <f t="shared" si="0"/>
        <v>263740</v>
      </c>
      <c r="F32" s="541">
        <f t="shared" si="4"/>
        <v>6.0567579100867865</v>
      </c>
      <c r="G32" s="421">
        <v>278231</v>
      </c>
      <c r="H32" s="421">
        <v>46934</v>
      </c>
      <c r="I32" s="419">
        <v>119682</v>
      </c>
      <c r="J32" s="296">
        <f t="shared" si="5"/>
        <v>444847</v>
      </c>
      <c r="K32" s="276">
        <f t="shared" si="1"/>
        <v>348357.98810551554</v>
      </c>
      <c r="L32" s="10">
        <f t="shared" si="6"/>
        <v>96489.011894484458</v>
      </c>
      <c r="M32" s="293">
        <f t="shared" si="7"/>
        <v>-72366.758920863344</v>
      </c>
      <c r="N32" s="10">
        <v>0</v>
      </c>
      <c r="O32" s="10">
        <f t="shared" si="8"/>
        <v>37134</v>
      </c>
      <c r="P32" s="423">
        <v>37134</v>
      </c>
      <c r="Q32" s="10">
        <f t="shared" si="2"/>
        <v>43544.748513189443</v>
      </c>
      <c r="R32" s="14">
        <f t="shared" si="9"/>
        <v>0</v>
      </c>
      <c r="S32" s="2">
        <f t="shared" si="10"/>
        <v>0</v>
      </c>
      <c r="T32" s="129">
        <f t="shared" si="11"/>
        <v>-72366.758920863344</v>
      </c>
      <c r="U32" s="418">
        <f t="shared" si="3"/>
        <v>-1.6618940605190058</v>
      </c>
      <c r="V32" s="125"/>
    </row>
    <row r="33" spans="1:22" x14ac:dyDescent="0.25">
      <c r="A33" s="49">
        <f>+'A) Base RI'!A34</f>
        <v>5435</v>
      </c>
      <c r="B33" s="446" t="str">
        <f>+'A) Base RI'!B34</f>
        <v>Saint-Livres</v>
      </c>
      <c r="C33" s="296">
        <f>+'D) Ecrêtage'!C33</f>
        <v>25854.309855072468</v>
      </c>
      <c r="D33" s="421">
        <v>0</v>
      </c>
      <c r="E33" s="421">
        <f t="shared" si="0"/>
        <v>97472</v>
      </c>
      <c r="F33" s="541">
        <f t="shared" si="4"/>
        <v>3.7700484192532624</v>
      </c>
      <c r="G33" s="421">
        <v>97472</v>
      </c>
      <c r="H33" s="421">
        <v>43811</v>
      </c>
      <c r="I33" s="419">
        <v>67471</v>
      </c>
      <c r="J33" s="296">
        <f t="shared" si="5"/>
        <v>208754</v>
      </c>
      <c r="K33" s="276">
        <f t="shared" si="1"/>
        <v>206834.47884057974</v>
      </c>
      <c r="L33" s="10">
        <f t="shared" si="6"/>
        <v>1919.5211594202556</v>
      </c>
      <c r="M33" s="293">
        <f t="shared" si="7"/>
        <v>-1439.6408695651917</v>
      </c>
      <c r="N33" s="10">
        <v>0</v>
      </c>
      <c r="O33" s="10">
        <f t="shared" si="8"/>
        <v>17893</v>
      </c>
      <c r="P33" s="423">
        <v>17893</v>
      </c>
      <c r="Q33" s="10">
        <f t="shared" si="2"/>
        <v>25854.309855072468</v>
      </c>
      <c r="R33" s="14">
        <f t="shared" si="9"/>
        <v>0</v>
      </c>
      <c r="S33" s="2">
        <f t="shared" si="10"/>
        <v>0</v>
      </c>
      <c r="T33" s="129">
        <f t="shared" si="11"/>
        <v>-1439.6408695651917</v>
      </c>
      <c r="U33" s="418">
        <f t="shared" si="3"/>
        <v>-5.568281952352104E-2</v>
      </c>
      <c r="V33" s="125"/>
    </row>
    <row r="34" spans="1:22" x14ac:dyDescent="0.25">
      <c r="A34" s="49">
        <f>+'A) Base RI'!A35</f>
        <v>5436</v>
      </c>
      <c r="B34" s="446" t="str">
        <f>+'A) Base RI'!B35</f>
        <v>Saint-Oyens</v>
      </c>
      <c r="C34" s="296">
        <f>+'D) Ecrêtage'!C34</f>
        <v>16868.339629629631</v>
      </c>
      <c r="D34" s="421">
        <v>0</v>
      </c>
      <c r="E34" s="421">
        <f t="shared" si="0"/>
        <v>0</v>
      </c>
      <c r="F34" s="541">
        <f t="shared" si="4"/>
        <v>0</v>
      </c>
      <c r="G34" s="421">
        <v>0</v>
      </c>
      <c r="H34" s="421">
        <v>0</v>
      </c>
      <c r="I34" s="419">
        <v>0</v>
      </c>
      <c r="J34" s="296">
        <f t="shared" si="5"/>
        <v>0</v>
      </c>
      <c r="K34" s="276">
        <f t="shared" si="1"/>
        <v>134946.71703703704</v>
      </c>
      <c r="L34" s="10">
        <f t="shared" si="6"/>
        <v>0</v>
      </c>
      <c r="M34" s="293">
        <f t="shared" si="7"/>
        <v>0</v>
      </c>
      <c r="N34" s="10">
        <v>0</v>
      </c>
      <c r="O34" s="10">
        <f t="shared" si="8"/>
        <v>0</v>
      </c>
      <c r="P34" s="423">
        <v>0</v>
      </c>
      <c r="Q34" s="10">
        <f t="shared" si="2"/>
        <v>16868.339629629631</v>
      </c>
      <c r="R34" s="14">
        <f t="shared" si="9"/>
        <v>0</v>
      </c>
      <c r="S34" s="2">
        <f t="shared" si="10"/>
        <v>0</v>
      </c>
      <c r="T34" s="129">
        <f t="shared" si="11"/>
        <v>0</v>
      </c>
      <c r="U34" s="418">
        <f t="shared" si="3"/>
        <v>0</v>
      </c>
      <c r="V34" s="125"/>
    </row>
    <row r="35" spans="1:22" x14ac:dyDescent="0.25">
      <c r="A35" s="49">
        <f>+'A) Base RI'!A36</f>
        <v>5437</v>
      </c>
      <c r="B35" s="446" t="str">
        <f>+'A) Base RI'!B36</f>
        <v>Saubraz</v>
      </c>
      <c r="C35" s="296">
        <f>+'D) Ecrêtage'!C35</f>
        <v>13551.757374999997</v>
      </c>
      <c r="D35" s="421">
        <v>0</v>
      </c>
      <c r="E35" s="421">
        <f t="shared" si="0"/>
        <v>525762</v>
      </c>
      <c r="F35" s="541">
        <f t="shared" si="4"/>
        <v>38.796591870063651</v>
      </c>
      <c r="G35" s="421">
        <v>525762</v>
      </c>
      <c r="H35" s="421">
        <v>12323</v>
      </c>
      <c r="I35" s="419">
        <v>46060</v>
      </c>
      <c r="J35" s="296">
        <f t="shared" si="5"/>
        <v>584145</v>
      </c>
      <c r="K35" s="276">
        <f t="shared" si="1"/>
        <v>108414.05899999998</v>
      </c>
      <c r="L35" s="10">
        <f t="shared" si="6"/>
        <v>475730.94099999999</v>
      </c>
      <c r="M35" s="293">
        <f t="shared" si="7"/>
        <v>-356798.20574999996</v>
      </c>
      <c r="N35" s="10">
        <v>0</v>
      </c>
      <c r="O35" s="10">
        <f t="shared" si="8"/>
        <v>9707</v>
      </c>
      <c r="P35" s="423">
        <v>9707</v>
      </c>
      <c r="Q35" s="10">
        <f t="shared" si="2"/>
        <v>13551.757374999997</v>
      </c>
      <c r="R35" s="14">
        <f t="shared" si="9"/>
        <v>0</v>
      </c>
      <c r="S35" s="2">
        <f t="shared" si="10"/>
        <v>0</v>
      </c>
      <c r="T35" s="129">
        <f t="shared" si="11"/>
        <v>-356798.20574999996</v>
      </c>
      <c r="U35" s="418">
        <f t="shared" si="3"/>
        <v>-26.32855620690302</v>
      </c>
      <c r="V35" s="125"/>
    </row>
    <row r="36" spans="1:22" x14ac:dyDescent="0.25">
      <c r="A36" s="49">
        <f>+'A) Base RI'!A37</f>
        <v>5451</v>
      </c>
      <c r="B36" s="446" t="str">
        <f>+'A) Base RI'!B37</f>
        <v>Avenches</v>
      </c>
      <c r="C36" s="296">
        <f>+'D) Ecrêtage'!C36</f>
        <v>137890.8513283208</v>
      </c>
      <c r="D36" s="421">
        <v>580891</v>
      </c>
      <c r="E36" s="421">
        <f t="shared" si="0"/>
        <v>1280197</v>
      </c>
      <c r="F36" s="541">
        <f t="shared" si="4"/>
        <v>9.2841329766818692</v>
      </c>
      <c r="G36" s="421">
        <v>1861088</v>
      </c>
      <c r="H36" s="421">
        <v>693477</v>
      </c>
      <c r="I36" s="419">
        <v>451330</v>
      </c>
      <c r="J36" s="296">
        <f t="shared" si="5"/>
        <v>3005895</v>
      </c>
      <c r="K36" s="276">
        <f t="shared" si="1"/>
        <v>1103126.8106265664</v>
      </c>
      <c r="L36" s="10">
        <f t="shared" si="6"/>
        <v>1902768.1893734336</v>
      </c>
      <c r="M36" s="293">
        <f t="shared" si="7"/>
        <v>-1427076.1420300752</v>
      </c>
      <c r="N36" s="10">
        <v>0</v>
      </c>
      <c r="O36" s="10">
        <f t="shared" si="8"/>
        <v>78927</v>
      </c>
      <c r="P36" s="423">
        <v>78927</v>
      </c>
      <c r="Q36" s="10">
        <f t="shared" si="2"/>
        <v>137890.8513283208</v>
      </c>
      <c r="R36" s="14">
        <f t="shared" si="9"/>
        <v>0</v>
      </c>
      <c r="S36" s="2">
        <f t="shared" si="10"/>
        <v>0</v>
      </c>
      <c r="T36" s="129">
        <f t="shared" si="11"/>
        <v>-1427076.1420300752</v>
      </c>
      <c r="U36" s="418">
        <f t="shared" si="3"/>
        <v>-10.349317074213859</v>
      </c>
      <c r="V36" s="125"/>
    </row>
    <row r="37" spans="1:22" x14ac:dyDescent="0.25">
      <c r="A37" s="49">
        <f>+'A) Base RI'!A38</f>
        <v>5456</v>
      </c>
      <c r="B37" s="446" t="str">
        <f>+'A) Base RI'!B38</f>
        <v>Cudrefin</v>
      </c>
      <c r="C37" s="296">
        <f>+'D) Ecrêtage'!C37</f>
        <v>64144.951694915253</v>
      </c>
      <c r="D37" s="421">
        <v>69229</v>
      </c>
      <c r="E37" s="421">
        <f t="shared" si="0"/>
        <v>537696</v>
      </c>
      <c r="F37" s="541">
        <f t="shared" si="4"/>
        <v>8.3825146919959863</v>
      </c>
      <c r="G37" s="421">
        <v>606925</v>
      </c>
      <c r="H37" s="421">
        <v>97215</v>
      </c>
      <c r="I37" s="419">
        <v>184588</v>
      </c>
      <c r="J37" s="296">
        <f t="shared" si="5"/>
        <v>888728</v>
      </c>
      <c r="K37" s="276">
        <f t="shared" si="1"/>
        <v>513159.61355932202</v>
      </c>
      <c r="L37" s="10">
        <f t="shared" si="6"/>
        <v>375568.38644067798</v>
      </c>
      <c r="M37" s="293">
        <f t="shared" si="7"/>
        <v>-281676.28983050847</v>
      </c>
      <c r="N37" s="10">
        <v>0</v>
      </c>
      <c r="O37" s="10">
        <f t="shared" si="8"/>
        <v>28239</v>
      </c>
      <c r="P37" s="423">
        <v>28239</v>
      </c>
      <c r="Q37" s="10">
        <f t="shared" si="2"/>
        <v>64144.951694915253</v>
      </c>
      <c r="R37" s="14">
        <f t="shared" si="9"/>
        <v>0</v>
      </c>
      <c r="S37" s="2">
        <f t="shared" si="10"/>
        <v>0</v>
      </c>
      <c r="T37" s="129">
        <f t="shared" si="11"/>
        <v>-281676.28983050847</v>
      </c>
      <c r="U37" s="418">
        <f t="shared" si="3"/>
        <v>-4.3912464252870711</v>
      </c>
      <c r="V37" s="125"/>
    </row>
    <row r="38" spans="1:22" x14ac:dyDescent="0.25">
      <c r="A38" s="49">
        <f>+'A) Base RI'!A39</f>
        <v>5458</v>
      </c>
      <c r="B38" s="446" t="str">
        <f>+'A) Base RI'!B39</f>
        <v>Faoug</v>
      </c>
      <c r="C38" s="296">
        <f>+'D) Ecrêtage'!C38</f>
        <v>34721.352769230762</v>
      </c>
      <c r="D38" s="421">
        <v>16757</v>
      </c>
      <c r="E38" s="421">
        <f t="shared" si="0"/>
        <v>277922</v>
      </c>
      <c r="F38" s="541">
        <f t="shared" si="4"/>
        <v>8.0043540309952412</v>
      </c>
      <c r="G38" s="421">
        <v>294679</v>
      </c>
      <c r="H38" s="421">
        <v>80194</v>
      </c>
      <c r="I38" s="419">
        <v>78827</v>
      </c>
      <c r="J38" s="296">
        <f t="shared" si="5"/>
        <v>453700</v>
      </c>
      <c r="K38" s="276">
        <f t="shared" si="1"/>
        <v>277770.82215384609</v>
      </c>
      <c r="L38" s="10">
        <f t="shared" si="6"/>
        <v>175929.17784615391</v>
      </c>
      <c r="M38" s="293">
        <f t="shared" si="7"/>
        <v>-131946.88338461542</v>
      </c>
      <c r="N38" s="10">
        <v>0</v>
      </c>
      <c r="O38" s="10">
        <f t="shared" si="8"/>
        <v>17512</v>
      </c>
      <c r="P38" s="423">
        <v>17512</v>
      </c>
      <c r="Q38" s="10">
        <f t="shared" si="2"/>
        <v>34721.352769230762</v>
      </c>
      <c r="R38" s="14">
        <f t="shared" si="9"/>
        <v>0</v>
      </c>
      <c r="S38" s="2">
        <f t="shared" si="10"/>
        <v>0</v>
      </c>
      <c r="T38" s="129">
        <f t="shared" si="11"/>
        <v>-131946.88338461542</v>
      </c>
      <c r="U38" s="418">
        <f t="shared" si="3"/>
        <v>-3.8001653985539301</v>
      </c>
      <c r="V38" s="125"/>
    </row>
    <row r="39" spans="1:22" x14ac:dyDescent="0.25">
      <c r="A39" s="49">
        <f>+'A) Base RI'!A40</f>
        <v>5464</v>
      </c>
      <c r="B39" s="446" t="str">
        <f>+'A) Base RI'!B40</f>
        <v>Vully-les-Lacs</v>
      </c>
      <c r="C39" s="296">
        <f>+'D) Ecrêtage'!C39</f>
        <v>119169.3065671642</v>
      </c>
      <c r="D39" s="421">
        <v>179182</v>
      </c>
      <c r="E39" s="421">
        <f t="shared" si="0"/>
        <v>665376</v>
      </c>
      <c r="F39" s="541">
        <f t="shared" si="4"/>
        <v>5.5834511349194766</v>
      </c>
      <c r="G39" s="421">
        <v>844558</v>
      </c>
      <c r="H39" s="421">
        <v>183508</v>
      </c>
      <c r="I39" s="419">
        <v>325184</v>
      </c>
      <c r="J39" s="296">
        <f t="shared" si="5"/>
        <v>1353250</v>
      </c>
      <c r="K39" s="276">
        <f t="shared" si="1"/>
        <v>953354.45253731357</v>
      </c>
      <c r="L39" s="10">
        <f t="shared" si="6"/>
        <v>399895.54746268643</v>
      </c>
      <c r="M39" s="293">
        <f t="shared" si="7"/>
        <v>-299921.66059701482</v>
      </c>
      <c r="N39" s="10">
        <v>0</v>
      </c>
      <c r="O39" s="10">
        <f t="shared" si="8"/>
        <v>31212</v>
      </c>
      <c r="P39" s="423">
        <v>31212</v>
      </c>
      <c r="Q39" s="10">
        <f t="shared" si="2"/>
        <v>119169.3065671642</v>
      </c>
      <c r="R39" s="14">
        <f t="shared" si="9"/>
        <v>0</v>
      </c>
      <c r="S39" s="2">
        <f t="shared" si="10"/>
        <v>0</v>
      </c>
      <c r="T39" s="129">
        <f t="shared" si="11"/>
        <v>-299921.66059701482</v>
      </c>
      <c r="U39" s="418">
        <f t="shared" si="3"/>
        <v>-2.5167693698710751</v>
      </c>
      <c r="V39" s="125"/>
    </row>
    <row r="40" spans="1:22" x14ac:dyDescent="0.25">
      <c r="A40" s="49">
        <f>+'A) Base RI'!A41</f>
        <v>5471</v>
      </c>
      <c r="B40" s="446" t="str">
        <f>+'A) Base RI'!B41</f>
        <v>Bettens</v>
      </c>
      <c r="C40" s="296">
        <f>+'D) Ecrêtage'!C40</f>
        <v>22893.023698412693</v>
      </c>
      <c r="D40" s="421">
        <v>39410</v>
      </c>
      <c r="E40" s="421">
        <f t="shared" si="0"/>
        <v>102273</v>
      </c>
      <c r="F40" s="541">
        <f t="shared" si="4"/>
        <v>4.4674308360188864</v>
      </c>
      <c r="G40" s="421">
        <v>141683</v>
      </c>
      <c r="H40" s="421">
        <v>20645</v>
      </c>
      <c r="I40" s="419">
        <v>55933</v>
      </c>
      <c r="J40" s="296">
        <f t="shared" si="5"/>
        <v>218261</v>
      </c>
      <c r="K40" s="276">
        <f t="shared" si="1"/>
        <v>183144.18958730155</v>
      </c>
      <c r="L40" s="10">
        <f t="shared" si="6"/>
        <v>35116.810412698454</v>
      </c>
      <c r="M40" s="293">
        <f t="shared" si="7"/>
        <v>-26337.607809523841</v>
      </c>
      <c r="N40" s="10">
        <v>0</v>
      </c>
      <c r="O40" s="10">
        <f t="shared" si="8"/>
        <v>396</v>
      </c>
      <c r="P40" s="423">
        <v>396</v>
      </c>
      <c r="Q40" s="10">
        <f t="shared" si="2"/>
        <v>22893.023698412693</v>
      </c>
      <c r="R40" s="14">
        <f t="shared" si="9"/>
        <v>0</v>
      </c>
      <c r="S40" s="2">
        <f t="shared" si="10"/>
        <v>0</v>
      </c>
      <c r="T40" s="129">
        <f t="shared" si="11"/>
        <v>-26337.607809523841</v>
      </c>
      <c r="U40" s="418">
        <f t="shared" si="3"/>
        <v>-1.150464357897379</v>
      </c>
      <c r="V40" s="125"/>
    </row>
    <row r="41" spans="1:22" x14ac:dyDescent="0.25">
      <c r="A41" s="49">
        <f>+'A) Base RI'!A42</f>
        <v>5472</v>
      </c>
      <c r="B41" s="446" t="str">
        <f>+'A) Base RI'!B42</f>
        <v>Bournens</v>
      </c>
      <c r="C41" s="296">
        <f>+'D) Ecrêtage'!C41</f>
        <v>22178.441944444447</v>
      </c>
      <c r="D41" s="421">
        <v>23825</v>
      </c>
      <c r="E41" s="421">
        <f t="shared" si="0"/>
        <v>78750</v>
      </c>
      <c r="F41" s="541">
        <f t="shared" si="4"/>
        <v>3.5507453678334855</v>
      </c>
      <c r="G41" s="421">
        <v>102575</v>
      </c>
      <c r="H41" s="421">
        <v>23858</v>
      </c>
      <c r="I41" s="419">
        <v>25194</v>
      </c>
      <c r="J41" s="296">
        <f t="shared" si="5"/>
        <v>151627</v>
      </c>
      <c r="K41" s="276">
        <f t="shared" si="1"/>
        <v>177427.53555555557</v>
      </c>
      <c r="L41" s="10">
        <f t="shared" si="6"/>
        <v>0</v>
      </c>
      <c r="M41" s="293">
        <f t="shared" si="7"/>
        <v>0</v>
      </c>
      <c r="N41" s="10">
        <v>0</v>
      </c>
      <c r="O41" s="10">
        <f t="shared" si="8"/>
        <v>45347</v>
      </c>
      <c r="P41" s="423">
        <v>45347</v>
      </c>
      <c r="Q41" s="10">
        <f t="shared" si="2"/>
        <v>22178.441944444447</v>
      </c>
      <c r="R41" s="14">
        <f t="shared" si="9"/>
        <v>23168.558055555553</v>
      </c>
      <c r="S41" s="2">
        <f t="shared" si="10"/>
        <v>-17376.418541666666</v>
      </c>
      <c r="T41" s="129">
        <f t="shared" si="11"/>
        <v>-17376.418541666666</v>
      </c>
      <c r="U41" s="418">
        <f t="shared" si="3"/>
        <v>-0.78348238281090543</v>
      </c>
      <c r="V41" s="125"/>
    </row>
    <row r="42" spans="1:22" x14ac:dyDescent="0.25">
      <c r="A42" s="49">
        <f>+'A) Base RI'!A43</f>
        <v>5473</v>
      </c>
      <c r="B42" s="446" t="str">
        <f>+'A) Base RI'!B43</f>
        <v>Boussens</v>
      </c>
      <c r="C42" s="296">
        <f>+'D) Ecrêtage'!C42</f>
        <v>37059.012888888894</v>
      </c>
      <c r="D42" s="421">
        <v>0</v>
      </c>
      <c r="E42" s="421">
        <f t="shared" si="0"/>
        <v>0</v>
      </c>
      <c r="F42" s="541">
        <f t="shared" si="4"/>
        <v>0</v>
      </c>
      <c r="G42" s="421">
        <v>0</v>
      </c>
      <c r="H42" s="421">
        <v>0</v>
      </c>
      <c r="I42" s="419">
        <v>0</v>
      </c>
      <c r="J42" s="296">
        <f t="shared" si="5"/>
        <v>0</v>
      </c>
      <c r="K42" s="276">
        <f t="shared" si="1"/>
        <v>296472.10311111115</v>
      </c>
      <c r="L42" s="10">
        <f t="shared" si="6"/>
        <v>0</v>
      </c>
      <c r="M42" s="293">
        <f t="shared" si="7"/>
        <v>0</v>
      </c>
      <c r="N42" s="10">
        <v>0</v>
      </c>
      <c r="O42" s="10">
        <f t="shared" si="8"/>
        <v>0</v>
      </c>
      <c r="P42" s="423">
        <v>0</v>
      </c>
      <c r="Q42" s="10">
        <f t="shared" si="2"/>
        <v>37059.012888888894</v>
      </c>
      <c r="R42" s="14">
        <f t="shared" si="9"/>
        <v>0</v>
      </c>
      <c r="S42" s="2">
        <f t="shared" si="10"/>
        <v>0</v>
      </c>
      <c r="T42" s="129">
        <f t="shared" si="11"/>
        <v>0</v>
      </c>
      <c r="U42" s="418">
        <f t="shared" si="3"/>
        <v>0</v>
      </c>
      <c r="V42" s="125"/>
    </row>
    <row r="43" spans="1:22" x14ac:dyDescent="0.25">
      <c r="A43" s="49">
        <f>+'A) Base RI'!A44</f>
        <v>5474</v>
      </c>
      <c r="B43" s="446" t="str">
        <f>+'A) Base RI'!B44</f>
        <v>La Chaux (Cossonay)</v>
      </c>
      <c r="C43" s="296">
        <f>+'D) Ecrêtage'!C43</f>
        <v>12905.016929824562</v>
      </c>
      <c r="D43" s="421">
        <v>105548</v>
      </c>
      <c r="E43" s="421">
        <f t="shared" si="0"/>
        <v>217257</v>
      </c>
      <c r="F43" s="541">
        <f t="shared" si="4"/>
        <v>16.83508058775972</v>
      </c>
      <c r="G43" s="421">
        <v>322805</v>
      </c>
      <c r="H43" s="421">
        <v>15505</v>
      </c>
      <c r="I43" s="419">
        <v>71288</v>
      </c>
      <c r="J43" s="296">
        <f t="shared" si="5"/>
        <v>409598</v>
      </c>
      <c r="K43" s="276">
        <f t="shared" si="1"/>
        <v>103240.1354385965</v>
      </c>
      <c r="L43" s="10">
        <f t="shared" si="6"/>
        <v>306357.86456140352</v>
      </c>
      <c r="M43" s="293">
        <f t="shared" si="7"/>
        <v>-229768.39842105264</v>
      </c>
      <c r="N43" s="10">
        <v>0</v>
      </c>
      <c r="O43" s="10">
        <f t="shared" si="8"/>
        <v>5981</v>
      </c>
      <c r="P43" s="423">
        <v>5981</v>
      </c>
      <c r="Q43" s="10">
        <f t="shared" si="2"/>
        <v>12905.016929824562</v>
      </c>
      <c r="R43" s="14">
        <f t="shared" si="9"/>
        <v>0</v>
      </c>
      <c r="S43" s="2">
        <f t="shared" si="10"/>
        <v>0</v>
      </c>
      <c r="T43" s="129">
        <f t="shared" si="11"/>
        <v>-229768.39842105264</v>
      </c>
      <c r="U43" s="418">
        <f t="shared" si="3"/>
        <v>-17.804579387264411</v>
      </c>
      <c r="V43" s="125"/>
    </row>
    <row r="44" spans="1:22" x14ac:dyDescent="0.25">
      <c r="A44" s="49">
        <f>+'A) Base RI'!A45</f>
        <v>5475</v>
      </c>
      <c r="B44" s="446" t="str">
        <f>+'A) Base RI'!B45</f>
        <v>Chavannes-le-Veyron</v>
      </c>
      <c r="C44" s="296">
        <f>+'D) Ecrêtage'!C44</f>
        <v>4277.2722666666668</v>
      </c>
      <c r="D44" s="421">
        <v>1356</v>
      </c>
      <c r="E44" s="421">
        <f t="shared" si="0"/>
        <v>15403</v>
      </c>
      <c r="F44" s="541">
        <f t="shared" si="4"/>
        <v>3.6011268490055124</v>
      </c>
      <c r="G44" s="421">
        <v>16759</v>
      </c>
      <c r="H44" s="421">
        <v>6027</v>
      </c>
      <c r="I44" s="419">
        <v>25006</v>
      </c>
      <c r="J44" s="296">
        <f t="shared" si="5"/>
        <v>47792</v>
      </c>
      <c r="K44" s="276">
        <f t="shared" si="1"/>
        <v>34218.178133333335</v>
      </c>
      <c r="L44" s="10">
        <f t="shared" si="6"/>
        <v>13573.821866666665</v>
      </c>
      <c r="M44" s="293">
        <f t="shared" si="7"/>
        <v>-10180.366399999999</v>
      </c>
      <c r="N44" s="10">
        <v>0</v>
      </c>
      <c r="O44" s="10">
        <f t="shared" si="8"/>
        <v>27749</v>
      </c>
      <c r="P44" s="423">
        <v>27749</v>
      </c>
      <c r="Q44" s="10">
        <f t="shared" si="2"/>
        <v>4277.2722666666668</v>
      </c>
      <c r="R44" s="14">
        <f t="shared" si="9"/>
        <v>23471.727733333333</v>
      </c>
      <c r="S44" s="2">
        <f t="shared" si="10"/>
        <v>-17603.7958</v>
      </c>
      <c r="T44" s="129">
        <f t="shared" si="11"/>
        <v>-27784.162199999999</v>
      </c>
      <c r="U44" s="418">
        <f t="shared" si="3"/>
        <v>-6.4957665698593825</v>
      </c>
      <c r="V44" s="125"/>
    </row>
    <row r="45" spans="1:22" x14ac:dyDescent="0.25">
      <c r="A45" s="49">
        <f>+'A) Base RI'!A46</f>
        <v>5476</v>
      </c>
      <c r="B45" s="446" t="str">
        <f>+'A) Base RI'!B46</f>
        <v>Chevilly</v>
      </c>
      <c r="C45" s="296">
        <f>+'D) Ecrêtage'!C45</f>
        <v>12075.307586206898</v>
      </c>
      <c r="D45" s="421">
        <v>0</v>
      </c>
      <c r="E45" s="421">
        <f t="shared" si="0"/>
        <v>49567</v>
      </c>
      <c r="F45" s="541">
        <f t="shared" si="4"/>
        <v>4.1048229741674023</v>
      </c>
      <c r="G45" s="421">
        <v>49567</v>
      </c>
      <c r="H45" s="421">
        <v>23215</v>
      </c>
      <c r="I45" s="419">
        <v>35733</v>
      </c>
      <c r="J45" s="296">
        <f t="shared" si="5"/>
        <v>108515</v>
      </c>
      <c r="K45" s="276">
        <f t="shared" si="1"/>
        <v>96602.460689655185</v>
      </c>
      <c r="L45" s="10">
        <f t="shared" si="6"/>
        <v>11912.539310344815</v>
      </c>
      <c r="M45" s="293">
        <f t="shared" si="7"/>
        <v>-8934.4044827586113</v>
      </c>
      <c r="N45" s="10">
        <v>0</v>
      </c>
      <c r="O45" s="10">
        <f t="shared" si="8"/>
        <v>-3940</v>
      </c>
      <c r="P45" s="423">
        <v>-3940</v>
      </c>
      <c r="Q45" s="10">
        <f t="shared" si="2"/>
        <v>12075.307586206898</v>
      </c>
      <c r="R45" s="14">
        <f t="shared" si="9"/>
        <v>0</v>
      </c>
      <c r="S45" s="2">
        <f t="shared" si="10"/>
        <v>0</v>
      </c>
      <c r="T45" s="129">
        <f t="shared" si="11"/>
        <v>-8934.4044827586113</v>
      </c>
      <c r="U45" s="418">
        <f t="shared" si="3"/>
        <v>-0.73989042672204852</v>
      </c>
      <c r="V45" s="125"/>
    </row>
    <row r="46" spans="1:22" x14ac:dyDescent="0.25">
      <c r="A46" s="49">
        <f>+'A) Base RI'!A47</f>
        <v>5477</v>
      </c>
      <c r="B46" s="446" t="str">
        <f>+'A) Base RI'!B47</f>
        <v>Cossonay</v>
      </c>
      <c r="C46" s="296">
        <f>+'D) Ecrêtage'!C46</f>
        <v>142597.98359712231</v>
      </c>
      <c r="D46" s="421">
        <v>160348</v>
      </c>
      <c r="E46" s="421">
        <f t="shared" si="0"/>
        <v>988098</v>
      </c>
      <c r="F46" s="541">
        <f t="shared" si="4"/>
        <v>6.9292564668490888</v>
      </c>
      <c r="G46" s="421">
        <v>1148446</v>
      </c>
      <c r="H46" s="421">
        <v>418556</v>
      </c>
      <c r="I46" s="419">
        <v>661237</v>
      </c>
      <c r="J46" s="296">
        <f t="shared" si="5"/>
        <v>2228239</v>
      </c>
      <c r="K46" s="276">
        <f t="shared" si="1"/>
        <v>1140783.8687769785</v>
      </c>
      <c r="L46" s="10">
        <f t="shared" si="6"/>
        <v>1087455.1312230215</v>
      </c>
      <c r="M46" s="293">
        <f t="shared" si="7"/>
        <v>-815591.34841726616</v>
      </c>
      <c r="N46" s="10">
        <v>0</v>
      </c>
      <c r="O46" s="10">
        <f t="shared" si="8"/>
        <v>24663</v>
      </c>
      <c r="P46" s="423">
        <v>24663</v>
      </c>
      <c r="Q46" s="10">
        <f t="shared" si="2"/>
        <v>142597.98359712231</v>
      </c>
      <c r="R46" s="14">
        <f t="shared" si="9"/>
        <v>0</v>
      </c>
      <c r="S46" s="2">
        <f t="shared" si="10"/>
        <v>0</v>
      </c>
      <c r="T46" s="129">
        <f t="shared" si="11"/>
        <v>-815591.34841726616</v>
      </c>
      <c r="U46" s="418">
        <f t="shared" si="3"/>
        <v>-5.7195152963840732</v>
      </c>
      <c r="V46" s="125"/>
    </row>
    <row r="47" spans="1:22" x14ac:dyDescent="0.25">
      <c r="A47" s="49">
        <f>+'A) Base RI'!A48</f>
        <v>5478</v>
      </c>
      <c r="B47" s="446" t="str">
        <f>+'A) Base RI'!B48</f>
        <v>Cottens</v>
      </c>
      <c r="C47" s="296">
        <f>+'D) Ecrêtage'!C47</f>
        <v>15741.229189189189</v>
      </c>
      <c r="D47" s="421">
        <v>0</v>
      </c>
      <c r="E47" s="421">
        <f t="shared" si="0"/>
        <v>0</v>
      </c>
      <c r="F47" s="541">
        <f t="shared" si="4"/>
        <v>0</v>
      </c>
      <c r="G47" s="421">
        <v>0</v>
      </c>
      <c r="H47" s="421">
        <v>0</v>
      </c>
      <c r="I47" s="419">
        <v>0</v>
      </c>
      <c r="J47" s="296">
        <f t="shared" si="5"/>
        <v>0</v>
      </c>
      <c r="K47" s="276">
        <f t="shared" si="1"/>
        <v>125929.83351351351</v>
      </c>
      <c r="L47" s="10">
        <f t="shared" si="6"/>
        <v>0</v>
      </c>
      <c r="M47" s="293">
        <f t="shared" si="7"/>
        <v>0</v>
      </c>
      <c r="N47" s="10">
        <v>0</v>
      </c>
      <c r="O47" s="10">
        <f t="shared" si="8"/>
        <v>0</v>
      </c>
      <c r="P47" s="423">
        <v>0</v>
      </c>
      <c r="Q47" s="10">
        <f t="shared" si="2"/>
        <v>15741.229189189189</v>
      </c>
      <c r="R47" s="14">
        <f t="shared" si="9"/>
        <v>0</v>
      </c>
      <c r="S47" s="2">
        <f t="shared" si="10"/>
        <v>0</v>
      </c>
      <c r="T47" s="129">
        <f t="shared" si="11"/>
        <v>0</v>
      </c>
      <c r="U47" s="418">
        <f t="shared" si="3"/>
        <v>0</v>
      </c>
      <c r="V47" s="125"/>
    </row>
    <row r="48" spans="1:22" x14ac:dyDescent="0.25">
      <c r="A48" s="49">
        <f>+'A) Base RI'!A49</f>
        <v>5479</v>
      </c>
      <c r="B48" s="446" t="str">
        <f>+'A) Base RI'!B49</f>
        <v>Cuarnens</v>
      </c>
      <c r="C48" s="296">
        <f>+'D) Ecrêtage'!C48</f>
        <v>17984.87649350649</v>
      </c>
      <c r="D48" s="421">
        <v>25094</v>
      </c>
      <c r="E48" s="421">
        <f t="shared" si="0"/>
        <v>94038</v>
      </c>
      <c r="F48" s="541">
        <f t="shared" si="4"/>
        <v>5.2287264821614308</v>
      </c>
      <c r="G48" s="421">
        <v>119132</v>
      </c>
      <c r="H48" s="421">
        <v>20898</v>
      </c>
      <c r="I48" s="419">
        <v>83383</v>
      </c>
      <c r="J48" s="296">
        <f t="shared" si="5"/>
        <v>223413</v>
      </c>
      <c r="K48" s="276">
        <f t="shared" si="1"/>
        <v>143879.01194805192</v>
      </c>
      <c r="L48" s="10">
        <f t="shared" si="6"/>
        <v>79533.988051948079</v>
      </c>
      <c r="M48" s="293">
        <f t="shared" si="7"/>
        <v>-59650.49103896106</v>
      </c>
      <c r="N48" s="10">
        <v>0</v>
      </c>
      <c r="O48" s="10">
        <f t="shared" si="8"/>
        <v>67769</v>
      </c>
      <c r="P48" s="423">
        <v>67769</v>
      </c>
      <c r="Q48" s="10">
        <f t="shared" si="2"/>
        <v>17984.87649350649</v>
      </c>
      <c r="R48" s="14">
        <f t="shared" si="9"/>
        <v>49784.12350649351</v>
      </c>
      <c r="S48" s="2">
        <f t="shared" si="10"/>
        <v>-37338.092629870131</v>
      </c>
      <c r="T48" s="129">
        <f t="shared" si="11"/>
        <v>-96988.583668831183</v>
      </c>
      <c r="U48" s="418">
        <f t="shared" si="3"/>
        <v>-5.392785638747605</v>
      </c>
      <c r="V48" s="125"/>
    </row>
    <row r="49" spans="1:22" x14ac:dyDescent="0.25">
      <c r="A49" s="49">
        <f>+'A) Base RI'!A50</f>
        <v>5480</v>
      </c>
      <c r="B49" s="446" t="str">
        <f>+'A) Base RI'!B50</f>
        <v>Daillens</v>
      </c>
      <c r="C49" s="296">
        <f>+'D) Ecrêtage'!C49</f>
        <v>41284.66095959596</v>
      </c>
      <c r="D49" s="421">
        <v>211606</v>
      </c>
      <c r="E49" s="421">
        <f t="shared" si="0"/>
        <v>98786</v>
      </c>
      <c r="F49" s="541">
        <f t="shared" si="4"/>
        <v>2.392801532188404</v>
      </c>
      <c r="G49" s="421">
        <v>310392</v>
      </c>
      <c r="H49" s="421">
        <v>83343</v>
      </c>
      <c r="I49" s="419">
        <v>121683</v>
      </c>
      <c r="J49" s="296">
        <f t="shared" si="5"/>
        <v>515418</v>
      </c>
      <c r="K49" s="276">
        <f t="shared" si="1"/>
        <v>330277.28767676768</v>
      </c>
      <c r="L49" s="10">
        <f t="shared" si="6"/>
        <v>185140.71232323232</v>
      </c>
      <c r="M49" s="293">
        <f t="shared" si="7"/>
        <v>-138855.53424242424</v>
      </c>
      <c r="N49" s="10">
        <v>0</v>
      </c>
      <c r="O49" s="10">
        <f t="shared" si="8"/>
        <v>23523</v>
      </c>
      <c r="P49" s="423">
        <v>23523</v>
      </c>
      <c r="Q49" s="10">
        <f t="shared" si="2"/>
        <v>41284.66095959596</v>
      </c>
      <c r="R49" s="14">
        <f t="shared" si="9"/>
        <v>0</v>
      </c>
      <c r="S49" s="2">
        <f t="shared" si="10"/>
        <v>0</v>
      </c>
      <c r="T49" s="129">
        <f t="shared" si="11"/>
        <v>-138855.53424242424</v>
      </c>
      <c r="U49" s="418">
        <f t="shared" si="3"/>
        <v>-3.3633686462465544</v>
      </c>
      <c r="V49" s="125"/>
    </row>
    <row r="50" spans="1:22" x14ac:dyDescent="0.25">
      <c r="A50" s="49">
        <f>+'A) Base RI'!A51</f>
        <v>5481</v>
      </c>
      <c r="B50" s="446" t="str">
        <f>+'A) Base RI'!B51</f>
        <v>Dizy</v>
      </c>
      <c r="C50" s="296">
        <f>+'D) Ecrêtage'!C50</f>
        <v>8120.887333333334</v>
      </c>
      <c r="D50" s="421">
        <v>0</v>
      </c>
      <c r="E50" s="421">
        <f t="shared" si="0"/>
        <v>37756</v>
      </c>
      <c r="F50" s="541">
        <f t="shared" si="4"/>
        <v>4.6492456366221386</v>
      </c>
      <c r="G50" s="421">
        <v>37756</v>
      </c>
      <c r="H50" s="421">
        <v>8882</v>
      </c>
      <c r="I50" s="419">
        <v>41359</v>
      </c>
      <c r="J50" s="296">
        <f t="shared" si="5"/>
        <v>87997</v>
      </c>
      <c r="K50" s="276">
        <f t="shared" si="1"/>
        <v>64967.098666666672</v>
      </c>
      <c r="L50" s="10">
        <f t="shared" si="6"/>
        <v>23029.901333333328</v>
      </c>
      <c r="M50" s="293">
        <f t="shared" si="7"/>
        <v>-17272.425999999996</v>
      </c>
      <c r="N50" s="10">
        <v>0</v>
      </c>
      <c r="O50" s="10">
        <f t="shared" si="8"/>
        <v>3091</v>
      </c>
      <c r="P50" s="423">
        <v>3091</v>
      </c>
      <c r="Q50" s="10">
        <f t="shared" si="2"/>
        <v>8120.887333333334</v>
      </c>
      <c r="R50" s="14">
        <f t="shared" si="9"/>
        <v>0</v>
      </c>
      <c r="S50" s="2">
        <f t="shared" si="10"/>
        <v>0</v>
      </c>
      <c r="T50" s="129">
        <f t="shared" si="11"/>
        <v>-17272.425999999996</v>
      </c>
      <c r="U50" s="418">
        <f t="shared" si="3"/>
        <v>-2.1269136352997871</v>
      </c>
      <c r="V50" s="125"/>
    </row>
    <row r="51" spans="1:22" x14ac:dyDescent="0.25">
      <c r="A51" s="49">
        <f>+'A) Base RI'!A52</f>
        <v>5482</v>
      </c>
      <c r="B51" s="446" t="str">
        <f>+'A) Base RI'!B52</f>
        <v>Eclépens</v>
      </c>
      <c r="C51" s="296">
        <f>+'D) Ecrêtage'!C51</f>
        <v>54196.336086956522</v>
      </c>
      <c r="D51" s="421">
        <v>132942</v>
      </c>
      <c r="E51" s="421">
        <f t="shared" si="0"/>
        <v>150533</v>
      </c>
      <c r="F51" s="541">
        <f t="shared" si="4"/>
        <v>2.7775493855982067</v>
      </c>
      <c r="G51" s="421">
        <v>283475</v>
      </c>
      <c r="H51" s="421">
        <v>114722</v>
      </c>
      <c r="I51" s="419">
        <v>132945</v>
      </c>
      <c r="J51" s="296">
        <f t="shared" si="5"/>
        <v>531142</v>
      </c>
      <c r="K51" s="276">
        <f t="shared" si="1"/>
        <v>433570.68869565218</v>
      </c>
      <c r="L51" s="10">
        <f t="shared" si="6"/>
        <v>97571.311304347822</v>
      </c>
      <c r="M51" s="293">
        <f t="shared" si="7"/>
        <v>-73178.483478260867</v>
      </c>
      <c r="N51" s="10">
        <v>6192</v>
      </c>
      <c r="O51" s="10">
        <f t="shared" si="8"/>
        <v>46079</v>
      </c>
      <c r="P51" s="423">
        <v>52271</v>
      </c>
      <c r="Q51" s="10">
        <f t="shared" si="2"/>
        <v>54196.336086956522</v>
      </c>
      <c r="R51" s="14">
        <f t="shared" si="9"/>
        <v>0</v>
      </c>
      <c r="S51" s="2">
        <f t="shared" si="10"/>
        <v>0</v>
      </c>
      <c r="T51" s="129">
        <f t="shared" si="11"/>
        <v>-73178.483478260867</v>
      </c>
      <c r="U51" s="418">
        <f t="shared" si="3"/>
        <v>-1.3502477983169936</v>
      </c>
      <c r="V51" s="125"/>
    </row>
    <row r="52" spans="1:22" x14ac:dyDescent="0.25">
      <c r="A52" s="49">
        <f>+'A) Base RI'!A53</f>
        <v>5483</v>
      </c>
      <c r="B52" s="446" t="str">
        <f>+'A) Base RI'!B53</f>
        <v>Ferreyres</v>
      </c>
      <c r="C52" s="296">
        <f>+'D) Ecrêtage'!C52</f>
        <v>10537.122500000001</v>
      </c>
      <c r="D52" s="421">
        <v>428</v>
      </c>
      <c r="E52" s="421">
        <f t="shared" si="0"/>
        <v>28406</v>
      </c>
      <c r="F52" s="541">
        <f t="shared" si="4"/>
        <v>2.6958023881757089</v>
      </c>
      <c r="G52" s="421">
        <v>28834</v>
      </c>
      <c r="H52" s="421">
        <v>12650</v>
      </c>
      <c r="I52" s="419">
        <v>35400</v>
      </c>
      <c r="J52" s="296">
        <f t="shared" si="5"/>
        <v>76884</v>
      </c>
      <c r="K52" s="276">
        <f t="shared" si="1"/>
        <v>84296.98000000001</v>
      </c>
      <c r="L52" s="10">
        <f t="shared" si="6"/>
        <v>0</v>
      </c>
      <c r="M52" s="293">
        <f t="shared" si="7"/>
        <v>0</v>
      </c>
      <c r="N52" s="10">
        <v>0</v>
      </c>
      <c r="O52" s="10">
        <f t="shared" si="8"/>
        <v>3977</v>
      </c>
      <c r="P52" s="423">
        <v>3977</v>
      </c>
      <c r="Q52" s="10">
        <f t="shared" si="2"/>
        <v>10537.122500000001</v>
      </c>
      <c r="R52" s="14">
        <f t="shared" si="9"/>
        <v>0</v>
      </c>
      <c r="S52" s="2">
        <f t="shared" si="10"/>
        <v>0</v>
      </c>
      <c r="T52" s="129">
        <f t="shared" si="11"/>
        <v>0</v>
      </c>
      <c r="U52" s="418">
        <f t="shared" si="3"/>
        <v>0</v>
      </c>
      <c r="V52" s="125"/>
    </row>
    <row r="53" spans="1:22" x14ac:dyDescent="0.25">
      <c r="A53" s="49">
        <f>+'A) Base RI'!A54</f>
        <v>5484</v>
      </c>
      <c r="B53" s="446" t="str">
        <f>+'A) Base RI'!B54</f>
        <v>Gollion</v>
      </c>
      <c r="C53" s="296">
        <f>+'D) Ecrêtage'!C53</f>
        <v>35950.666081081094</v>
      </c>
      <c r="D53" s="421">
        <v>74374</v>
      </c>
      <c r="E53" s="421">
        <f t="shared" si="0"/>
        <v>213959</v>
      </c>
      <c r="F53" s="541">
        <f t="shared" si="4"/>
        <v>5.9514613586699339</v>
      </c>
      <c r="G53" s="421">
        <v>288333</v>
      </c>
      <c r="H53" s="421">
        <v>39496</v>
      </c>
      <c r="I53" s="419">
        <v>131001</v>
      </c>
      <c r="J53" s="296">
        <f t="shared" si="5"/>
        <v>458830</v>
      </c>
      <c r="K53" s="276">
        <f t="shared" si="1"/>
        <v>287605.32864864875</v>
      </c>
      <c r="L53" s="10">
        <f t="shared" si="6"/>
        <v>171224.67135135125</v>
      </c>
      <c r="M53" s="293">
        <f t="shared" si="7"/>
        <v>-128418.50351351344</v>
      </c>
      <c r="N53" s="10">
        <v>0</v>
      </c>
      <c r="O53" s="10">
        <f t="shared" si="8"/>
        <v>82152</v>
      </c>
      <c r="P53" s="423">
        <v>82152</v>
      </c>
      <c r="Q53" s="10">
        <f t="shared" si="2"/>
        <v>35950.666081081094</v>
      </c>
      <c r="R53" s="14">
        <f t="shared" si="9"/>
        <v>46201.333918918906</v>
      </c>
      <c r="S53" s="2">
        <f t="shared" si="10"/>
        <v>-34651.000439189178</v>
      </c>
      <c r="T53" s="129">
        <f t="shared" si="11"/>
        <v>-163069.50395270262</v>
      </c>
      <c r="U53" s="418">
        <f t="shared" si="3"/>
        <v>-4.5359244133314505</v>
      </c>
      <c r="V53" s="125"/>
    </row>
    <row r="54" spans="1:22" x14ac:dyDescent="0.25">
      <c r="A54" s="49">
        <f>+'A) Base RI'!A55</f>
        <v>5485</v>
      </c>
      <c r="B54" s="446" t="str">
        <f>+'A) Base RI'!B55</f>
        <v>Grancy</v>
      </c>
      <c r="C54" s="296">
        <f>+'D) Ecrêtage'!C54</f>
        <v>24488.659571428572</v>
      </c>
      <c r="D54" s="421">
        <v>0</v>
      </c>
      <c r="E54" s="421">
        <f t="shared" si="0"/>
        <v>46705</v>
      </c>
      <c r="F54" s="541">
        <f t="shared" si="4"/>
        <v>1.9072093294355601</v>
      </c>
      <c r="G54" s="421">
        <v>46705</v>
      </c>
      <c r="H54" s="421">
        <v>16100</v>
      </c>
      <c r="I54" s="419">
        <v>72490</v>
      </c>
      <c r="J54" s="296">
        <f t="shared" si="5"/>
        <v>135295</v>
      </c>
      <c r="K54" s="276">
        <f t="shared" si="1"/>
        <v>195909.27657142858</v>
      </c>
      <c r="L54" s="10">
        <f t="shared" si="6"/>
        <v>0</v>
      </c>
      <c r="M54" s="293">
        <f t="shared" si="7"/>
        <v>0</v>
      </c>
      <c r="N54" s="10">
        <v>0</v>
      </c>
      <c r="O54" s="10">
        <f t="shared" si="8"/>
        <v>78815</v>
      </c>
      <c r="P54" s="423">
        <v>78815</v>
      </c>
      <c r="Q54" s="10">
        <f t="shared" si="2"/>
        <v>24488.659571428572</v>
      </c>
      <c r="R54" s="14">
        <f t="shared" si="9"/>
        <v>54326.340428571428</v>
      </c>
      <c r="S54" s="2">
        <f t="shared" si="10"/>
        <v>-40744.755321428573</v>
      </c>
      <c r="T54" s="129">
        <f t="shared" si="11"/>
        <v>-40744.755321428573</v>
      </c>
      <c r="U54" s="418">
        <f t="shared" si="3"/>
        <v>-1.6638213783234721</v>
      </c>
      <c r="V54" s="125"/>
    </row>
    <row r="55" spans="1:22" x14ac:dyDescent="0.25">
      <c r="A55" s="49">
        <f>+'A) Base RI'!A56</f>
        <v>5486</v>
      </c>
      <c r="B55" s="446" t="str">
        <f>+'A) Base RI'!B56</f>
        <v>L'Isle</v>
      </c>
      <c r="C55" s="296">
        <f>+'D) Ecrêtage'!C55</f>
        <v>29230.387866666671</v>
      </c>
      <c r="D55" s="421">
        <v>185476</v>
      </c>
      <c r="E55" s="421">
        <f t="shared" si="0"/>
        <v>186984</v>
      </c>
      <c r="F55" s="541">
        <f t="shared" si="4"/>
        <v>6.3969045109124298</v>
      </c>
      <c r="G55" s="421">
        <v>372460</v>
      </c>
      <c r="H55" s="421">
        <v>84465</v>
      </c>
      <c r="I55" s="419">
        <v>163781</v>
      </c>
      <c r="J55" s="296">
        <f t="shared" si="5"/>
        <v>620706</v>
      </c>
      <c r="K55" s="276">
        <f t="shared" si="1"/>
        <v>233843.10293333337</v>
      </c>
      <c r="L55" s="10">
        <f t="shared" si="6"/>
        <v>386862.89706666663</v>
      </c>
      <c r="M55" s="293">
        <f t="shared" si="7"/>
        <v>-290147.17279999994</v>
      </c>
      <c r="N55" s="10">
        <v>0</v>
      </c>
      <c r="O55" s="10">
        <f t="shared" si="8"/>
        <v>112778</v>
      </c>
      <c r="P55" s="423">
        <v>112778</v>
      </c>
      <c r="Q55" s="10">
        <f t="shared" si="2"/>
        <v>29230.387866666671</v>
      </c>
      <c r="R55" s="14">
        <f t="shared" si="9"/>
        <v>83547.612133333329</v>
      </c>
      <c r="S55" s="2">
        <f t="shared" si="10"/>
        <v>-62660.709099999993</v>
      </c>
      <c r="T55" s="129">
        <f t="shared" si="11"/>
        <v>-352807.88189999992</v>
      </c>
      <c r="U55" s="418">
        <f t="shared" si="3"/>
        <v>-12.069900800130329</v>
      </c>
      <c r="V55" s="125"/>
    </row>
    <row r="56" spans="1:22" x14ac:dyDescent="0.25">
      <c r="A56" s="49">
        <f>+'A) Base RI'!A57</f>
        <v>5487</v>
      </c>
      <c r="B56" s="446" t="str">
        <f>+'A) Base RI'!B57</f>
        <v>Lussery-Villars</v>
      </c>
      <c r="C56" s="296">
        <f>+'D) Ecrêtage'!C56</f>
        <v>16622.441866666668</v>
      </c>
      <c r="D56" s="421">
        <v>9878</v>
      </c>
      <c r="E56" s="421">
        <f t="shared" si="0"/>
        <v>76277</v>
      </c>
      <c r="F56" s="541">
        <f t="shared" si="4"/>
        <v>4.5887963159588407</v>
      </c>
      <c r="G56" s="421">
        <v>86155</v>
      </c>
      <c r="H56" s="421">
        <v>37162</v>
      </c>
      <c r="I56" s="419">
        <v>41336</v>
      </c>
      <c r="J56" s="296">
        <f t="shared" si="5"/>
        <v>164653</v>
      </c>
      <c r="K56" s="276">
        <f t="shared" si="1"/>
        <v>132979.53493333334</v>
      </c>
      <c r="L56" s="10">
        <f t="shared" si="6"/>
        <v>31673.465066666657</v>
      </c>
      <c r="M56" s="293">
        <f t="shared" si="7"/>
        <v>-23755.098799999992</v>
      </c>
      <c r="N56" s="10">
        <v>0</v>
      </c>
      <c r="O56" s="10">
        <f t="shared" si="8"/>
        <v>1490</v>
      </c>
      <c r="P56" s="423">
        <v>1490</v>
      </c>
      <c r="Q56" s="10">
        <f t="shared" si="2"/>
        <v>16622.441866666668</v>
      </c>
      <c r="R56" s="14">
        <f t="shared" si="9"/>
        <v>0</v>
      </c>
      <c r="S56" s="2">
        <f t="shared" si="10"/>
        <v>0</v>
      </c>
      <c r="T56" s="129">
        <f t="shared" si="11"/>
        <v>-23755.098799999992</v>
      </c>
      <c r="U56" s="418">
        <f t="shared" si="3"/>
        <v>-1.4290980224534033</v>
      </c>
      <c r="V56" s="125"/>
    </row>
    <row r="57" spans="1:22" x14ac:dyDescent="0.25">
      <c r="A57" s="49">
        <f>+'A) Base RI'!A58</f>
        <v>5488</v>
      </c>
      <c r="B57" s="446" t="str">
        <f>+'A) Base RI'!B58</f>
        <v>Mauraz</v>
      </c>
      <c r="C57" s="296">
        <f>+'D) Ecrêtage'!C57</f>
        <v>1729.1857142857141</v>
      </c>
      <c r="D57" s="421">
        <v>0</v>
      </c>
      <c r="E57" s="421">
        <f t="shared" si="0"/>
        <v>1725</v>
      </c>
      <c r="F57" s="541">
        <f t="shared" si="4"/>
        <v>0.99757937261964769</v>
      </c>
      <c r="G57" s="421">
        <v>1725</v>
      </c>
      <c r="H57" s="421">
        <v>0</v>
      </c>
      <c r="I57" s="419">
        <v>3016</v>
      </c>
      <c r="J57" s="296">
        <f t="shared" si="5"/>
        <v>4741</v>
      </c>
      <c r="K57" s="276">
        <f t="shared" si="1"/>
        <v>13833.485714285713</v>
      </c>
      <c r="L57" s="10">
        <f t="shared" si="6"/>
        <v>0</v>
      </c>
      <c r="M57" s="293">
        <f t="shared" si="7"/>
        <v>0</v>
      </c>
      <c r="N57" s="10">
        <v>0</v>
      </c>
      <c r="O57" s="10">
        <f t="shared" si="8"/>
        <v>0</v>
      </c>
      <c r="P57" s="423">
        <v>0</v>
      </c>
      <c r="Q57" s="10">
        <f t="shared" si="2"/>
        <v>1729.1857142857141</v>
      </c>
      <c r="R57" s="14">
        <f t="shared" si="9"/>
        <v>0</v>
      </c>
      <c r="S57" s="2">
        <f t="shared" si="10"/>
        <v>0</v>
      </c>
      <c r="T57" s="129">
        <f t="shared" si="11"/>
        <v>0</v>
      </c>
      <c r="U57" s="418">
        <f t="shared" si="3"/>
        <v>0</v>
      </c>
      <c r="V57" s="125"/>
    </row>
    <row r="58" spans="1:22" x14ac:dyDescent="0.25">
      <c r="A58" s="49">
        <f>+'A) Base RI'!A59</f>
        <v>5489</v>
      </c>
      <c r="B58" s="446" t="str">
        <f>+'A) Base RI'!B59</f>
        <v>Mex</v>
      </c>
      <c r="C58" s="296">
        <f>+'D) Ecrêtage'!C58</f>
        <v>50879.929915966379</v>
      </c>
      <c r="D58" s="421">
        <v>55740</v>
      </c>
      <c r="E58" s="421">
        <f t="shared" si="0"/>
        <v>87201</v>
      </c>
      <c r="F58" s="541">
        <f t="shared" si="4"/>
        <v>1.7138584928088882</v>
      </c>
      <c r="G58" s="421">
        <v>142941</v>
      </c>
      <c r="H58" s="421">
        <v>25676</v>
      </c>
      <c r="I58" s="419">
        <v>71423</v>
      </c>
      <c r="J58" s="296">
        <f t="shared" si="5"/>
        <v>240040</v>
      </c>
      <c r="K58" s="276">
        <f t="shared" si="1"/>
        <v>407039.43932773103</v>
      </c>
      <c r="L58" s="10">
        <f t="shared" si="6"/>
        <v>0</v>
      </c>
      <c r="M58" s="293">
        <f t="shared" si="7"/>
        <v>0</v>
      </c>
      <c r="N58" s="10">
        <v>0</v>
      </c>
      <c r="O58" s="10">
        <f t="shared" si="8"/>
        <v>37608</v>
      </c>
      <c r="P58" s="423">
        <v>37608</v>
      </c>
      <c r="Q58" s="10">
        <f t="shared" si="2"/>
        <v>50879.929915966379</v>
      </c>
      <c r="R58" s="14">
        <f t="shared" si="9"/>
        <v>0</v>
      </c>
      <c r="S58" s="2">
        <f t="shared" si="10"/>
        <v>0</v>
      </c>
      <c r="T58" s="129">
        <f t="shared" si="11"/>
        <v>0</v>
      </c>
      <c r="U58" s="418">
        <f t="shared" si="3"/>
        <v>0</v>
      </c>
      <c r="V58" s="125"/>
    </row>
    <row r="59" spans="1:22" x14ac:dyDescent="0.25">
      <c r="A59" s="49">
        <f>+'A) Base RI'!A60</f>
        <v>5490</v>
      </c>
      <c r="B59" s="446" t="str">
        <f>+'A) Base RI'!B60</f>
        <v>Moiry</v>
      </c>
      <c r="C59" s="296">
        <f>+'D) Ecrêtage'!C59</f>
        <v>9056.9</v>
      </c>
      <c r="D59" s="421">
        <v>12284</v>
      </c>
      <c r="E59" s="421">
        <f t="shared" si="0"/>
        <v>31942</v>
      </c>
      <c r="F59" s="541">
        <f t="shared" si="4"/>
        <v>3.5268138104649496</v>
      </c>
      <c r="G59" s="421">
        <v>44226</v>
      </c>
      <c r="H59" s="421">
        <v>12333</v>
      </c>
      <c r="I59" s="419">
        <v>33403</v>
      </c>
      <c r="J59" s="296">
        <f t="shared" si="5"/>
        <v>89962</v>
      </c>
      <c r="K59" s="276">
        <f t="shared" si="1"/>
        <v>72455.199999999997</v>
      </c>
      <c r="L59" s="10">
        <f t="shared" si="6"/>
        <v>17506.800000000003</v>
      </c>
      <c r="M59" s="293">
        <f t="shared" si="7"/>
        <v>-13130.100000000002</v>
      </c>
      <c r="N59" s="10">
        <v>0</v>
      </c>
      <c r="O59" s="10">
        <f t="shared" si="8"/>
        <v>584</v>
      </c>
      <c r="P59" s="423">
        <v>584</v>
      </c>
      <c r="Q59" s="10">
        <f t="shared" si="2"/>
        <v>9056.9</v>
      </c>
      <c r="R59" s="14">
        <f t="shared" si="9"/>
        <v>0</v>
      </c>
      <c r="S59" s="2">
        <f t="shared" si="10"/>
        <v>0</v>
      </c>
      <c r="T59" s="129">
        <f t="shared" si="11"/>
        <v>-13130.100000000002</v>
      </c>
      <c r="U59" s="418">
        <f t="shared" si="3"/>
        <v>-1.4497344566021488</v>
      </c>
      <c r="V59" s="125"/>
    </row>
    <row r="60" spans="1:22" x14ac:dyDescent="0.25">
      <c r="A60" s="49">
        <f>+'A) Base RI'!A61</f>
        <v>5491</v>
      </c>
      <c r="B60" s="446" t="str">
        <f>+'A) Base RI'!B61</f>
        <v>Mont-la-Ville</v>
      </c>
      <c r="C60" s="296">
        <f>+'D) Ecrêtage'!C60</f>
        <v>13648.930789473685</v>
      </c>
      <c r="D60" s="421">
        <v>66291</v>
      </c>
      <c r="E60" s="421">
        <f t="shared" si="0"/>
        <v>179601</v>
      </c>
      <c r="F60" s="541">
        <f t="shared" si="4"/>
        <v>13.158613137558856</v>
      </c>
      <c r="G60" s="421">
        <v>245892</v>
      </c>
      <c r="H60" s="421">
        <v>19430</v>
      </c>
      <c r="I60" s="419">
        <v>75329</v>
      </c>
      <c r="J60" s="296">
        <f t="shared" si="5"/>
        <v>340651</v>
      </c>
      <c r="K60" s="276">
        <f t="shared" si="1"/>
        <v>109191.44631578948</v>
      </c>
      <c r="L60" s="10">
        <f t="shared" si="6"/>
        <v>231459.55368421052</v>
      </c>
      <c r="M60" s="293">
        <f t="shared" si="7"/>
        <v>-173594.66526315789</v>
      </c>
      <c r="N60" s="10">
        <v>0</v>
      </c>
      <c r="O60" s="10">
        <f t="shared" si="8"/>
        <v>-60973</v>
      </c>
      <c r="P60" s="423">
        <v>-60973</v>
      </c>
      <c r="Q60" s="10">
        <f t="shared" si="2"/>
        <v>13648.930789473685</v>
      </c>
      <c r="R60" s="14">
        <f t="shared" si="9"/>
        <v>0</v>
      </c>
      <c r="S60" s="2">
        <f t="shared" si="10"/>
        <v>0</v>
      </c>
      <c r="T60" s="129">
        <f t="shared" si="11"/>
        <v>-173594.66526315789</v>
      </c>
      <c r="U60" s="418">
        <f t="shared" si="3"/>
        <v>-12.718554144698089</v>
      </c>
      <c r="V60" s="125"/>
    </row>
    <row r="61" spans="1:22" x14ac:dyDescent="0.25">
      <c r="A61" s="49">
        <f>+'A) Base RI'!A62</f>
        <v>5492</v>
      </c>
      <c r="B61" s="446" t="str">
        <f>+'A) Base RI'!B62</f>
        <v>Montricher</v>
      </c>
      <c r="C61" s="296">
        <f>+'D) Ecrêtage'!C61</f>
        <v>175268.45531250001</v>
      </c>
      <c r="D61" s="421">
        <v>0</v>
      </c>
      <c r="E61" s="421">
        <f t="shared" si="0"/>
        <v>307067</v>
      </c>
      <c r="F61" s="541">
        <f t="shared" si="4"/>
        <v>1.7519809794210026</v>
      </c>
      <c r="G61" s="421">
        <v>307067</v>
      </c>
      <c r="H61" s="421">
        <v>95554</v>
      </c>
      <c r="I61" s="419">
        <v>0</v>
      </c>
      <c r="J61" s="296">
        <f t="shared" si="5"/>
        <v>402621</v>
      </c>
      <c r="K61" s="276">
        <f t="shared" si="1"/>
        <v>1402147.6425000001</v>
      </c>
      <c r="L61" s="10">
        <f t="shared" si="6"/>
        <v>0</v>
      </c>
      <c r="M61" s="293">
        <f t="shared" si="7"/>
        <v>0</v>
      </c>
      <c r="N61" s="10">
        <v>0</v>
      </c>
      <c r="O61" s="10">
        <f t="shared" si="8"/>
        <v>402325</v>
      </c>
      <c r="P61" s="423">
        <v>402325</v>
      </c>
      <c r="Q61" s="10">
        <f t="shared" si="2"/>
        <v>175268.45531250001</v>
      </c>
      <c r="R61" s="14">
        <f t="shared" si="9"/>
        <v>227056.54468749999</v>
      </c>
      <c r="S61" s="2">
        <f t="shared" si="10"/>
        <v>-170292.40851562499</v>
      </c>
      <c r="T61" s="129">
        <f t="shared" si="11"/>
        <v>-170292.40851562499</v>
      </c>
      <c r="U61" s="418">
        <f t="shared" si="3"/>
        <v>-0.97160899953158808</v>
      </c>
      <c r="V61" s="125"/>
    </row>
    <row r="62" spans="1:22" x14ac:dyDescent="0.25">
      <c r="A62" s="49">
        <f>+'A) Base RI'!A63</f>
        <v>5493</v>
      </c>
      <c r="B62" s="446" t="str">
        <f>+'A) Base RI'!B63</f>
        <v>Orny</v>
      </c>
      <c r="C62" s="296">
        <f>+'D) Ecrêtage'!C62</f>
        <v>13489.946448893574</v>
      </c>
      <c r="D62" s="421">
        <v>0</v>
      </c>
      <c r="E62" s="421">
        <f t="shared" si="0"/>
        <v>43164</v>
      </c>
      <c r="F62" s="541">
        <f t="shared" si="4"/>
        <v>3.1997161859408454</v>
      </c>
      <c r="G62" s="421">
        <v>43164</v>
      </c>
      <c r="H62" s="421">
        <v>18321</v>
      </c>
      <c r="I62" s="419">
        <v>45000</v>
      </c>
      <c r="J62" s="296">
        <f t="shared" si="5"/>
        <v>106485</v>
      </c>
      <c r="K62" s="276">
        <f t="shared" si="1"/>
        <v>107919.57159114859</v>
      </c>
      <c r="L62" s="10">
        <f t="shared" si="6"/>
        <v>0</v>
      </c>
      <c r="M62" s="293">
        <f t="shared" si="7"/>
        <v>0</v>
      </c>
      <c r="N62" s="10">
        <v>0</v>
      </c>
      <c r="O62" s="10">
        <f t="shared" si="8"/>
        <v>10141</v>
      </c>
      <c r="P62" s="423">
        <v>10141</v>
      </c>
      <c r="Q62" s="10">
        <f t="shared" si="2"/>
        <v>13489.946448893574</v>
      </c>
      <c r="R62" s="14">
        <f t="shared" si="9"/>
        <v>0</v>
      </c>
      <c r="S62" s="2">
        <f t="shared" si="10"/>
        <v>0</v>
      </c>
      <c r="T62" s="129">
        <f t="shared" si="11"/>
        <v>0</v>
      </c>
      <c r="U62" s="418">
        <f t="shared" si="3"/>
        <v>0</v>
      </c>
      <c r="V62" s="125"/>
    </row>
    <row r="63" spans="1:22" x14ac:dyDescent="0.25">
      <c r="A63" s="49">
        <f>+'A) Base RI'!A64</f>
        <v>5494</v>
      </c>
      <c r="B63" s="446" t="str">
        <f>+'A) Base RI'!B64</f>
        <v>Pampigny</v>
      </c>
      <c r="C63" s="296">
        <f>+'D) Ecrêtage'!C63</f>
        <v>43210.558962818002</v>
      </c>
      <c r="D63" s="421">
        <v>2173</v>
      </c>
      <c r="E63" s="421">
        <f t="shared" si="0"/>
        <v>1598625</v>
      </c>
      <c r="F63" s="541">
        <f t="shared" si="4"/>
        <v>36.996165714393818</v>
      </c>
      <c r="G63" s="421">
        <v>1600798</v>
      </c>
      <c r="H63" s="421">
        <v>89461</v>
      </c>
      <c r="I63" s="419">
        <v>170655</v>
      </c>
      <c r="J63" s="296">
        <f t="shared" si="5"/>
        <v>1860914</v>
      </c>
      <c r="K63" s="276">
        <f t="shared" si="1"/>
        <v>345684.47170254402</v>
      </c>
      <c r="L63" s="10">
        <f t="shared" si="6"/>
        <v>1515229.528297456</v>
      </c>
      <c r="M63" s="293">
        <f t="shared" si="7"/>
        <v>-1136422.146223092</v>
      </c>
      <c r="N63" s="10">
        <v>0</v>
      </c>
      <c r="O63" s="10">
        <f t="shared" si="8"/>
        <v>145606</v>
      </c>
      <c r="P63" s="423">
        <v>145606</v>
      </c>
      <c r="Q63" s="10">
        <f t="shared" si="2"/>
        <v>43210.558962818002</v>
      </c>
      <c r="R63" s="14">
        <f t="shared" si="9"/>
        <v>102395.441037182</v>
      </c>
      <c r="S63" s="2">
        <f t="shared" si="10"/>
        <v>-76796.580777886498</v>
      </c>
      <c r="T63" s="129">
        <f t="shared" si="11"/>
        <v>-1213218.7270009785</v>
      </c>
      <c r="U63" s="418">
        <f t="shared" si="3"/>
        <v>-28.07690425955688</v>
      </c>
      <c r="V63" s="125"/>
    </row>
    <row r="64" spans="1:22" x14ac:dyDescent="0.25">
      <c r="A64" s="49">
        <f>+'A) Base RI'!A65</f>
        <v>5495</v>
      </c>
      <c r="B64" s="446" t="str">
        <f>+'A) Base RI'!B65</f>
        <v>Penthalaz</v>
      </c>
      <c r="C64" s="296">
        <f>+'D) Ecrêtage'!C64</f>
        <v>95314.520135135113</v>
      </c>
      <c r="D64" s="421">
        <v>270209</v>
      </c>
      <c r="E64" s="421">
        <f t="shared" si="0"/>
        <v>566741</v>
      </c>
      <c r="F64" s="541">
        <f t="shared" si="4"/>
        <v>5.9460090571351083</v>
      </c>
      <c r="G64" s="421">
        <v>836950</v>
      </c>
      <c r="H64" s="421">
        <v>445552</v>
      </c>
      <c r="I64" s="419">
        <v>340318</v>
      </c>
      <c r="J64" s="296">
        <f t="shared" si="5"/>
        <v>1622820</v>
      </c>
      <c r="K64" s="276">
        <f t="shared" si="1"/>
        <v>762516.16108108091</v>
      </c>
      <c r="L64" s="10">
        <f t="shared" si="6"/>
        <v>860303.83891891909</v>
      </c>
      <c r="M64" s="293">
        <f t="shared" si="7"/>
        <v>-645227.87918918929</v>
      </c>
      <c r="N64" s="10">
        <v>0</v>
      </c>
      <c r="O64" s="10">
        <f t="shared" si="8"/>
        <v>89458</v>
      </c>
      <c r="P64" s="423">
        <v>89458</v>
      </c>
      <c r="Q64" s="10">
        <f t="shared" si="2"/>
        <v>95314.520135135113</v>
      </c>
      <c r="R64" s="14">
        <f t="shared" si="9"/>
        <v>0</v>
      </c>
      <c r="S64" s="2">
        <f t="shared" si="10"/>
        <v>0</v>
      </c>
      <c r="T64" s="129">
        <f t="shared" si="11"/>
        <v>-645227.87918918929</v>
      </c>
      <c r="U64" s="418">
        <f t="shared" si="3"/>
        <v>-6.7694605006078561</v>
      </c>
      <c r="V64" s="125"/>
    </row>
    <row r="65" spans="1:22" x14ac:dyDescent="0.25">
      <c r="A65" s="49">
        <f>+'A) Base RI'!A66</f>
        <v>5496</v>
      </c>
      <c r="B65" s="446" t="str">
        <f>+'A) Base RI'!B66</f>
        <v>Penthaz</v>
      </c>
      <c r="C65" s="296">
        <f>+'D) Ecrêtage'!C65</f>
        <v>56267.911654676267</v>
      </c>
      <c r="D65" s="421">
        <v>248189</v>
      </c>
      <c r="E65" s="421">
        <f t="shared" si="0"/>
        <v>182752</v>
      </c>
      <c r="F65" s="541">
        <f t="shared" si="4"/>
        <v>3.2478902206567319</v>
      </c>
      <c r="G65" s="421">
        <v>430941</v>
      </c>
      <c r="H65" s="421">
        <v>185480</v>
      </c>
      <c r="I65" s="419">
        <v>209215</v>
      </c>
      <c r="J65" s="296">
        <f t="shared" si="5"/>
        <v>825636</v>
      </c>
      <c r="K65" s="276">
        <f t="shared" si="1"/>
        <v>450143.29323741014</v>
      </c>
      <c r="L65" s="10">
        <f t="shared" si="6"/>
        <v>375492.70676258986</v>
      </c>
      <c r="M65" s="293">
        <f t="shared" si="7"/>
        <v>-281619.53007194237</v>
      </c>
      <c r="N65" s="10">
        <v>0</v>
      </c>
      <c r="O65" s="10">
        <f t="shared" si="8"/>
        <v>13939</v>
      </c>
      <c r="P65" s="423">
        <v>13939</v>
      </c>
      <c r="Q65" s="10">
        <f t="shared" si="2"/>
        <v>56267.911654676267</v>
      </c>
      <c r="R65" s="14">
        <f t="shared" si="9"/>
        <v>0</v>
      </c>
      <c r="S65" s="2">
        <f t="shared" si="10"/>
        <v>0</v>
      </c>
      <c r="T65" s="129">
        <f t="shared" si="11"/>
        <v>-281619.53007194237</v>
      </c>
      <c r="U65" s="418">
        <f t="shared" si="3"/>
        <v>-5.0049756920121586</v>
      </c>
      <c r="V65" s="125"/>
    </row>
    <row r="66" spans="1:22" x14ac:dyDescent="0.25">
      <c r="A66" s="49">
        <f>+'A) Base RI'!A67</f>
        <v>5497</v>
      </c>
      <c r="B66" s="446" t="str">
        <f>+'A) Base RI'!B67</f>
        <v>Pompaples</v>
      </c>
      <c r="C66" s="296">
        <f>+'D) Ecrêtage'!C66</f>
        <v>22253.499393939397</v>
      </c>
      <c r="D66" s="421">
        <v>79015</v>
      </c>
      <c r="E66" s="421">
        <f t="shared" si="0"/>
        <v>133243</v>
      </c>
      <c r="F66" s="541">
        <f t="shared" si="4"/>
        <v>5.9875077461429687</v>
      </c>
      <c r="G66" s="421">
        <v>212258</v>
      </c>
      <c r="H66" s="421">
        <v>33588</v>
      </c>
      <c r="I66" s="419">
        <v>94216</v>
      </c>
      <c r="J66" s="296">
        <f t="shared" si="5"/>
        <v>340062</v>
      </c>
      <c r="K66" s="276">
        <f t="shared" si="1"/>
        <v>178027.99515151518</v>
      </c>
      <c r="L66" s="10">
        <f t="shared" si="6"/>
        <v>162034.00484848482</v>
      </c>
      <c r="M66" s="293">
        <f t="shared" si="7"/>
        <v>-121525.50363636362</v>
      </c>
      <c r="N66" s="10">
        <v>0</v>
      </c>
      <c r="O66" s="10">
        <f t="shared" si="8"/>
        <v>11133</v>
      </c>
      <c r="P66" s="423">
        <v>11133</v>
      </c>
      <c r="Q66" s="10">
        <f t="shared" si="2"/>
        <v>22253.499393939397</v>
      </c>
      <c r="R66" s="14">
        <f t="shared" si="9"/>
        <v>0</v>
      </c>
      <c r="S66" s="2">
        <f t="shared" si="10"/>
        <v>0</v>
      </c>
      <c r="T66" s="129">
        <f t="shared" si="11"/>
        <v>-121525.50363636362</v>
      </c>
      <c r="U66" s="418">
        <f t="shared" si="3"/>
        <v>-5.4609615092474098</v>
      </c>
      <c r="V66" s="125"/>
    </row>
    <row r="67" spans="1:22" x14ac:dyDescent="0.25">
      <c r="A67" s="49">
        <f>+'A) Base RI'!A68</f>
        <v>5498</v>
      </c>
      <c r="B67" s="446" t="str">
        <f>+'A) Base RI'!B68</f>
        <v>La Sarraz</v>
      </c>
      <c r="C67" s="296">
        <f>+'D) Ecrêtage'!C67</f>
        <v>74682.149090909108</v>
      </c>
      <c r="D67" s="421">
        <v>297722</v>
      </c>
      <c r="E67" s="421">
        <f t="shared" si="0"/>
        <v>462551</v>
      </c>
      <c r="F67" s="541">
        <f t="shared" si="4"/>
        <v>6.1935951981904775</v>
      </c>
      <c r="G67" s="421">
        <v>760273</v>
      </c>
      <c r="H67" s="421">
        <v>257558</v>
      </c>
      <c r="I67" s="419">
        <v>290748</v>
      </c>
      <c r="J67" s="296">
        <f t="shared" si="5"/>
        <v>1308579</v>
      </c>
      <c r="K67" s="276">
        <f t="shared" si="1"/>
        <v>597457.19272727286</v>
      </c>
      <c r="L67" s="10">
        <f t="shared" si="6"/>
        <v>711121.80727272714</v>
      </c>
      <c r="M67" s="293">
        <f t="shared" si="7"/>
        <v>-533341.35545454535</v>
      </c>
      <c r="N67" s="10">
        <v>0</v>
      </c>
      <c r="O67" s="10">
        <f t="shared" si="8"/>
        <v>32308</v>
      </c>
      <c r="P67" s="423">
        <v>32308</v>
      </c>
      <c r="Q67" s="10">
        <f t="shared" si="2"/>
        <v>74682.149090909108</v>
      </c>
      <c r="R67" s="14">
        <f t="shared" si="9"/>
        <v>0</v>
      </c>
      <c r="S67" s="2">
        <f t="shared" si="10"/>
        <v>0</v>
      </c>
      <c r="T67" s="129">
        <f t="shared" si="11"/>
        <v>-533341.35545454535</v>
      </c>
      <c r="U67" s="418">
        <f t="shared" si="3"/>
        <v>-7.1414837674973635</v>
      </c>
      <c r="V67" s="125"/>
    </row>
    <row r="68" spans="1:22" x14ac:dyDescent="0.25">
      <c r="A68" s="49">
        <f>+'A) Base RI'!A69</f>
        <v>5499</v>
      </c>
      <c r="B68" s="446" t="str">
        <f>+'A) Base RI'!B69</f>
        <v>Senarclens</v>
      </c>
      <c r="C68" s="296">
        <f>+'D) Ecrêtage'!C68</f>
        <v>18238.904233576643</v>
      </c>
      <c r="D68" s="421">
        <v>0</v>
      </c>
      <c r="E68" s="421">
        <f t="shared" si="0"/>
        <v>267219</v>
      </c>
      <c r="F68" s="541">
        <f t="shared" si="4"/>
        <v>14.651044633924176</v>
      </c>
      <c r="G68" s="421">
        <v>267219</v>
      </c>
      <c r="H68" s="421">
        <v>19669</v>
      </c>
      <c r="I68" s="419">
        <v>84211</v>
      </c>
      <c r="J68" s="296">
        <f t="shared" si="5"/>
        <v>371099</v>
      </c>
      <c r="K68" s="276">
        <f t="shared" si="1"/>
        <v>145911.23386861314</v>
      </c>
      <c r="L68" s="10">
        <f t="shared" si="6"/>
        <v>225187.76613138686</v>
      </c>
      <c r="M68" s="293">
        <f t="shared" si="7"/>
        <v>-168890.82459854014</v>
      </c>
      <c r="N68" s="10">
        <v>0</v>
      </c>
      <c r="O68" s="10">
        <f t="shared" si="8"/>
        <v>8306</v>
      </c>
      <c r="P68" s="423">
        <v>8306</v>
      </c>
      <c r="Q68" s="10">
        <f t="shared" si="2"/>
        <v>18238.904233576643</v>
      </c>
      <c r="R68" s="14">
        <f t="shared" si="9"/>
        <v>0</v>
      </c>
      <c r="S68" s="2">
        <f t="shared" si="10"/>
        <v>0</v>
      </c>
      <c r="T68" s="129">
        <f t="shared" si="11"/>
        <v>-168890.82459854014</v>
      </c>
      <c r="U68" s="418">
        <f t="shared" si="3"/>
        <v>-9.2599216726859641</v>
      </c>
      <c r="V68" s="125"/>
    </row>
    <row r="69" spans="1:22" x14ac:dyDescent="0.25">
      <c r="A69" s="49">
        <f>+'A) Base RI'!A70</f>
        <v>5500</v>
      </c>
      <c r="B69" s="446" t="str">
        <f>+'A) Base RI'!B70</f>
        <v>Sévery</v>
      </c>
      <c r="C69" s="296">
        <f>+'D) Ecrêtage'!C69</f>
        <v>7230.3632420091335</v>
      </c>
      <c r="D69" s="421">
        <v>3930</v>
      </c>
      <c r="E69" s="421">
        <f t="shared" si="0"/>
        <v>30842</v>
      </c>
      <c r="F69" s="541">
        <f t="shared" si="4"/>
        <v>4.2656224822571698</v>
      </c>
      <c r="G69" s="421">
        <v>34772</v>
      </c>
      <c r="H69" s="421">
        <v>12729</v>
      </c>
      <c r="I69" s="419">
        <v>33384</v>
      </c>
      <c r="J69" s="296">
        <f t="shared" si="5"/>
        <v>80885</v>
      </c>
      <c r="K69" s="276">
        <f t="shared" si="1"/>
        <v>57842.905936073068</v>
      </c>
      <c r="L69" s="10">
        <f t="shared" si="6"/>
        <v>23042.094063926932</v>
      </c>
      <c r="M69" s="293">
        <f t="shared" si="7"/>
        <v>-17281.570547945201</v>
      </c>
      <c r="N69" s="10">
        <v>0</v>
      </c>
      <c r="O69" s="10">
        <f t="shared" si="8"/>
        <v>5192</v>
      </c>
      <c r="P69" s="423">
        <v>5192</v>
      </c>
      <c r="Q69" s="10">
        <f t="shared" si="2"/>
        <v>7230.3632420091335</v>
      </c>
      <c r="R69" s="14">
        <f t="shared" si="9"/>
        <v>0</v>
      </c>
      <c r="S69" s="2">
        <f t="shared" si="10"/>
        <v>0</v>
      </c>
      <c r="T69" s="129">
        <f t="shared" si="11"/>
        <v>-17281.570547945201</v>
      </c>
      <c r="U69" s="418">
        <f t="shared" si="3"/>
        <v>-2.3901386375082163</v>
      </c>
      <c r="V69" s="125"/>
    </row>
    <row r="70" spans="1:22" x14ac:dyDescent="0.25">
      <c r="A70" s="49">
        <f>+'A) Base RI'!A71</f>
        <v>5501</v>
      </c>
      <c r="B70" s="446" t="str">
        <f>+'A) Base RI'!B71</f>
        <v>Sullens</v>
      </c>
      <c r="C70" s="296">
        <f>+'D) Ecrêtage'!C70</f>
        <v>43195.598978102193</v>
      </c>
      <c r="D70" s="421">
        <v>107716</v>
      </c>
      <c r="E70" s="421">
        <f t="shared" ref="E70:E133" si="12">+G70-D70</f>
        <v>170228</v>
      </c>
      <c r="F70" s="541">
        <f t="shared" si="4"/>
        <v>3.9408644405254409</v>
      </c>
      <c r="G70" s="421">
        <v>277944</v>
      </c>
      <c r="H70" s="421">
        <v>50687</v>
      </c>
      <c r="I70" s="419">
        <v>49971</v>
      </c>
      <c r="J70" s="296">
        <f t="shared" si="5"/>
        <v>378602</v>
      </c>
      <c r="K70" s="276">
        <f t="shared" ref="K70:K133" si="13">+C70*$L$5</f>
        <v>345564.79182481754</v>
      </c>
      <c r="L70" s="10">
        <f t="shared" si="6"/>
        <v>33037.208175182459</v>
      </c>
      <c r="M70" s="293">
        <f t="shared" si="7"/>
        <v>-24777.906131386844</v>
      </c>
      <c r="N70" s="10">
        <v>0</v>
      </c>
      <c r="O70" s="10">
        <f t="shared" si="8"/>
        <v>53251</v>
      </c>
      <c r="P70" s="423">
        <v>53251</v>
      </c>
      <c r="Q70" s="10">
        <f t="shared" ref="Q70:Q133" si="14">C70*R$5</f>
        <v>43195.598978102193</v>
      </c>
      <c r="R70" s="14">
        <f t="shared" si="9"/>
        <v>10055.401021897807</v>
      </c>
      <c r="S70" s="2">
        <f t="shared" si="10"/>
        <v>-7541.5507664233555</v>
      </c>
      <c r="T70" s="129">
        <f t="shared" si="11"/>
        <v>-32319.4568978102</v>
      </c>
      <c r="U70" s="418">
        <f t="shared" ref="U70:U133" si="15">+T70/C70</f>
        <v>-0.74821180079466887</v>
      </c>
      <c r="V70" s="125"/>
    </row>
    <row r="71" spans="1:22" x14ac:dyDescent="0.25">
      <c r="A71" s="49">
        <f>+'A) Base RI'!A72</f>
        <v>5503</v>
      </c>
      <c r="B71" s="446" t="str">
        <f>+'A) Base RI'!B72</f>
        <v>Vufflens-la-Ville</v>
      </c>
      <c r="C71" s="296">
        <f>+'D) Ecrêtage'!C71</f>
        <v>79029.714875621881</v>
      </c>
      <c r="D71" s="421">
        <v>57511</v>
      </c>
      <c r="E71" s="421">
        <f t="shared" si="12"/>
        <v>76916</v>
      </c>
      <c r="F71" s="541">
        <f t="shared" ref="F71:F134" si="16">+E71/C71</f>
        <v>0.97325417561042105</v>
      </c>
      <c r="G71" s="421">
        <v>134427</v>
      </c>
      <c r="H71" s="421">
        <v>133736</v>
      </c>
      <c r="I71" s="419">
        <v>136621</v>
      </c>
      <c r="J71" s="296">
        <f t="shared" ref="J71:J134" si="17">+G71+H71+I71</f>
        <v>404784</v>
      </c>
      <c r="K71" s="276">
        <f t="shared" si="13"/>
        <v>632237.71900497505</v>
      </c>
      <c r="L71" s="10">
        <f t="shared" ref="L71:L134" si="18">IF(J71&gt;K71,J71-K71,0)</f>
        <v>0</v>
      </c>
      <c r="M71" s="293">
        <f t="shared" ref="M71:M134" si="19">-L71*M$5</f>
        <v>0</v>
      </c>
      <c r="N71" s="10">
        <v>0</v>
      </c>
      <c r="O71" s="10">
        <f t="shared" ref="O71:O134" si="20">+P71-N71</f>
        <v>47207</v>
      </c>
      <c r="P71" s="423">
        <v>47207</v>
      </c>
      <c r="Q71" s="10">
        <f t="shared" si="14"/>
        <v>79029.714875621881</v>
      </c>
      <c r="R71" s="14">
        <f t="shared" ref="R71:R134" si="21">IF(P71&gt;Q71,P71-Q71,0)</f>
        <v>0</v>
      </c>
      <c r="S71" s="2">
        <f t="shared" ref="S71:S134" si="22">-R71*S$5</f>
        <v>0</v>
      </c>
      <c r="T71" s="129">
        <f t="shared" ref="T71:T134" si="23">S71+M71</f>
        <v>0</v>
      </c>
      <c r="U71" s="418">
        <f t="shared" si="15"/>
        <v>0</v>
      </c>
      <c r="V71" s="125"/>
    </row>
    <row r="72" spans="1:22" x14ac:dyDescent="0.25">
      <c r="A72" s="49">
        <f>+'A) Base RI'!A73</f>
        <v>5511</v>
      </c>
      <c r="B72" s="446" t="str">
        <f>+'A) Base RI'!B73</f>
        <v>Assens</v>
      </c>
      <c r="C72" s="296">
        <f>+'D) Ecrêtage'!C72</f>
        <v>47333.455142857143</v>
      </c>
      <c r="D72" s="421">
        <v>68333</v>
      </c>
      <c r="E72" s="421">
        <f t="shared" si="12"/>
        <v>522445</v>
      </c>
      <c r="F72" s="541">
        <f t="shared" si="16"/>
        <v>11.037542018075973</v>
      </c>
      <c r="G72" s="421">
        <v>590778</v>
      </c>
      <c r="H72" s="421">
        <v>92593</v>
      </c>
      <c r="I72" s="419">
        <v>100340</v>
      </c>
      <c r="J72" s="296">
        <f t="shared" si="17"/>
        <v>783711</v>
      </c>
      <c r="K72" s="276">
        <f t="shared" si="13"/>
        <v>378667.64114285714</v>
      </c>
      <c r="L72" s="10">
        <f t="shared" si="18"/>
        <v>405043.35885714286</v>
      </c>
      <c r="M72" s="293">
        <f t="shared" si="19"/>
        <v>-303782.51914285717</v>
      </c>
      <c r="N72" s="10">
        <v>0</v>
      </c>
      <c r="O72" s="10">
        <f t="shared" si="20"/>
        <v>7334</v>
      </c>
      <c r="P72" s="423">
        <v>7334</v>
      </c>
      <c r="Q72" s="10">
        <f t="shared" si="14"/>
        <v>47333.455142857143</v>
      </c>
      <c r="R72" s="14">
        <f t="shared" si="21"/>
        <v>0</v>
      </c>
      <c r="S72" s="2">
        <f t="shared" si="22"/>
        <v>0</v>
      </c>
      <c r="T72" s="129">
        <f t="shared" si="23"/>
        <v>-303782.51914285717</v>
      </c>
      <c r="U72" s="418">
        <f t="shared" si="15"/>
        <v>-6.4179240291250848</v>
      </c>
      <c r="V72" s="125"/>
    </row>
    <row r="73" spans="1:22" x14ac:dyDescent="0.25">
      <c r="A73" s="49">
        <f>+'A) Base RI'!A74</f>
        <v>5512</v>
      </c>
      <c r="B73" s="446" t="str">
        <f>+'A) Base RI'!B74</f>
        <v>Bercher</v>
      </c>
      <c r="C73" s="296">
        <f>+'D) Ecrêtage'!C73</f>
        <v>40764.12544303797</v>
      </c>
      <c r="D73" s="421">
        <v>237887</v>
      </c>
      <c r="E73" s="421">
        <f t="shared" si="12"/>
        <v>172236</v>
      </c>
      <c r="F73" s="541">
        <f t="shared" si="16"/>
        <v>4.225185702577507</v>
      </c>
      <c r="G73" s="421">
        <v>410123</v>
      </c>
      <c r="H73" s="421">
        <v>107362</v>
      </c>
      <c r="I73" s="419">
        <v>116345</v>
      </c>
      <c r="J73" s="296">
        <f t="shared" si="17"/>
        <v>633830</v>
      </c>
      <c r="K73" s="276">
        <f t="shared" si="13"/>
        <v>326113.00354430376</v>
      </c>
      <c r="L73" s="10">
        <f t="shared" si="18"/>
        <v>307716.99645569624</v>
      </c>
      <c r="M73" s="293">
        <f t="shared" si="19"/>
        <v>-230787.74734177219</v>
      </c>
      <c r="N73" s="10">
        <v>0</v>
      </c>
      <c r="O73" s="10">
        <f t="shared" si="20"/>
        <v>16074</v>
      </c>
      <c r="P73" s="423">
        <v>16074</v>
      </c>
      <c r="Q73" s="10">
        <f t="shared" si="14"/>
        <v>40764.12544303797</v>
      </c>
      <c r="R73" s="14">
        <f t="shared" si="21"/>
        <v>0</v>
      </c>
      <c r="S73" s="2">
        <f t="shared" si="22"/>
        <v>0</v>
      </c>
      <c r="T73" s="129">
        <f t="shared" si="23"/>
        <v>-230787.74734177219</v>
      </c>
      <c r="U73" s="418">
        <f t="shared" si="15"/>
        <v>-5.6615405048800822</v>
      </c>
      <c r="V73" s="125"/>
    </row>
    <row r="74" spans="1:22" x14ac:dyDescent="0.25">
      <c r="A74" s="49">
        <f>+'A) Base RI'!A75</f>
        <v>5513</v>
      </c>
      <c r="B74" s="446" t="str">
        <f>+'A) Base RI'!B75</f>
        <v>Bioley-Orjulaz</v>
      </c>
      <c r="C74" s="296">
        <f>+'D) Ecrêtage'!C74</f>
        <v>22739.022647058824</v>
      </c>
      <c r="D74" s="421">
        <v>12667</v>
      </c>
      <c r="E74" s="421">
        <f t="shared" si="12"/>
        <v>426023</v>
      </c>
      <c r="F74" s="541">
        <f t="shared" si="16"/>
        <v>18.735325902633019</v>
      </c>
      <c r="G74" s="421">
        <v>438690</v>
      </c>
      <c r="H74" s="421">
        <v>17042</v>
      </c>
      <c r="I74" s="419">
        <v>46169</v>
      </c>
      <c r="J74" s="296">
        <f t="shared" si="17"/>
        <v>501901</v>
      </c>
      <c r="K74" s="276">
        <f t="shared" si="13"/>
        <v>181912.18117647059</v>
      </c>
      <c r="L74" s="10">
        <f t="shared" si="18"/>
        <v>319988.81882352941</v>
      </c>
      <c r="M74" s="293">
        <f t="shared" si="19"/>
        <v>-239991.61411764706</v>
      </c>
      <c r="N74" s="10">
        <v>0</v>
      </c>
      <c r="O74" s="10">
        <f t="shared" si="20"/>
        <v>37447</v>
      </c>
      <c r="P74" s="423">
        <v>37447</v>
      </c>
      <c r="Q74" s="10">
        <f t="shared" si="14"/>
        <v>22739.022647058824</v>
      </c>
      <c r="R74" s="14">
        <f t="shared" si="21"/>
        <v>14707.977352941176</v>
      </c>
      <c r="S74" s="2">
        <f t="shared" si="22"/>
        <v>-11030.983014705882</v>
      </c>
      <c r="T74" s="129">
        <f t="shared" si="23"/>
        <v>-251022.59713235294</v>
      </c>
      <c r="U74" s="418">
        <f t="shared" si="15"/>
        <v>-11.039287001405992</v>
      </c>
      <c r="V74" s="125"/>
    </row>
    <row r="75" spans="1:22" x14ac:dyDescent="0.25">
      <c r="A75" s="49">
        <f>+'A) Base RI'!A76</f>
        <v>5514</v>
      </c>
      <c r="B75" s="446" t="str">
        <f>+'A) Base RI'!B76</f>
        <v>Bottens</v>
      </c>
      <c r="C75" s="296">
        <f>+'D) Ecrêtage'!C75</f>
        <v>44223.41544827586</v>
      </c>
      <c r="D75" s="421">
        <v>123195</v>
      </c>
      <c r="E75" s="421">
        <f t="shared" si="12"/>
        <v>105307</v>
      </c>
      <c r="F75" s="541">
        <f t="shared" si="16"/>
        <v>2.3812498182816317</v>
      </c>
      <c r="G75" s="421">
        <v>228502</v>
      </c>
      <c r="H75" s="421">
        <v>64758</v>
      </c>
      <c r="I75" s="419">
        <v>116960</v>
      </c>
      <c r="J75" s="296">
        <f t="shared" si="17"/>
        <v>410220</v>
      </c>
      <c r="K75" s="276">
        <f t="shared" si="13"/>
        <v>353787.32358620688</v>
      </c>
      <c r="L75" s="10">
        <f t="shared" si="18"/>
        <v>56432.676413793117</v>
      </c>
      <c r="M75" s="293">
        <f t="shared" si="19"/>
        <v>-42324.507310344838</v>
      </c>
      <c r="N75" s="10">
        <v>0</v>
      </c>
      <c r="O75" s="10">
        <f t="shared" si="20"/>
        <v>13006</v>
      </c>
      <c r="P75" s="423">
        <v>13006</v>
      </c>
      <c r="Q75" s="10">
        <f t="shared" si="14"/>
        <v>44223.41544827586</v>
      </c>
      <c r="R75" s="14">
        <f t="shared" si="21"/>
        <v>0</v>
      </c>
      <c r="S75" s="2">
        <f t="shared" si="22"/>
        <v>0</v>
      </c>
      <c r="T75" s="129">
        <f t="shared" si="23"/>
        <v>-42324.507310344838</v>
      </c>
      <c r="U75" s="418">
        <f t="shared" si="15"/>
        <v>-0.95706102482853217</v>
      </c>
      <c r="V75" s="125"/>
    </row>
    <row r="76" spans="1:22" x14ac:dyDescent="0.25">
      <c r="A76" s="49">
        <f>+'A) Base RI'!A77</f>
        <v>5515</v>
      </c>
      <c r="B76" s="446" t="str">
        <f>+'A) Base RI'!B77</f>
        <v>Bretigny-sur-Morrens</v>
      </c>
      <c r="C76" s="296">
        <f>+'D) Ecrêtage'!C76</f>
        <v>32348.775256410252</v>
      </c>
      <c r="D76" s="421">
        <v>55010</v>
      </c>
      <c r="E76" s="421">
        <f t="shared" si="12"/>
        <v>377227</v>
      </c>
      <c r="F76" s="541">
        <f t="shared" si="16"/>
        <v>11.661245194290577</v>
      </c>
      <c r="G76" s="421">
        <v>432237</v>
      </c>
      <c r="H76" s="421">
        <v>41825</v>
      </c>
      <c r="I76" s="419">
        <v>62724</v>
      </c>
      <c r="J76" s="296">
        <f t="shared" si="17"/>
        <v>536786</v>
      </c>
      <c r="K76" s="276">
        <f t="shared" si="13"/>
        <v>258790.20205128202</v>
      </c>
      <c r="L76" s="10">
        <f t="shared" si="18"/>
        <v>277995.79794871795</v>
      </c>
      <c r="M76" s="293">
        <f t="shared" si="19"/>
        <v>-208496.84846153847</v>
      </c>
      <c r="N76" s="10">
        <v>0</v>
      </c>
      <c r="O76" s="10">
        <f t="shared" si="20"/>
        <v>128373</v>
      </c>
      <c r="P76" s="423">
        <v>128373</v>
      </c>
      <c r="Q76" s="10">
        <f t="shared" si="14"/>
        <v>32348.775256410252</v>
      </c>
      <c r="R76" s="14">
        <f t="shared" si="21"/>
        <v>96024.224743589744</v>
      </c>
      <c r="S76" s="2">
        <f t="shared" si="22"/>
        <v>-72018.168557692305</v>
      </c>
      <c r="T76" s="129">
        <f t="shared" si="23"/>
        <v>-280515.01701923076</v>
      </c>
      <c r="U76" s="418">
        <f t="shared" si="15"/>
        <v>-8.6715807567905916</v>
      </c>
      <c r="V76" s="125"/>
    </row>
    <row r="77" spans="1:22" x14ac:dyDescent="0.25">
      <c r="A77" s="49">
        <f>+'A) Base RI'!A78</f>
        <v>5516</v>
      </c>
      <c r="B77" s="446" t="str">
        <f>+'A) Base RI'!B78</f>
        <v>Cugy</v>
      </c>
      <c r="C77" s="296">
        <f>+'D) Ecrêtage'!C77</f>
        <v>111604.91621794872</v>
      </c>
      <c r="D77" s="421">
        <v>367108</v>
      </c>
      <c r="E77" s="421">
        <f t="shared" si="12"/>
        <v>524933</v>
      </c>
      <c r="F77" s="541">
        <f t="shared" si="16"/>
        <v>4.7034935179278268</v>
      </c>
      <c r="G77" s="421">
        <v>892041</v>
      </c>
      <c r="H77" s="421">
        <v>134386</v>
      </c>
      <c r="I77" s="419">
        <v>219816</v>
      </c>
      <c r="J77" s="296">
        <f t="shared" si="17"/>
        <v>1246243</v>
      </c>
      <c r="K77" s="276">
        <f t="shared" si="13"/>
        <v>892839.32974358974</v>
      </c>
      <c r="L77" s="10">
        <f t="shared" si="18"/>
        <v>353403.67025641026</v>
      </c>
      <c r="M77" s="293">
        <f t="shared" si="19"/>
        <v>-265052.75269230769</v>
      </c>
      <c r="N77" s="10">
        <v>0</v>
      </c>
      <c r="O77" s="10">
        <f t="shared" si="20"/>
        <v>9396</v>
      </c>
      <c r="P77" s="423">
        <v>9396</v>
      </c>
      <c r="Q77" s="10">
        <f t="shared" si="14"/>
        <v>111604.91621794872</v>
      </c>
      <c r="R77" s="14">
        <f t="shared" si="21"/>
        <v>0</v>
      </c>
      <c r="S77" s="2">
        <f t="shared" si="22"/>
        <v>0</v>
      </c>
      <c r="T77" s="129">
        <f t="shared" si="23"/>
        <v>-265052.75269230769</v>
      </c>
      <c r="U77" s="418">
        <f t="shared" si="15"/>
        <v>-2.3749200454099793</v>
      </c>
      <c r="V77" s="125"/>
    </row>
    <row r="78" spans="1:22" x14ac:dyDescent="0.25">
      <c r="A78" s="49">
        <f>+'A) Base RI'!A79</f>
        <v>5518</v>
      </c>
      <c r="B78" s="446" t="str">
        <f>+'A) Base RI'!B79</f>
        <v>Echallens</v>
      </c>
      <c r="C78" s="296">
        <f>+'D) Ecrêtage'!C78</f>
        <v>183030.51158620688</v>
      </c>
      <c r="D78" s="421">
        <v>1001227</v>
      </c>
      <c r="E78" s="421">
        <f t="shared" si="12"/>
        <v>1362267</v>
      </c>
      <c r="F78" s="541">
        <f t="shared" si="16"/>
        <v>7.4428410224837069</v>
      </c>
      <c r="G78" s="421">
        <v>2363494</v>
      </c>
      <c r="H78" s="421">
        <v>465075</v>
      </c>
      <c r="I78" s="419">
        <v>503984</v>
      </c>
      <c r="J78" s="296">
        <f t="shared" si="17"/>
        <v>3332553</v>
      </c>
      <c r="K78" s="276">
        <f t="shared" si="13"/>
        <v>1464244.092689655</v>
      </c>
      <c r="L78" s="10">
        <f t="shared" si="18"/>
        <v>1868308.907310345</v>
      </c>
      <c r="M78" s="293">
        <f t="shared" si="19"/>
        <v>-1401231.6804827587</v>
      </c>
      <c r="N78" s="10">
        <v>0</v>
      </c>
      <c r="O78" s="10">
        <f t="shared" si="20"/>
        <v>89832</v>
      </c>
      <c r="P78" s="423">
        <v>89832</v>
      </c>
      <c r="Q78" s="10">
        <f t="shared" si="14"/>
        <v>183030.51158620688</v>
      </c>
      <c r="R78" s="14">
        <f t="shared" si="21"/>
        <v>0</v>
      </c>
      <c r="S78" s="2">
        <f t="shared" si="22"/>
        <v>0</v>
      </c>
      <c r="T78" s="129">
        <f t="shared" si="23"/>
        <v>-1401231.6804827587</v>
      </c>
      <c r="U78" s="418">
        <f t="shared" si="15"/>
        <v>-7.6557272792344371</v>
      </c>
      <c r="V78" s="125"/>
    </row>
    <row r="79" spans="1:22" x14ac:dyDescent="0.25">
      <c r="A79" s="49">
        <f>+'A) Base RI'!A80</f>
        <v>5520</v>
      </c>
      <c r="B79" s="446" t="str">
        <f>+'A) Base RI'!B80</f>
        <v>Essertines-sur-Yverdon</v>
      </c>
      <c r="C79" s="296">
        <f>+'D) Ecrêtage'!C79</f>
        <v>31696.699178082192</v>
      </c>
      <c r="D79" s="421">
        <v>20535</v>
      </c>
      <c r="E79" s="421">
        <f t="shared" si="12"/>
        <v>329559</v>
      </c>
      <c r="F79" s="541">
        <f t="shared" si="16"/>
        <v>10.397265600068707</v>
      </c>
      <c r="G79" s="421">
        <v>350094</v>
      </c>
      <c r="H79" s="421">
        <v>68444</v>
      </c>
      <c r="I79" s="419">
        <v>91106</v>
      </c>
      <c r="J79" s="296">
        <f t="shared" si="17"/>
        <v>509644</v>
      </c>
      <c r="K79" s="276">
        <f t="shared" si="13"/>
        <v>253573.59342465753</v>
      </c>
      <c r="L79" s="10">
        <f t="shared" si="18"/>
        <v>256070.40657534247</v>
      </c>
      <c r="M79" s="293">
        <f t="shared" si="19"/>
        <v>-192052.80493150686</v>
      </c>
      <c r="N79" s="10">
        <v>0</v>
      </c>
      <c r="O79" s="10">
        <f t="shared" si="20"/>
        <v>74299</v>
      </c>
      <c r="P79" s="423">
        <v>74299</v>
      </c>
      <c r="Q79" s="10">
        <f t="shared" si="14"/>
        <v>31696.699178082192</v>
      </c>
      <c r="R79" s="14">
        <f t="shared" si="21"/>
        <v>42602.300821917808</v>
      </c>
      <c r="S79" s="2">
        <f t="shared" si="22"/>
        <v>-31951.725616438358</v>
      </c>
      <c r="T79" s="129">
        <f t="shared" si="23"/>
        <v>-224004.53054794524</v>
      </c>
      <c r="U79" s="418">
        <f t="shared" si="15"/>
        <v>-7.0671248538977558</v>
      </c>
      <c r="V79" s="125"/>
    </row>
    <row r="80" spans="1:22" x14ac:dyDescent="0.25">
      <c r="A80" s="49">
        <f>+'A) Base RI'!A81</f>
        <v>5521</v>
      </c>
      <c r="B80" s="446" t="str">
        <f>+'A) Base RI'!B81</f>
        <v>Etagnières</v>
      </c>
      <c r="C80" s="296">
        <f>+'D) Ecrêtage'!C80</f>
        <v>42645.35479452055</v>
      </c>
      <c r="D80" s="421">
        <v>59395</v>
      </c>
      <c r="E80" s="421">
        <f t="shared" si="12"/>
        <v>217030</v>
      </c>
      <c r="F80" s="541">
        <f t="shared" si="16"/>
        <v>5.0891826564867957</v>
      </c>
      <c r="G80" s="421">
        <v>276425</v>
      </c>
      <c r="H80" s="421">
        <v>93161</v>
      </c>
      <c r="I80" s="419">
        <v>100955</v>
      </c>
      <c r="J80" s="296">
        <f t="shared" si="17"/>
        <v>470541</v>
      </c>
      <c r="K80" s="276">
        <f t="shared" si="13"/>
        <v>341162.8383561644</v>
      </c>
      <c r="L80" s="10">
        <f t="shared" si="18"/>
        <v>129378.1616438356</v>
      </c>
      <c r="M80" s="293">
        <f t="shared" si="19"/>
        <v>-97033.6212328767</v>
      </c>
      <c r="N80" s="10">
        <v>0</v>
      </c>
      <c r="O80" s="10">
        <f t="shared" si="20"/>
        <v>15286</v>
      </c>
      <c r="P80" s="423">
        <v>15286</v>
      </c>
      <c r="Q80" s="10">
        <f t="shared" si="14"/>
        <v>42645.35479452055</v>
      </c>
      <c r="R80" s="14">
        <f t="shared" si="21"/>
        <v>0</v>
      </c>
      <c r="S80" s="2">
        <f t="shared" si="22"/>
        <v>0</v>
      </c>
      <c r="T80" s="129">
        <f t="shared" si="23"/>
        <v>-97033.6212328767</v>
      </c>
      <c r="U80" s="418">
        <f t="shared" si="15"/>
        <v>-2.2753620341633183</v>
      </c>
      <c r="V80" s="125"/>
    </row>
    <row r="81" spans="1:22" x14ac:dyDescent="0.25">
      <c r="A81" s="49">
        <f>+'A) Base RI'!A82</f>
        <v>5522</v>
      </c>
      <c r="B81" s="446" t="str">
        <f>+'A) Base RI'!B82</f>
        <v>Fey</v>
      </c>
      <c r="C81" s="296">
        <f>+'D) Ecrêtage'!C81</f>
        <v>23924.3328</v>
      </c>
      <c r="D81" s="421">
        <v>1560</v>
      </c>
      <c r="E81" s="421">
        <f t="shared" si="12"/>
        <v>109506</v>
      </c>
      <c r="F81" s="541">
        <f t="shared" si="16"/>
        <v>4.5771809360551945</v>
      </c>
      <c r="G81" s="421">
        <v>111066</v>
      </c>
      <c r="H81" s="421">
        <v>60782</v>
      </c>
      <c r="I81" s="419">
        <v>65867</v>
      </c>
      <c r="J81" s="296">
        <f t="shared" si="17"/>
        <v>237715</v>
      </c>
      <c r="K81" s="276">
        <f t="shared" si="13"/>
        <v>191394.6624</v>
      </c>
      <c r="L81" s="10">
        <f t="shared" si="18"/>
        <v>46320.337599999999</v>
      </c>
      <c r="M81" s="293">
        <f t="shared" si="19"/>
        <v>-34740.253199999999</v>
      </c>
      <c r="N81" s="10">
        <v>0</v>
      </c>
      <c r="O81" s="10">
        <f t="shared" si="20"/>
        <v>20481</v>
      </c>
      <c r="P81" s="423">
        <v>20481</v>
      </c>
      <c r="Q81" s="10">
        <f t="shared" si="14"/>
        <v>23924.3328</v>
      </c>
      <c r="R81" s="14">
        <f t="shared" si="21"/>
        <v>0</v>
      </c>
      <c r="S81" s="2">
        <f t="shared" si="22"/>
        <v>0</v>
      </c>
      <c r="T81" s="129">
        <f t="shared" si="23"/>
        <v>-34740.253199999999</v>
      </c>
      <c r="U81" s="418">
        <f t="shared" si="15"/>
        <v>-1.4520886952383474</v>
      </c>
      <c r="V81" s="125"/>
    </row>
    <row r="82" spans="1:22" x14ac:dyDescent="0.25">
      <c r="A82" s="49">
        <f>+'A) Base RI'!A83</f>
        <v>5523</v>
      </c>
      <c r="B82" s="446" t="str">
        <f>+'A) Base RI'!B83</f>
        <v>Froideville</v>
      </c>
      <c r="C82" s="296">
        <f>+'D) Ecrêtage'!C82</f>
        <v>93741.085555555546</v>
      </c>
      <c r="D82" s="421">
        <v>164593</v>
      </c>
      <c r="E82" s="421">
        <f t="shared" si="12"/>
        <v>479780</v>
      </c>
      <c r="F82" s="541">
        <f t="shared" si="16"/>
        <v>5.1181400039970617</v>
      </c>
      <c r="G82" s="421">
        <v>644373</v>
      </c>
      <c r="H82" s="421">
        <v>131172</v>
      </c>
      <c r="I82" s="419">
        <v>201746</v>
      </c>
      <c r="J82" s="296">
        <f t="shared" si="17"/>
        <v>977291</v>
      </c>
      <c r="K82" s="276">
        <f t="shared" si="13"/>
        <v>749928.68444444437</v>
      </c>
      <c r="L82" s="10">
        <f t="shared" si="18"/>
        <v>227362.31555555563</v>
      </c>
      <c r="M82" s="293">
        <f t="shared" si="19"/>
        <v>-170521.73666666672</v>
      </c>
      <c r="N82" s="10">
        <v>0</v>
      </c>
      <c r="O82" s="10">
        <f t="shared" si="20"/>
        <v>25055</v>
      </c>
      <c r="P82" s="423">
        <v>25055</v>
      </c>
      <c r="Q82" s="10">
        <f t="shared" si="14"/>
        <v>93741.085555555546</v>
      </c>
      <c r="R82" s="14">
        <f t="shared" si="21"/>
        <v>0</v>
      </c>
      <c r="S82" s="2">
        <f t="shared" si="22"/>
        <v>0</v>
      </c>
      <c r="T82" s="129">
        <f t="shared" si="23"/>
        <v>-170521.73666666672</v>
      </c>
      <c r="U82" s="418">
        <f t="shared" si="15"/>
        <v>-1.8190714952368161</v>
      </c>
      <c r="V82" s="125"/>
    </row>
    <row r="83" spans="1:22" x14ac:dyDescent="0.25">
      <c r="A83" s="49">
        <f>+'A) Base RI'!A84</f>
        <v>5527</v>
      </c>
      <c r="B83" s="446" t="str">
        <f>+'A) Base RI'!B84</f>
        <v>Morrens</v>
      </c>
      <c r="C83" s="296">
        <f>+'D) Ecrêtage'!C83</f>
        <v>39310.302027027028</v>
      </c>
      <c r="D83" s="421">
        <v>92570</v>
      </c>
      <c r="E83" s="421">
        <f t="shared" si="12"/>
        <v>133304</v>
      </c>
      <c r="F83" s="541">
        <f t="shared" si="16"/>
        <v>3.3910703588171223</v>
      </c>
      <c r="G83" s="421">
        <v>225874</v>
      </c>
      <c r="H83" s="421">
        <v>37427</v>
      </c>
      <c r="I83" s="419">
        <v>83451</v>
      </c>
      <c r="J83" s="296">
        <f t="shared" si="17"/>
        <v>346752</v>
      </c>
      <c r="K83" s="276">
        <f t="shared" si="13"/>
        <v>314482.41621621622</v>
      </c>
      <c r="L83" s="10">
        <f t="shared" si="18"/>
        <v>32269.583783783775</v>
      </c>
      <c r="M83" s="293">
        <f t="shared" si="19"/>
        <v>-24202.187837837831</v>
      </c>
      <c r="N83" s="10">
        <v>0</v>
      </c>
      <c r="O83" s="10">
        <f t="shared" si="20"/>
        <v>37967</v>
      </c>
      <c r="P83" s="423">
        <v>37967</v>
      </c>
      <c r="Q83" s="10">
        <f t="shared" si="14"/>
        <v>39310.302027027028</v>
      </c>
      <c r="R83" s="14">
        <f t="shared" si="21"/>
        <v>0</v>
      </c>
      <c r="S83" s="2">
        <f t="shared" si="22"/>
        <v>0</v>
      </c>
      <c r="T83" s="129">
        <f t="shared" si="23"/>
        <v>-24202.187837837831</v>
      </c>
      <c r="U83" s="418">
        <f t="shared" si="15"/>
        <v>-0.61567036094502892</v>
      </c>
      <c r="V83" s="125"/>
    </row>
    <row r="84" spans="1:22" x14ac:dyDescent="0.25">
      <c r="A84" s="49">
        <f>+'A) Base RI'!A85</f>
        <v>5529</v>
      </c>
      <c r="B84" s="446" t="str">
        <f>+'A) Base RI'!B85</f>
        <v>Oulens-sous-Echallens</v>
      </c>
      <c r="C84" s="296">
        <f>+'D) Ecrêtage'!C84</f>
        <v>21162.231857142859</v>
      </c>
      <c r="D84" s="421">
        <v>25640</v>
      </c>
      <c r="E84" s="421">
        <f t="shared" si="12"/>
        <v>253186</v>
      </c>
      <c r="F84" s="541">
        <f t="shared" si="16"/>
        <v>11.964049997616035</v>
      </c>
      <c r="G84" s="421">
        <v>278826</v>
      </c>
      <c r="H84" s="421">
        <v>20060</v>
      </c>
      <c r="I84" s="419">
        <v>54347</v>
      </c>
      <c r="J84" s="296">
        <f t="shared" si="17"/>
        <v>353233</v>
      </c>
      <c r="K84" s="276">
        <f t="shared" si="13"/>
        <v>169297.85485714287</v>
      </c>
      <c r="L84" s="10">
        <f t="shared" si="18"/>
        <v>183935.14514285713</v>
      </c>
      <c r="M84" s="293">
        <f t="shared" si="19"/>
        <v>-137951.35885714286</v>
      </c>
      <c r="N84" s="10">
        <v>0</v>
      </c>
      <c r="O84" s="10">
        <f t="shared" si="20"/>
        <v>-43936</v>
      </c>
      <c r="P84" s="423">
        <v>-43936</v>
      </c>
      <c r="Q84" s="10">
        <f t="shared" si="14"/>
        <v>21162.231857142859</v>
      </c>
      <c r="R84" s="14">
        <f t="shared" si="21"/>
        <v>0</v>
      </c>
      <c r="S84" s="2">
        <f t="shared" si="22"/>
        <v>0</v>
      </c>
      <c r="T84" s="129">
        <f t="shared" si="23"/>
        <v>-137951.35885714286</v>
      </c>
      <c r="U84" s="418">
        <f t="shared" si="15"/>
        <v>-6.5187528323285209</v>
      </c>
      <c r="V84" s="125"/>
    </row>
    <row r="85" spans="1:22" x14ac:dyDescent="0.25">
      <c r="A85" s="49">
        <f>+'A) Base RI'!A86</f>
        <v>5530</v>
      </c>
      <c r="B85" s="446" t="str">
        <f>+'A) Base RI'!B86</f>
        <v>Pailly</v>
      </c>
      <c r="C85" s="296">
        <f>+'D) Ecrêtage'!C85</f>
        <v>19305.859890350872</v>
      </c>
      <c r="D85" s="421">
        <v>85150</v>
      </c>
      <c r="E85" s="421">
        <f t="shared" si="12"/>
        <v>1025481</v>
      </c>
      <c r="F85" s="541">
        <f t="shared" si="16"/>
        <v>53.117602936326008</v>
      </c>
      <c r="G85" s="421">
        <v>1110631</v>
      </c>
      <c r="H85" s="421">
        <v>18405</v>
      </c>
      <c r="I85" s="419">
        <v>49862</v>
      </c>
      <c r="J85" s="296">
        <f t="shared" si="17"/>
        <v>1178898</v>
      </c>
      <c r="K85" s="276">
        <f t="shared" si="13"/>
        <v>154446.87912280697</v>
      </c>
      <c r="L85" s="10">
        <f t="shared" si="18"/>
        <v>1024451.1208771931</v>
      </c>
      <c r="M85" s="293">
        <f t="shared" si="19"/>
        <v>-768338.34065789473</v>
      </c>
      <c r="N85" s="10">
        <v>0</v>
      </c>
      <c r="O85" s="10">
        <f t="shared" si="20"/>
        <v>50738</v>
      </c>
      <c r="P85" s="423">
        <v>50738</v>
      </c>
      <c r="Q85" s="10">
        <f t="shared" si="14"/>
        <v>19305.859890350872</v>
      </c>
      <c r="R85" s="14">
        <f t="shared" si="21"/>
        <v>31432.140109649128</v>
      </c>
      <c r="S85" s="2">
        <f t="shared" si="22"/>
        <v>-23574.105082236845</v>
      </c>
      <c r="T85" s="129">
        <f t="shared" si="23"/>
        <v>-791912.44574013154</v>
      </c>
      <c r="U85" s="418">
        <f t="shared" si="15"/>
        <v>-41.019278614776013</v>
      </c>
      <c r="V85" s="125"/>
    </row>
    <row r="86" spans="1:22" x14ac:dyDescent="0.25">
      <c r="A86" s="49">
        <f>+'A) Base RI'!A87</f>
        <v>5531</v>
      </c>
      <c r="B86" s="446" t="str">
        <f>+'A) Base RI'!B87</f>
        <v>Penthéréaz</v>
      </c>
      <c r="C86" s="296">
        <f>+'D) Ecrêtage'!C86</f>
        <v>14300.817432432432</v>
      </c>
      <c r="D86" s="421">
        <v>113645</v>
      </c>
      <c r="E86" s="421">
        <f t="shared" si="12"/>
        <v>52411</v>
      </c>
      <c r="F86" s="541">
        <f t="shared" si="16"/>
        <v>3.6648953982965007</v>
      </c>
      <c r="G86" s="421">
        <v>166056</v>
      </c>
      <c r="H86" s="421">
        <v>13601</v>
      </c>
      <c r="I86" s="419">
        <v>36847</v>
      </c>
      <c r="J86" s="296">
        <f t="shared" si="17"/>
        <v>216504</v>
      </c>
      <c r="K86" s="276">
        <f t="shared" si="13"/>
        <v>114406.53945945945</v>
      </c>
      <c r="L86" s="10">
        <f t="shared" si="18"/>
        <v>102097.46054054055</v>
      </c>
      <c r="M86" s="293">
        <f t="shared" si="19"/>
        <v>-76573.095405405416</v>
      </c>
      <c r="N86" s="10">
        <v>0</v>
      </c>
      <c r="O86" s="10">
        <f t="shared" si="20"/>
        <v>27285</v>
      </c>
      <c r="P86" s="423">
        <v>27285</v>
      </c>
      <c r="Q86" s="10">
        <f t="shared" si="14"/>
        <v>14300.817432432432</v>
      </c>
      <c r="R86" s="14">
        <f t="shared" si="21"/>
        <v>12984.182567567568</v>
      </c>
      <c r="S86" s="2">
        <f t="shared" si="22"/>
        <v>-9738.136925675677</v>
      </c>
      <c r="T86" s="129">
        <f t="shared" si="23"/>
        <v>-86311.23233108109</v>
      </c>
      <c r="U86" s="418">
        <f t="shared" si="15"/>
        <v>-6.0354055101310653</v>
      </c>
      <c r="V86" s="125"/>
    </row>
    <row r="87" spans="1:22" x14ac:dyDescent="0.25">
      <c r="A87" s="49">
        <f>+'A) Base RI'!A88</f>
        <v>5533</v>
      </c>
      <c r="B87" s="446" t="str">
        <f>+'A) Base RI'!B88</f>
        <v>Poliez-Pittet</v>
      </c>
      <c r="C87" s="296">
        <f>+'D) Ecrêtage'!C87</f>
        <v>27502.031917808214</v>
      </c>
      <c r="D87" s="421">
        <v>31645</v>
      </c>
      <c r="E87" s="421">
        <f t="shared" si="12"/>
        <v>133947</v>
      </c>
      <c r="F87" s="541">
        <f t="shared" si="16"/>
        <v>4.8704401333076106</v>
      </c>
      <c r="G87" s="421">
        <v>165592</v>
      </c>
      <c r="H87" s="421">
        <v>26910</v>
      </c>
      <c r="I87" s="419">
        <v>72902</v>
      </c>
      <c r="J87" s="296">
        <f t="shared" si="17"/>
        <v>265404</v>
      </c>
      <c r="K87" s="276">
        <f t="shared" si="13"/>
        <v>220016.25534246571</v>
      </c>
      <c r="L87" s="10">
        <f t="shared" si="18"/>
        <v>45387.744657534291</v>
      </c>
      <c r="M87" s="293">
        <f t="shared" si="19"/>
        <v>-34040.808493150718</v>
      </c>
      <c r="N87" s="10">
        <v>0</v>
      </c>
      <c r="O87" s="10">
        <f t="shared" si="20"/>
        <v>79449</v>
      </c>
      <c r="P87" s="423">
        <v>79449</v>
      </c>
      <c r="Q87" s="10">
        <f t="shared" si="14"/>
        <v>27502.031917808214</v>
      </c>
      <c r="R87" s="14">
        <f t="shared" si="21"/>
        <v>51946.968082191786</v>
      </c>
      <c r="S87" s="2">
        <f t="shared" si="22"/>
        <v>-38960.226061643843</v>
      </c>
      <c r="T87" s="129">
        <f t="shared" si="23"/>
        <v>-73001.034554794562</v>
      </c>
      <c r="U87" s="418">
        <f t="shared" si="15"/>
        <v>-2.6543869475885771</v>
      </c>
      <c r="V87" s="125"/>
    </row>
    <row r="88" spans="1:22" x14ac:dyDescent="0.25">
      <c r="A88" s="49">
        <f>+'A) Base RI'!A89</f>
        <v>5534</v>
      </c>
      <c r="B88" s="446" t="str">
        <f>+'A) Base RI'!B89</f>
        <v>Rueyres</v>
      </c>
      <c r="C88" s="296">
        <f>+'D) Ecrêtage'!C88</f>
        <v>13106.991872146118</v>
      </c>
      <c r="D88" s="421">
        <v>7330</v>
      </c>
      <c r="E88" s="421">
        <f t="shared" si="12"/>
        <v>31105</v>
      </c>
      <c r="F88" s="541">
        <f t="shared" si="16"/>
        <v>2.3731608521175436</v>
      </c>
      <c r="G88" s="421">
        <v>38435</v>
      </c>
      <c r="H88" s="421">
        <v>17269</v>
      </c>
      <c r="I88" s="419">
        <v>23392</v>
      </c>
      <c r="J88" s="296">
        <f t="shared" si="17"/>
        <v>79096</v>
      </c>
      <c r="K88" s="276">
        <f t="shared" si="13"/>
        <v>104855.93497716894</v>
      </c>
      <c r="L88" s="10">
        <f t="shared" si="18"/>
        <v>0</v>
      </c>
      <c r="M88" s="293">
        <f t="shared" si="19"/>
        <v>0</v>
      </c>
      <c r="N88" s="10">
        <v>0</v>
      </c>
      <c r="O88" s="10">
        <f t="shared" si="20"/>
        <v>18081</v>
      </c>
      <c r="P88" s="423">
        <v>18081</v>
      </c>
      <c r="Q88" s="10">
        <f t="shared" si="14"/>
        <v>13106.991872146118</v>
      </c>
      <c r="R88" s="14">
        <f t="shared" si="21"/>
        <v>4974.0081278538819</v>
      </c>
      <c r="S88" s="2">
        <f t="shared" si="22"/>
        <v>-3730.5060958904114</v>
      </c>
      <c r="T88" s="129">
        <f t="shared" si="23"/>
        <v>-3730.5060958904114</v>
      </c>
      <c r="U88" s="418">
        <f t="shared" si="15"/>
        <v>-0.28461954751174989</v>
      </c>
      <c r="V88" s="125"/>
    </row>
    <row r="89" spans="1:22" x14ac:dyDescent="0.25">
      <c r="A89" s="49">
        <f>+'A) Base RI'!A90</f>
        <v>5535</v>
      </c>
      <c r="B89" s="446" t="str">
        <f>+'A) Base RI'!B90</f>
        <v>Saint-Barthélemy</v>
      </c>
      <c r="C89" s="296">
        <f>+'D) Ecrêtage'!C89</f>
        <v>25080.318533333328</v>
      </c>
      <c r="D89" s="421">
        <v>0</v>
      </c>
      <c r="E89" s="421">
        <f t="shared" si="12"/>
        <v>159251</v>
      </c>
      <c r="F89" s="541">
        <f t="shared" si="16"/>
        <v>6.3496402483224195</v>
      </c>
      <c r="G89" s="421">
        <v>159251</v>
      </c>
      <c r="H89" s="421">
        <v>25449</v>
      </c>
      <c r="I89" s="419">
        <v>68945</v>
      </c>
      <c r="J89" s="296">
        <f t="shared" si="17"/>
        <v>253645</v>
      </c>
      <c r="K89" s="276">
        <f t="shared" si="13"/>
        <v>200642.54826666662</v>
      </c>
      <c r="L89" s="10">
        <f t="shared" si="18"/>
        <v>53002.451733333379</v>
      </c>
      <c r="M89" s="293">
        <f t="shared" si="19"/>
        <v>-39751.838800000034</v>
      </c>
      <c r="N89" s="10">
        <v>0</v>
      </c>
      <c r="O89" s="10">
        <f t="shared" si="20"/>
        <v>4553</v>
      </c>
      <c r="P89" s="423">
        <v>4553</v>
      </c>
      <c r="Q89" s="10">
        <f t="shared" si="14"/>
        <v>25080.318533333328</v>
      </c>
      <c r="R89" s="14">
        <f t="shared" si="21"/>
        <v>0</v>
      </c>
      <c r="S89" s="2">
        <f t="shared" si="22"/>
        <v>0</v>
      </c>
      <c r="T89" s="129">
        <f t="shared" si="23"/>
        <v>-39751.838800000034</v>
      </c>
      <c r="U89" s="418">
        <f t="shared" si="15"/>
        <v>-1.5849814166900364</v>
      </c>
      <c r="V89" s="125"/>
    </row>
    <row r="90" spans="1:22" x14ac:dyDescent="0.25">
      <c r="A90" s="49">
        <f>+'A) Base RI'!A91</f>
        <v>5537</v>
      </c>
      <c r="B90" s="446" t="str">
        <f>+'A) Base RI'!B91</f>
        <v>Villars-le-Terroir</v>
      </c>
      <c r="C90" s="296">
        <f>+'D) Ecrêtage'!C90</f>
        <v>42917.816052631584</v>
      </c>
      <c r="D90" s="421">
        <v>100492</v>
      </c>
      <c r="E90" s="421">
        <f t="shared" si="12"/>
        <v>117750</v>
      </c>
      <c r="F90" s="541">
        <f t="shared" si="16"/>
        <v>2.7436158413932143</v>
      </c>
      <c r="G90" s="421">
        <v>218242</v>
      </c>
      <c r="H90" s="421">
        <v>62372</v>
      </c>
      <c r="I90" s="419">
        <v>115729</v>
      </c>
      <c r="J90" s="296">
        <f t="shared" si="17"/>
        <v>396343</v>
      </c>
      <c r="K90" s="276">
        <f t="shared" si="13"/>
        <v>343342.52842105267</v>
      </c>
      <c r="L90" s="10">
        <f t="shared" si="18"/>
        <v>53000.471578947327</v>
      </c>
      <c r="M90" s="293">
        <f t="shared" si="19"/>
        <v>-39750.353684210495</v>
      </c>
      <c r="N90" s="10">
        <v>0</v>
      </c>
      <c r="O90" s="10">
        <f t="shared" si="20"/>
        <v>4494</v>
      </c>
      <c r="P90" s="423">
        <v>4494</v>
      </c>
      <c r="Q90" s="10">
        <f t="shared" si="14"/>
        <v>42917.816052631584</v>
      </c>
      <c r="R90" s="14">
        <f t="shared" si="21"/>
        <v>0</v>
      </c>
      <c r="S90" s="2">
        <f t="shared" si="22"/>
        <v>0</v>
      </c>
      <c r="T90" s="129">
        <f t="shared" si="23"/>
        <v>-39750.353684210495</v>
      </c>
      <c r="U90" s="418">
        <f t="shared" si="15"/>
        <v>-0.92619702818669236</v>
      </c>
      <c r="V90" s="125"/>
    </row>
    <row r="91" spans="1:22" x14ac:dyDescent="0.25">
      <c r="A91" s="49">
        <f>+'A) Base RI'!A92</f>
        <v>5539</v>
      </c>
      <c r="B91" s="446" t="str">
        <f>+'A) Base RI'!B92</f>
        <v>Vuarrens</v>
      </c>
      <c r="C91" s="296">
        <f>+'D) Ecrêtage'!C91</f>
        <v>34558.047482993185</v>
      </c>
      <c r="D91" s="421">
        <v>80783</v>
      </c>
      <c r="E91" s="421">
        <f t="shared" si="12"/>
        <v>64227</v>
      </c>
      <c r="F91" s="541">
        <f t="shared" si="16"/>
        <v>1.8585251389450632</v>
      </c>
      <c r="G91" s="421">
        <v>145010</v>
      </c>
      <c r="H91" s="421">
        <v>51685</v>
      </c>
      <c r="I91" s="419">
        <v>93216</v>
      </c>
      <c r="J91" s="296">
        <f t="shared" si="17"/>
        <v>289911</v>
      </c>
      <c r="K91" s="276">
        <f t="shared" si="13"/>
        <v>276464.37986394548</v>
      </c>
      <c r="L91" s="10">
        <f t="shared" si="18"/>
        <v>13446.620136054524</v>
      </c>
      <c r="M91" s="293">
        <f t="shared" si="19"/>
        <v>-10084.965102040893</v>
      </c>
      <c r="N91" s="10">
        <v>0</v>
      </c>
      <c r="O91" s="10">
        <f t="shared" si="20"/>
        <v>67006</v>
      </c>
      <c r="P91" s="423">
        <v>67006</v>
      </c>
      <c r="Q91" s="10">
        <f t="shared" si="14"/>
        <v>34558.047482993185</v>
      </c>
      <c r="R91" s="14">
        <f t="shared" si="21"/>
        <v>32447.952517006815</v>
      </c>
      <c r="S91" s="2">
        <f t="shared" si="22"/>
        <v>-24335.964387755113</v>
      </c>
      <c r="T91" s="129">
        <f t="shared" si="23"/>
        <v>-34420.929489796006</v>
      </c>
      <c r="U91" s="418">
        <f t="shared" si="15"/>
        <v>-0.99603224131037327</v>
      </c>
      <c r="V91" s="125"/>
    </row>
    <row r="92" spans="1:22" x14ac:dyDescent="0.25">
      <c r="A92" s="49">
        <f>+'A) Base RI'!A93</f>
        <v>5540</v>
      </c>
      <c r="B92" s="446" t="str">
        <f>+'A) Base RI'!B93</f>
        <v>Montilliez</v>
      </c>
      <c r="C92" s="296">
        <f>+'D) Ecrêtage'!C92</f>
        <v>63315.990655172413</v>
      </c>
      <c r="D92" s="421">
        <v>129803</v>
      </c>
      <c r="E92" s="421">
        <f t="shared" si="12"/>
        <v>212496</v>
      </c>
      <c r="F92" s="541">
        <f t="shared" si="16"/>
        <v>3.356119011977281</v>
      </c>
      <c r="G92" s="421">
        <v>342299</v>
      </c>
      <c r="H92" s="421">
        <v>150697</v>
      </c>
      <c r="I92" s="419">
        <v>163305</v>
      </c>
      <c r="J92" s="296">
        <f t="shared" si="17"/>
        <v>656301</v>
      </c>
      <c r="K92" s="276">
        <f t="shared" si="13"/>
        <v>506527.9252413793</v>
      </c>
      <c r="L92" s="10">
        <f t="shared" si="18"/>
        <v>149773.0747586207</v>
      </c>
      <c r="M92" s="293">
        <f t="shared" si="19"/>
        <v>-112329.80606896552</v>
      </c>
      <c r="N92" s="10">
        <v>0</v>
      </c>
      <c r="O92" s="10">
        <f t="shared" si="20"/>
        <v>69447</v>
      </c>
      <c r="P92" s="423">
        <v>69447</v>
      </c>
      <c r="Q92" s="10">
        <f t="shared" si="14"/>
        <v>63315.990655172413</v>
      </c>
      <c r="R92" s="14">
        <f t="shared" si="21"/>
        <v>6131.0093448275875</v>
      </c>
      <c r="S92" s="2">
        <f t="shared" si="22"/>
        <v>-4598.2570086206906</v>
      </c>
      <c r="T92" s="129">
        <f t="shared" si="23"/>
        <v>-116928.06307758621</v>
      </c>
      <c r="U92" s="418">
        <f t="shared" si="15"/>
        <v>-1.846738270500931</v>
      </c>
      <c r="V92" s="125"/>
    </row>
    <row r="93" spans="1:22" x14ac:dyDescent="0.25">
      <c r="A93" s="49">
        <f>+'A) Base RI'!A94</f>
        <v>5541</v>
      </c>
      <c r="B93" s="446" t="str">
        <f>+'A) Base RI'!B94</f>
        <v>Goumoëns</v>
      </c>
      <c r="C93" s="296">
        <f>+'D) Ecrêtage'!C93</f>
        <v>41279.032715231784</v>
      </c>
      <c r="D93" s="421">
        <v>37682</v>
      </c>
      <c r="E93" s="421">
        <f t="shared" si="12"/>
        <v>193108</v>
      </c>
      <c r="F93" s="541">
        <f t="shared" si="16"/>
        <v>4.6781134948625862</v>
      </c>
      <c r="G93" s="421">
        <v>230790</v>
      </c>
      <c r="H93" s="421">
        <v>37427</v>
      </c>
      <c r="I93" s="419">
        <v>101394</v>
      </c>
      <c r="J93" s="296">
        <f t="shared" si="17"/>
        <v>369611</v>
      </c>
      <c r="K93" s="276">
        <f t="shared" si="13"/>
        <v>330232.26172185427</v>
      </c>
      <c r="L93" s="10">
        <f t="shared" si="18"/>
        <v>39378.738278145727</v>
      </c>
      <c r="M93" s="293">
        <f t="shared" si="19"/>
        <v>-29534.053708609295</v>
      </c>
      <c r="N93" s="10">
        <v>0</v>
      </c>
      <c r="O93" s="10">
        <f t="shared" si="20"/>
        <v>10563</v>
      </c>
      <c r="P93" s="423">
        <v>10563</v>
      </c>
      <c r="Q93" s="10">
        <f t="shared" si="14"/>
        <v>41279.032715231784</v>
      </c>
      <c r="R93" s="14">
        <f t="shared" si="21"/>
        <v>0</v>
      </c>
      <c r="S93" s="2">
        <f t="shared" si="22"/>
        <v>0</v>
      </c>
      <c r="T93" s="129">
        <f t="shared" si="23"/>
        <v>-29534.053708609295</v>
      </c>
      <c r="U93" s="418">
        <f t="shared" si="15"/>
        <v>-0.71547349261678217</v>
      </c>
      <c r="V93" s="125"/>
    </row>
    <row r="94" spans="1:22" x14ac:dyDescent="0.25">
      <c r="A94" s="49">
        <f>+'A) Base RI'!A95</f>
        <v>5551</v>
      </c>
      <c r="B94" s="446" t="str">
        <f>+'A) Base RI'!B95</f>
        <v>Bonvillars</v>
      </c>
      <c r="C94" s="296">
        <f>+'D) Ecrêtage'!C94</f>
        <v>18707.412</v>
      </c>
      <c r="D94" s="421">
        <v>58517</v>
      </c>
      <c r="E94" s="421">
        <f t="shared" si="12"/>
        <v>120934</v>
      </c>
      <c r="F94" s="541">
        <f t="shared" si="16"/>
        <v>6.4644965321766579</v>
      </c>
      <c r="G94" s="421">
        <v>179451</v>
      </c>
      <c r="H94" s="421">
        <v>32306</v>
      </c>
      <c r="I94" s="419">
        <v>68099</v>
      </c>
      <c r="J94" s="296">
        <f t="shared" si="17"/>
        <v>279856</v>
      </c>
      <c r="K94" s="276">
        <f t="shared" si="13"/>
        <v>149659.296</v>
      </c>
      <c r="L94" s="10">
        <f t="shared" si="18"/>
        <v>130196.704</v>
      </c>
      <c r="M94" s="293">
        <f t="shared" si="19"/>
        <v>-97647.527999999991</v>
      </c>
      <c r="N94" s="10">
        <v>0</v>
      </c>
      <c r="O94" s="10">
        <f t="shared" si="20"/>
        <v>55175</v>
      </c>
      <c r="P94" s="423">
        <v>55175</v>
      </c>
      <c r="Q94" s="10">
        <f t="shared" si="14"/>
        <v>18707.412</v>
      </c>
      <c r="R94" s="14">
        <f t="shared" si="21"/>
        <v>36467.588000000003</v>
      </c>
      <c r="S94" s="2">
        <f t="shared" si="22"/>
        <v>-27350.691000000003</v>
      </c>
      <c r="T94" s="129">
        <f t="shared" si="23"/>
        <v>-124998.219</v>
      </c>
      <c r="U94" s="418">
        <f t="shared" si="15"/>
        <v>-6.6817483359002301</v>
      </c>
      <c r="V94" s="125"/>
    </row>
    <row r="95" spans="1:22" x14ac:dyDescent="0.25">
      <c r="A95" s="49">
        <f>+'A) Base RI'!A96</f>
        <v>5552</v>
      </c>
      <c r="B95" s="446" t="str">
        <f>+'A) Base RI'!B96</f>
        <v>Bullet</v>
      </c>
      <c r="C95" s="296">
        <f>+'D) Ecrêtage'!C95</f>
        <v>19599.59230769231</v>
      </c>
      <c r="D95" s="421">
        <v>11048</v>
      </c>
      <c r="E95" s="421">
        <f t="shared" si="12"/>
        <v>276794</v>
      </c>
      <c r="F95" s="541">
        <f t="shared" si="16"/>
        <v>14.122436612692491</v>
      </c>
      <c r="G95" s="421">
        <v>287842</v>
      </c>
      <c r="H95" s="421">
        <v>43405</v>
      </c>
      <c r="I95" s="419">
        <v>58040</v>
      </c>
      <c r="J95" s="296">
        <f t="shared" si="17"/>
        <v>389287</v>
      </c>
      <c r="K95" s="276">
        <f t="shared" si="13"/>
        <v>156796.73846153848</v>
      </c>
      <c r="L95" s="10">
        <f t="shared" si="18"/>
        <v>232490.26153846152</v>
      </c>
      <c r="M95" s="293">
        <f t="shared" si="19"/>
        <v>-174367.69615384613</v>
      </c>
      <c r="N95" s="10">
        <v>0</v>
      </c>
      <c r="O95" s="10">
        <f t="shared" si="20"/>
        <v>63331</v>
      </c>
      <c r="P95" s="423">
        <v>63331</v>
      </c>
      <c r="Q95" s="10">
        <f t="shared" si="14"/>
        <v>19599.59230769231</v>
      </c>
      <c r="R95" s="14">
        <f t="shared" si="21"/>
        <v>43731.407692307694</v>
      </c>
      <c r="S95" s="2">
        <f t="shared" si="22"/>
        <v>-32798.55576923077</v>
      </c>
      <c r="T95" s="129">
        <f t="shared" si="23"/>
        <v>-207166.2519230769</v>
      </c>
      <c r="U95" s="418">
        <f t="shared" si="15"/>
        <v>-10.569926591879655</v>
      </c>
      <c r="V95" s="125"/>
    </row>
    <row r="96" spans="1:22" x14ac:dyDescent="0.25">
      <c r="A96" s="49">
        <f>+'A) Base RI'!A97</f>
        <v>5553</v>
      </c>
      <c r="B96" s="446" t="str">
        <f>+'A) Base RI'!B97</f>
        <v>Champagne</v>
      </c>
      <c r="C96" s="296">
        <f>+'D) Ecrêtage'!C96</f>
        <v>40087.525538461538</v>
      </c>
      <c r="D96" s="421">
        <v>91943</v>
      </c>
      <c r="E96" s="421">
        <f t="shared" si="12"/>
        <v>318256</v>
      </c>
      <c r="F96" s="541">
        <f t="shared" si="16"/>
        <v>7.9390283068146168</v>
      </c>
      <c r="G96" s="421">
        <v>410199</v>
      </c>
      <c r="H96" s="421">
        <v>70095</v>
      </c>
      <c r="I96" s="419">
        <v>155541</v>
      </c>
      <c r="J96" s="296">
        <f t="shared" si="17"/>
        <v>635835</v>
      </c>
      <c r="K96" s="276">
        <f t="shared" si="13"/>
        <v>320700.2043076923</v>
      </c>
      <c r="L96" s="10">
        <f t="shared" si="18"/>
        <v>315134.7956923077</v>
      </c>
      <c r="M96" s="293">
        <f t="shared" si="19"/>
        <v>-236351.09676923079</v>
      </c>
      <c r="N96" s="10">
        <v>0</v>
      </c>
      <c r="O96" s="10">
        <f t="shared" si="20"/>
        <v>43049</v>
      </c>
      <c r="P96" s="423">
        <v>43049</v>
      </c>
      <c r="Q96" s="10">
        <f t="shared" si="14"/>
        <v>40087.525538461538</v>
      </c>
      <c r="R96" s="14">
        <f t="shared" si="21"/>
        <v>2961.4744615384625</v>
      </c>
      <c r="S96" s="2">
        <f t="shared" si="22"/>
        <v>-2221.1058461538469</v>
      </c>
      <c r="T96" s="129">
        <f t="shared" si="23"/>
        <v>-238572.20261538462</v>
      </c>
      <c r="U96" s="418">
        <f t="shared" si="15"/>
        <v>-5.9512828345189108</v>
      </c>
      <c r="V96" s="125"/>
    </row>
    <row r="97" spans="1:22" x14ac:dyDescent="0.25">
      <c r="A97" s="49">
        <f>+'A) Base RI'!A98</f>
        <v>5554</v>
      </c>
      <c r="B97" s="446" t="str">
        <f>+'A) Base RI'!B98</f>
        <v>Concise</v>
      </c>
      <c r="C97" s="296">
        <f>+'D) Ecrêtage'!C97</f>
        <v>31501.78373333333</v>
      </c>
      <c r="D97" s="421">
        <v>121213</v>
      </c>
      <c r="E97" s="421">
        <f t="shared" si="12"/>
        <v>226592</v>
      </c>
      <c r="F97" s="541">
        <f t="shared" si="16"/>
        <v>7.1929895118997251</v>
      </c>
      <c r="G97" s="421">
        <v>347805</v>
      </c>
      <c r="H97" s="421">
        <v>88175</v>
      </c>
      <c r="I97" s="419">
        <v>142319</v>
      </c>
      <c r="J97" s="296">
        <f t="shared" si="17"/>
        <v>578299</v>
      </c>
      <c r="K97" s="276">
        <f t="shared" si="13"/>
        <v>252014.26986666664</v>
      </c>
      <c r="L97" s="10">
        <f t="shared" si="18"/>
        <v>326284.73013333336</v>
      </c>
      <c r="M97" s="293">
        <f t="shared" si="19"/>
        <v>-244713.54760000002</v>
      </c>
      <c r="N97" s="10">
        <v>0</v>
      </c>
      <c r="O97" s="10">
        <f t="shared" si="20"/>
        <v>-26746</v>
      </c>
      <c r="P97" s="423">
        <v>-26746</v>
      </c>
      <c r="Q97" s="10">
        <f t="shared" si="14"/>
        <v>31501.78373333333</v>
      </c>
      <c r="R97" s="14">
        <f t="shared" si="21"/>
        <v>0</v>
      </c>
      <c r="S97" s="2">
        <f t="shared" si="22"/>
        <v>0</v>
      </c>
      <c r="T97" s="129">
        <f t="shared" si="23"/>
        <v>-244713.54760000002</v>
      </c>
      <c r="U97" s="418">
        <f t="shared" si="15"/>
        <v>-7.7682441626649403</v>
      </c>
      <c r="V97" s="125"/>
    </row>
    <row r="98" spans="1:22" x14ac:dyDescent="0.25">
      <c r="A98" s="49">
        <f>+'A) Base RI'!A99</f>
        <v>5555</v>
      </c>
      <c r="B98" s="446" t="str">
        <f>+'A) Base RI'!B99</f>
        <v>Corcelles-près-Concise</v>
      </c>
      <c r="C98" s="296">
        <f>+'D) Ecrêtage'!C98</f>
        <v>13878.246956521738</v>
      </c>
      <c r="D98" s="421">
        <v>125332</v>
      </c>
      <c r="E98" s="421">
        <f t="shared" si="12"/>
        <v>150696</v>
      </c>
      <c r="F98" s="541">
        <f t="shared" si="16"/>
        <v>10.858431938277633</v>
      </c>
      <c r="G98" s="421">
        <v>276028</v>
      </c>
      <c r="H98" s="421">
        <v>27681</v>
      </c>
      <c r="I98" s="419">
        <v>60938</v>
      </c>
      <c r="J98" s="296">
        <f t="shared" si="17"/>
        <v>364647</v>
      </c>
      <c r="K98" s="276">
        <f t="shared" si="13"/>
        <v>111025.9756521739</v>
      </c>
      <c r="L98" s="10">
        <f t="shared" si="18"/>
        <v>253621.02434782608</v>
      </c>
      <c r="M98" s="293">
        <f t="shared" si="19"/>
        <v>-190215.76826086955</v>
      </c>
      <c r="N98" s="10">
        <v>0</v>
      </c>
      <c r="O98" s="10">
        <f t="shared" si="20"/>
        <v>38393</v>
      </c>
      <c r="P98" s="423">
        <v>38393</v>
      </c>
      <c r="Q98" s="10">
        <f t="shared" si="14"/>
        <v>13878.246956521738</v>
      </c>
      <c r="R98" s="14">
        <f t="shared" si="21"/>
        <v>24514.75304347826</v>
      </c>
      <c r="S98" s="2">
        <f t="shared" si="22"/>
        <v>-18386.064782608693</v>
      </c>
      <c r="T98" s="129">
        <f t="shared" si="23"/>
        <v>-208601.83304347825</v>
      </c>
      <c r="U98" s="418">
        <f t="shared" si="15"/>
        <v>-15.030848903106671</v>
      </c>
      <c r="V98" s="125"/>
    </row>
    <row r="99" spans="1:22" x14ac:dyDescent="0.25">
      <c r="A99" s="49">
        <f>+'A) Base RI'!A100</f>
        <v>5556</v>
      </c>
      <c r="B99" s="446" t="str">
        <f>+'A) Base RI'!B100</f>
        <v>Fiez</v>
      </c>
      <c r="C99" s="296">
        <f>+'D) Ecrêtage'!C99</f>
        <v>14577.66780193237</v>
      </c>
      <c r="D99" s="421">
        <v>30061</v>
      </c>
      <c r="E99" s="421">
        <f t="shared" si="12"/>
        <v>93457</v>
      </c>
      <c r="F99" s="541">
        <f t="shared" si="16"/>
        <v>6.4109706209392172</v>
      </c>
      <c r="G99" s="421">
        <v>123518</v>
      </c>
      <c r="H99" s="421">
        <v>19864</v>
      </c>
      <c r="I99" s="419">
        <v>71068</v>
      </c>
      <c r="J99" s="296">
        <f t="shared" si="17"/>
        <v>214450</v>
      </c>
      <c r="K99" s="276">
        <f t="shared" si="13"/>
        <v>116621.34241545896</v>
      </c>
      <c r="L99" s="10">
        <f t="shared" si="18"/>
        <v>97828.657584541041</v>
      </c>
      <c r="M99" s="293">
        <f t="shared" si="19"/>
        <v>-73371.493188405788</v>
      </c>
      <c r="N99" s="10">
        <v>0</v>
      </c>
      <c r="O99" s="10">
        <f t="shared" si="20"/>
        <v>-9768</v>
      </c>
      <c r="P99" s="423">
        <v>-9768</v>
      </c>
      <c r="Q99" s="10">
        <f t="shared" si="14"/>
        <v>14577.66780193237</v>
      </c>
      <c r="R99" s="14">
        <f t="shared" si="21"/>
        <v>0</v>
      </c>
      <c r="S99" s="2">
        <f t="shared" si="22"/>
        <v>0</v>
      </c>
      <c r="T99" s="129">
        <f t="shared" si="23"/>
        <v>-73371.493188405788</v>
      </c>
      <c r="U99" s="418">
        <f t="shared" si="15"/>
        <v>-5.0331434482736599</v>
      </c>
      <c r="V99" s="125"/>
    </row>
    <row r="100" spans="1:22" x14ac:dyDescent="0.25">
      <c r="A100" s="49">
        <f>+'A) Base RI'!A101</f>
        <v>5557</v>
      </c>
      <c r="B100" s="446" t="str">
        <f>+'A) Base RI'!B101</f>
        <v>Fontaines-sur-Grandson</v>
      </c>
      <c r="C100" s="296">
        <f>+'D) Ecrêtage'!C100</f>
        <v>4232.7450724637674</v>
      </c>
      <c r="D100" s="421">
        <v>933</v>
      </c>
      <c r="E100" s="421">
        <f t="shared" si="12"/>
        <v>31865</v>
      </c>
      <c r="F100" s="541">
        <f t="shared" si="16"/>
        <v>7.5282114690295385</v>
      </c>
      <c r="G100" s="421">
        <v>32798</v>
      </c>
      <c r="H100" s="421">
        <v>9646</v>
      </c>
      <c r="I100" s="419">
        <v>36205</v>
      </c>
      <c r="J100" s="296">
        <f t="shared" si="17"/>
        <v>78649</v>
      </c>
      <c r="K100" s="276">
        <f t="shared" si="13"/>
        <v>33861.960579710139</v>
      </c>
      <c r="L100" s="10">
        <f t="shared" si="18"/>
        <v>44787.039420289861</v>
      </c>
      <c r="M100" s="293">
        <f t="shared" si="19"/>
        <v>-33590.279565217395</v>
      </c>
      <c r="N100" s="10">
        <v>0</v>
      </c>
      <c r="O100" s="10">
        <f t="shared" si="20"/>
        <v>1843</v>
      </c>
      <c r="P100" s="423">
        <v>1843</v>
      </c>
      <c r="Q100" s="10">
        <f t="shared" si="14"/>
        <v>4232.7450724637674</v>
      </c>
      <c r="R100" s="14">
        <f t="shared" si="21"/>
        <v>0</v>
      </c>
      <c r="S100" s="2">
        <f t="shared" si="22"/>
        <v>0</v>
      </c>
      <c r="T100" s="129">
        <f t="shared" si="23"/>
        <v>-33590.279565217395</v>
      </c>
      <c r="U100" s="418">
        <f t="shared" si="15"/>
        <v>-7.9358144632285628</v>
      </c>
      <c r="V100" s="125"/>
    </row>
    <row r="101" spans="1:22" x14ac:dyDescent="0.25">
      <c r="A101" s="49">
        <f>+'A) Base RI'!A102</f>
        <v>5559</v>
      </c>
      <c r="B101" s="446" t="str">
        <f>+'A) Base RI'!B102</f>
        <v>Giez</v>
      </c>
      <c r="C101" s="296">
        <f>+'D) Ecrêtage'!C101</f>
        <v>23436.990303030303</v>
      </c>
      <c r="D101" s="421">
        <v>32577</v>
      </c>
      <c r="E101" s="421">
        <f t="shared" si="12"/>
        <v>61409</v>
      </c>
      <c r="F101" s="541">
        <f t="shared" si="16"/>
        <v>2.6201743144494145</v>
      </c>
      <c r="G101" s="421">
        <v>93986</v>
      </c>
      <c r="H101" s="421">
        <v>18234</v>
      </c>
      <c r="I101" s="419">
        <v>52706</v>
      </c>
      <c r="J101" s="296">
        <f t="shared" si="17"/>
        <v>164926</v>
      </c>
      <c r="K101" s="276">
        <f t="shared" si="13"/>
        <v>187495.92242424242</v>
      </c>
      <c r="L101" s="10">
        <f t="shared" si="18"/>
        <v>0</v>
      </c>
      <c r="M101" s="293">
        <f t="shared" si="19"/>
        <v>0</v>
      </c>
      <c r="N101" s="10">
        <v>0</v>
      </c>
      <c r="O101" s="10">
        <f t="shared" si="20"/>
        <v>-1713</v>
      </c>
      <c r="P101" s="423">
        <v>-1713</v>
      </c>
      <c r="Q101" s="10">
        <f t="shared" si="14"/>
        <v>23436.990303030303</v>
      </c>
      <c r="R101" s="14">
        <f t="shared" si="21"/>
        <v>0</v>
      </c>
      <c r="S101" s="2">
        <f t="shared" si="22"/>
        <v>0</v>
      </c>
      <c r="T101" s="129">
        <f t="shared" si="23"/>
        <v>0</v>
      </c>
      <c r="U101" s="418">
        <f t="shared" si="15"/>
        <v>0</v>
      </c>
      <c r="V101" s="125"/>
    </row>
    <row r="102" spans="1:22" x14ac:dyDescent="0.25">
      <c r="A102" s="49">
        <f>+'A) Base RI'!A103</f>
        <v>5560</v>
      </c>
      <c r="B102" s="446" t="str">
        <f>+'A) Base RI'!B103</f>
        <v>Grandevent</v>
      </c>
      <c r="C102" s="296">
        <f>+'D) Ecrêtage'!C102</f>
        <v>7003.7466176470589</v>
      </c>
      <c r="D102" s="421">
        <v>0</v>
      </c>
      <c r="E102" s="421">
        <f t="shared" si="12"/>
        <v>20082</v>
      </c>
      <c r="F102" s="541">
        <f t="shared" si="16"/>
        <v>2.8673224627230507</v>
      </c>
      <c r="G102" s="421">
        <v>20082</v>
      </c>
      <c r="H102" s="421">
        <v>9954</v>
      </c>
      <c r="I102" s="419">
        <v>32189</v>
      </c>
      <c r="J102" s="296">
        <f t="shared" si="17"/>
        <v>62225</v>
      </c>
      <c r="K102" s="276">
        <f t="shared" si="13"/>
        <v>56029.972941176471</v>
      </c>
      <c r="L102" s="10">
        <f t="shared" si="18"/>
        <v>6195.0270588235289</v>
      </c>
      <c r="M102" s="293">
        <f t="shared" si="19"/>
        <v>-4646.2702941176467</v>
      </c>
      <c r="N102" s="10">
        <v>0</v>
      </c>
      <c r="O102" s="10">
        <f t="shared" si="20"/>
        <v>21084</v>
      </c>
      <c r="P102" s="423">
        <v>21084</v>
      </c>
      <c r="Q102" s="10">
        <f t="shared" si="14"/>
        <v>7003.7466176470589</v>
      </c>
      <c r="R102" s="14">
        <f t="shared" si="21"/>
        <v>14080.253382352941</v>
      </c>
      <c r="S102" s="2">
        <f t="shared" si="22"/>
        <v>-10560.190036764707</v>
      </c>
      <c r="T102" s="129">
        <f t="shared" si="23"/>
        <v>-15206.460330882353</v>
      </c>
      <c r="U102" s="418">
        <f t="shared" si="15"/>
        <v>-2.1711893877724311</v>
      </c>
      <c r="V102" s="125"/>
    </row>
    <row r="103" spans="1:22" x14ac:dyDescent="0.25">
      <c r="A103" s="49">
        <f>+'A) Base RI'!A104</f>
        <v>5561</v>
      </c>
      <c r="B103" s="446" t="str">
        <f>+'A) Base RI'!B104</f>
        <v>Grandson</v>
      </c>
      <c r="C103" s="296">
        <f>+'D) Ecrêtage'!C103</f>
        <v>114506.05043478261</v>
      </c>
      <c r="D103" s="421">
        <v>486052</v>
      </c>
      <c r="E103" s="421">
        <f t="shared" si="12"/>
        <v>963088</v>
      </c>
      <c r="F103" s="541">
        <f t="shared" si="16"/>
        <v>8.4108044626736191</v>
      </c>
      <c r="G103" s="421">
        <v>1449140</v>
      </c>
      <c r="H103" s="421">
        <v>369525</v>
      </c>
      <c r="I103" s="419">
        <v>448335</v>
      </c>
      <c r="J103" s="296">
        <f t="shared" si="17"/>
        <v>2267000</v>
      </c>
      <c r="K103" s="276">
        <f t="shared" si="13"/>
        <v>916048.40347826085</v>
      </c>
      <c r="L103" s="10">
        <f t="shared" si="18"/>
        <v>1350951.5965217391</v>
      </c>
      <c r="M103" s="293">
        <f t="shared" si="19"/>
        <v>-1013213.6973913044</v>
      </c>
      <c r="N103" s="10">
        <v>0</v>
      </c>
      <c r="O103" s="10">
        <f t="shared" si="20"/>
        <v>60763</v>
      </c>
      <c r="P103" s="423">
        <v>60763</v>
      </c>
      <c r="Q103" s="10">
        <f t="shared" si="14"/>
        <v>114506.05043478261</v>
      </c>
      <c r="R103" s="14">
        <f t="shared" si="21"/>
        <v>0</v>
      </c>
      <c r="S103" s="2">
        <f t="shared" si="22"/>
        <v>0</v>
      </c>
      <c r="T103" s="129">
        <f t="shared" si="23"/>
        <v>-1013213.6973913044</v>
      </c>
      <c r="U103" s="418">
        <f t="shared" si="15"/>
        <v>-8.8485603471965391</v>
      </c>
      <c r="V103" s="125"/>
    </row>
    <row r="104" spans="1:22" x14ac:dyDescent="0.25">
      <c r="A104" s="49">
        <f>+'A) Base RI'!A105</f>
        <v>5562</v>
      </c>
      <c r="B104" s="446" t="str">
        <f>+'A) Base RI'!B105</f>
        <v>Mauborget</v>
      </c>
      <c r="C104" s="296">
        <f>+'D) Ecrêtage'!C104</f>
        <v>6099.4916904761894</v>
      </c>
      <c r="D104" s="421">
        <v>0</v>
      </c>
      <c r="E104" s="421">
        <f t="shared" si="12"/>
        <v>39008</v>
      </c>
      <c r="F104" s="541">
        <f t="shared" si="16"/>
        <v>6.3952870139830669</v>
      </c>
      <c r="G104" s="421">
        <v>39008</v>
      </c>
      <c r="H104" s="421">
        <v>5638</v>
      </c>
      <c r="I104" s="419">
        <v>11997</v>
      </c>
      <c r="J104" s="296">
        <f t="shared" si="17"/>
        <v>56643</v>
      </c>
      <c r="K104" s="276">
        <f t="shared" si="13"/>
        <v>48795.933523809515</v>
      </c>
      <c r="L104" s="10">
        <f t="shared" si="18"/>
        <v>7847.0664761904845</v>
      </c>
      <c r="M104" s="293">
        <f t="shared" si="19"/>
        <v>-5885.2998571428634</v>
      </c>
      <c r="N104" s="10">
        <v>0</v>
      </c>
      <c r="O104" s="10">
        <f t="shared" si="20"/>
        <v>8034</v>
      </c>
      <c r="P104" s="423">
        <v>8034</v>
      </c>
      <c r="Q104" s="10">
        <f t="shared" si="14"/>
        <v>6099.4916904761894</v>
      </c>
      <c r="R104" s="14">
        <f t="shared" si="21"/>
        <v>1934.5083095238106</v>
      </c>
      <c r="S104" s="2">
        <f t="shared" si="22"/>
        <v>-1450.8812321428579</v>
      </c>
      <c r="T104" s="129">
        <f t="shared" si="23"/>
        <v>-7336.1810892857211</v>
      </c>
      <c r="U104" s="418">
        <f t="shared" si="15"/>
        <v>-1.2027528622984291</v>
      </c>
      <c r="V104" s="125"/>
    </row>
    <row r="105" spans="1:22" x14ac:dyDescent="0.25">
      <c r="A105" s="49">
        <f>+'A) Base RI'!A106</f>
        <v>5563</v>
      </c>
      <c r="B105" s="446" t="str">
        <f>+'A) Base RI'!B106</f>
        <v>Mutrux</v>
      </c>
      <c r="C105" s="296">
        <f>+'D) Ecrêtage'!C105</f>
        <v>4282.2314999999999</v>
      </c>
      <c r="D105" s="421">
        <v>11353</v>
      </c>
      <c r="E105" s="421">
        <f t="shared" si="12"/>
        <v>23423</v>
      </c>
      <c r="F105" s="541">
        <f t="shared" si="16"/>
        <v>5.4698117091521095</v>
      </c>
      <c r="G105" s="421">
        <v>34776</v>
      </c>
      <c r="H105" s="421">
        <v>6563</v>
      </c>
      <c r="I105" s="419">
        <v>21155</v>
      </c>
      <c r="J105" s="296">
        <f t="shared" si="17"/>
        <v>62494</v>
      </c>
      <c r="K105" s="276">
        <f t="shared" si="13"/>
        <v>34257.851999999999</v>
      </c>
      <c r="L105" s="10">
        <f t="shared" si="18"/>
        <v>28236.148000000001</v>
      </c>
      <c r="M105" s="293">
        <f t="shared" si="19"/>
        <v>-21177.111000000001</v>
      </c>
      <c r="N105" s="10">
        <v>0</v>
      </c>
      <c r="O105" s="10">
        <f t="shared" si="20"/>
        <v>-21130</v>
      </c>
      <c r="P105" s="423">
        <v>-21130</v>
      </c>
      <c r="Q105" s="10">
        <f t="shared" si="14"/>
        <v>4282.2314999999999</v>
      </c>
      <c r="R105" s="14">
        <f t="shared" si="21"/>
        <v>0</v>
      </c>
      <c r="S105" s="2">
        <f t="shared" si="22"/>
        <v>0</v>
      </c>
      <c r="T105" s="129">
        <f t="shared" si="23"/>
        <v>-21177.111000000001</v>
      </c>
      <c r="U105" s="418">
        <f t="shared" si="15"/>
        <v>-4.9453447343984092</v>
      </c>
      <c r="V105" s="125"/>
    </row>
    <row r="106" spans="1:22" x14ac:dyDescent="0.25">
      <c r="A106" s="49">
        <f>+'A) Base RI'!A107</f>
        <v>5564</v>
      </c>
      <c r="B106" s="446" t="str">
        <f>+'A) Base RI'!B107</f>
        <v>Novalles</v>
      </c>
      <c r="C106" s="296">
        <f>+'D) Ecrêtage'!C106</f>
        <v>2099.5480592105264</v>
      </c>
      <c r="D106" s="421">
        <v>0</v>
      </c>
      <c r="E106" s="421">
        <f t="shared" si="12"/>
        <v>31361</v>
      </c>
      <c r="F106" s="541">
        <f t="shared" si="16"/>
        <v>14.937024119272786</v>
      </c>
      <c r="G106" s="421">
        <v>31361</v>
      </c>
      <c r="H106" s="421">
        <v>4360</v>
      </c>
      <c r="I106" s="419">
        <v>18211</v>
      </c>
      <c r="J106" s="296">
        <f t="shared" si="17"/>
        <v>53932</v>
      </c>
      <c r="K106" s="276">
        <f t="shared" si="13"/>
        <v>16796.384473684211</v>
      </c>
      <c r="L106" s="10">
        <f t="shared" si="18"/>
        <v>37135.615526315785</v>
      </c>
      <c r="M106" s="293">
        <f t="shared" si="19"/>
        <v>-27851.711644736839</v>
      </c>
      <c r="N106" s="10">
        <v>0</v>
      </c>
      <c r="O106" s="10">
        <f t="shared" si="20"/>
        <v>6520</v>
      </c>
      <c r="P106" s="423">
        <v>6520</v>
      </c>
      <c r="Q106" s="10">
        <f t="shared" si="14"/>
        <v>2099.5480592105264</v>
      </c>
      <c r="R106" s="14">
        <f t="shared" si="21"/>
        <v>4420.4519407894732</v>
      </c>
      <c r="S106" s="2">
        <f t="shared" si="22"/>
        <v>-3315.3389555921049</v>
      </c>
      <c r="T106" s="129">
        <f t="shared" si="23"/>
        <v>-31167.050600328945</v>
      </c>
      <c r="U106" s="418">
        <f t="shared" si="15"/>
        <v>-14.844647381898179</v>
      </c>
      <c r="V106" s="125"/>
    </row>
    <row r="107" spans="1:22" x14ac:dyDescent="0.25">
      <c r="A107" s="49">
        <f>+'A) Base RI'!A108</f>
        <v>5565</v>
      </c>
      <c r="B107" s="446" t="str">
        <f>+'A) Base RI'!B108</f>
        <v>Onnens</v>
      </c>
      <c r="C107" s="296">
        <f>+'D) Ecrêtage'!C107</f>
        <v>22703.427716535429</v>
      </c>
      <c r="D107" s="421">
        <v>66301</v>
      </c>
      <c r="E107" s="421">
        <f t="shared" si="12"/>
        <v>66919</v>
      </c>
      <c r="F107" s="541">
        <f t="shared" si="16"/>
        <v>2.9475284893329721</v>
      </c>
      <c r="G107" s="421">
        <v>133220</v>
      </c>
      <c r="H107" s="421">
        <v>33363</v>
      </c>
      <c r="I107" s="419">
        <v>68103</v>
      </c>
      <c r="J107" s="296">
        <f t="shared" si="17"/>
        <v>234686</v>
      </c>
      <c r="K107" s="276">
        <f t="shared" si="13"/>
        <v>181627.42173228343</v>
      </c>
      <c r="L107" s="10">
        <f t="shared" si="18"/>
        <v>53058.57826771657</v>
      </c>
      <c r="M107" s="293">
        <f t="shared" si="19"/>
        <v>-39793.933700787427</v>
      </c>
      <c r="N107" s="10">
        <v>1367</v>
      </c>
      <c r="O107" s="10">
        <f t="shared" si="20"/>
        <v>58867</v>
      </c>
      <c r="P107" s="423">
        <v>60234</v>
      </c>
      <c r="Q107" s="10">
        <f t="shared" si="14"/>
        <v>22703.427716535429</v>
      </c>
      <c r="R107" s="14">
        <f t="shared" si="21"/>
        <v>37530.572283464571</v>
      </c>
      <c r="S107" s="2">
        <f t="shared" si="22"/>
        <v>-28147.929212598428</v>
      </c>
      <c r="T107" s="129">
        <f t="shared" si="23"/>
        <v>-67941.862913385849</v>
      </c>
      <c r="U107" s="418">
        <f t="shared" si="15"/>
        <v>-2.9925817264986039</v>
      </c>
      <c r="V107" s="125"/>
    </row>
    <row r="108" spans="1:22" x14ac:dyDescent="0.25">
      <c r="A108" s="49">
        <f>+'A) Base RI'!A109</f>
        <v>5566</v>
      </c>
      <c r="B108" s="446" t="str">
        <f>+'A) Base RI'!B109</f>
        <v>Provence</v>
      </c>
      <c r="C108" s="296">
        <f>+'D) Ecrêtage'!C108</f>
        <v>9377.8413580246925</v>
      </c>
      <c r="D108" s="421">
        <v>40655</v>
      </c>
      <c r="E108" s="421">
        <f t="shared" si="12"/>
        <v>498403</v>
      </c>
      <c r="F108" s="541">
        <f t="shared" si="16"/>
        <v>53.146879006810309</v>
      </c>
      <c r="G108" s="421">
        <v>539058</v>
      </c>
      <c r="H108" s="421">
        <v>17265</v>
      </c>
      <c r="I108" s="419">
        <v>45522</v>
      </c>
      <c r="J108" s="296">
        <f t="shared" si="17"/>
        <v>601845</v>
      </c>
      <c r="K108" s="276">
        <f t="shared" si="13"/>
        <v>75022.73086419754</v>
      </c>
      <c r="L108" s="10">
        <f t="shared" si="18"/>
        <v>526822.26913580252</v>
      </c>
      <c r="M108" s="293">
        <f t="shared" si="19"/>
        <v>-395116.70185185189</v>
      </c>
      <c r="N108" s="10">
        <v>0</v>
      </c>
      <c r="O108" s="10">
        <f t="shared" si="20"/>
        <v>-7155</v>
      </c>
      <c r="P108" s="423">
        <v>-7155</v>
      </c>
      <c r="Q108" s="10">
        <f t="shared" si="14"/>
        <v>9377.8413580246925</v>
      </c>
      <c r="R108" s="14">
        <f t="shared" si="21"/>
        <v>0</v>
      </c>
      <c r="S108" s="2">
        <f t="shared" si="22"/>
        <v>0</v>
      </c>
      <c r="T108" s="129">
        <f t="shared" si="23"/>
        <v>-395116.70185185189</v>
      </c>
      <c r="U108" s="418">
        <f t="shared" si="15"/>
        <v>-42.1330119338975</v>
      </c>
      <c r="V108" s="125"/>
    </row>
    <row r="109" spans="1:22" x14ac:dyDescent="0.25">
      <c r="A109" s="49">
        <f>+'A) Base RI'!A110</f>
        <v>5568</v>
      </c>
      <c r="B109" s="446" t="str">
        <f>+'A) Base RI'!B110</f>
        <v>Sainte-Croix</v>
      </c>
      <c r="C109" s="296">
        <f>+'D) Ecrêtage'!C109</f>
        <v>109171.87199999999</v>
      </c>
      <c r="D109" s="421">
        <v>256129</v>
      </c>
      <c r="E109" s="421">
        <f t="shared" si="12"/>
        <v>2050608</v>
      </c>
      <c r="F109" s="541">
        <f t="shared" si="16"/>
        <v>18.783299786230653</v>
      </c>
      <c r="G109" s="421">
        <v>2306737</v>
      </c>
      <c r="H109" s="421">
        <v>541405</v>
      </c>
      <c r="I109" s="419">
        <v>155513</v>
      </c>
      <c r="J109" s="296">
        <f t="shared" si="17"/>
        <v>3003655</v>
      </c>
      <c r="K109" s="276">
        <f t="shared" si="13"/>
        <v>873374.97599999991</v>
      </c>
      <c r="L109" s="10">
        <f t="shared" si="18"/>
        <v>2130280.0240000002</v>
      </c>
      <c r="M109" s="293">
        <f t="shared" si="19"/>
        <v>-1597710.0180000002</v>
      </c>
      <c r="N109" s="10">
        <v>29662</v>
      </c>
      <c r="O109" s="10">
        <f t="shared" si="20"/>
        <v>36339</v>
      </c>
      <c r="P109" s="423">
        <v>66001</v>
      </c>
      <c r="Q109" s="10">
        <f t="shared" si="14"/>
        <v>109171.87199999999</v>
      </c>
      <c r="R109" s="14">
        <f t="shared" si="21"/>
        <v>0</v>
      </c>
      <c r="S109" s="2">
        <f t="shared" si="22"/>
        <v>0</v>
      </c>
      <c r="T109" s="129">
        <f t="shared" si="23"/>
        <v>-1597710.0180000002</v>
      </c>
      <c r="U109" s="418">
        <f t="shared" si="15"/>
        <v>-14.634813791596432</v>
      </c>
      <c r="V109" s="125"/>
    </row>
    <row r="110" spans="1:22" x14ac:dyDescent="0.25">
      <c r="A110" s="49">
        <f>+'A) Base RI'!A111</f>
        <v>5571</v>
      </c>
      <c r="B110" s="446" t="str">
        <f>+'A) Base RI'!B111</f>
        <v>Tévenon</v>
      </c>
      <c r="C110" s="296">
        <f>+'D) Ecrêtage'!C110</f>
        <v>25325.239790209791</v>
      </c>
      <c r="D110" s="421">
        <v>59186</v>
      </c>
      <c r="E110" s="421">
        <f t="shared" si="12"/>
        <v>222957</v>
      </c>
      <c r="F110" s="541">
        <f t="shared" si="16"/>
        <v>8.8037468488725033</v>
      </c>
      <c r="G110" s="421">
        <v>282143</v>
      </c>
      <c r="H110" s="421">
        <v>39375</v>
      </c>
      <c r="I110" s="419">
        <v>130307</v>
      </c>
      <c r="J110" s="296">
        <f t="shared" si="17"/>
        <v>451825</v>
      </c>
      <c r="K110" s="276">
        <f t="shared" si="13"/>
        <v>202601.91832167833</v>
      </c>
      <c r="L110" s="10">
        <f t="shared" si="18"/>
        <v>249223.08167832167</v>
      </c>
      <c r="M110" s="293">
        <f t="shared" si="19"/>
        <v>-186917.31125874125</v>
      </c>
      <c r="N110" s="10">
        <v>0</v>
      </c>
      <c r="O110" s="10">
        <f t="shared" si="20"/>
        <v>71738</v>
      </c>
      <c r="P110" s="423">
        <v>71738</v>
      </c>
      <c r="Q110" s="10">
        <f t="shared" si="14"/>
        <v>25325.239790209791</v>
      </c>
      <c r="R110" s="14">
        <f t="shared" si="21"/>
        <v>46412.760209790213</v>
      </c>
      <c r="S110" s="2">
        <f t="shared" si="22"/>
        <v>-34809.570157342663</v>
      </c>
      <c r="T110" s="129">
        <f t="shared" si="23"/>
        <v>-221726.8814160839</v>
      </c>
      <c r="U110" s="418">
        <f t="shared" si="15"/>
        <v>-8.7551740182060929</v>
      </c>
      <c r="V110" s="125"/>
    </row>
    <row r="111" spans="1:22" x14ac:dyDescent="0.25">
      <c r="A111" s="49">
        <f>+'A) Base RI'!A112</f>
        <v>5581</v>
      </c>
      <c r="B111" s="446" t="str">
        <f>+'A) Base RI'!B112</f>
        <v>Belmont-sur-Lausanne</v>
      </c>
      <c r="C111" s="296">
        <f>+'D) Ecrêtage'!C111</f>
        <v>215435.94296296299</v>
      </c>
      <c r="D111" s="421">
        <v>668002</v>
      </c>
      <c r="E111" s="421">
        <f t="shared" si="12"/>
        <v>490156</v>
      </c>
      <c r="F111" s="541">
        <f t="shared" si="16"/>
        <v>2.2751820947736001</v>
      </c>
      <c r="G111" s="421">
        <v>1158158</v>
      </c>
      <c r="H111" s="421">
        <v>1429696</v>
      </c>
      <c r="I111" s="419">
        <v>223738</v>
      </c>
      <c r="J111" s="296">
        <f t="shared" si="17"/>
        <v>2811592</v>
      </c>
      <c r="K111" s="276">
        <f t="shared" si="13"/>
        <v>1723487.5437037039</v>
      </c>
      <c r="L111" s="10">
        <f t="shared" si="18"/>
        <v>1088104.4562962961</v>
      </c>
      <c r="M111" s="293">
        <f t="shared" si="19"/>
        <v>-816078.34222222213</v>
      </c>
      <c r="N111" s="10">
        <v>0</v>
      </c>
      <c r="O111" s="10">
        <f t="shared" si="20"/>
        <v>-242</v>
      </c>
      <c r="P111" s="423">
        <v>-242</v>
      </c>
      <c r="Q111" s="10">
        <f t="shared" si="14"/>
        <v>215435.94296296299</v>
      </c>
      <c r="R111" s="14">
        <f t="shared" si="21"/>
        <v>0</v>
      </c>
      <c r="S111" s="2">
        <f t="shared" si="22"/>
        <v>0</v>
      </c>
      <c r="T111" s="129">
        <f t="shared" si="23"/>
        <v>-816078.34222222213</v>
      </c>
      <c r="U111" s="418">
        <f t="shared" si="15"/>
        <v>-3.7880324471321831</v>
      </c>
      <c r="V111" s="125"/>
    </row>
    <row r="112" spans="1:22" x14ac:dyDescent="0.25">
      <c r="A112" s="49">
        <f>+'A) Base RI'!A113</f>
        <v>5582</v>
      </c>
      <c r="B112" s="446" t="str">
        <f>+'A) Base RI'!B113</f>
        <v>Cheseaux-sur-Lausanne</v>
      </c>
      <c r="C112" s="296">
        <f>+'D) Ecrêtage'!C112</f>
        <v>167506.84698630136</v>
      </c>
      <c r="D112" s="421">
        <v>245868</v>
      </c>
      <c r="E112" s="421">
        <f t="shared" si="12"/>
        <v>1104870</v>
      </c>
      <c r="F112" s="541">
        <f t="shared" si="16"/>
        <v>6.5959691790411163</v>
      </c>
      <c r="G112" s="421">
        <v>1350738</v>
      </c>
      <c r="H112" s="421">
        <v>431893</v>
      </c>
      <c r="I112" s="419">
        <v>199438</v>
      </c>
      <c r="J112" s="296">
        <f t="shared" si="17"/>
        <v>1982069</v>
      </c>
      <c r="K112" s="276">
        <f t="shared" si="13"/>
        <v>1340054.7758904109</v>
      </c>
      <c r="L112" s="10">
        <f t="shared" si="18"/>
        <v>642014.22410958912</v>
      </c>
      <c r="M112" s="293">
        <f t="shared" si="19"/>
        <v>-481510.66808219184</v>
      </c>
      <c r="N112" s="10">
        <v>0</v>
      </c>
      <c r="O112" s="10">
        <f t="shared" si="20"/>
        <v>69870</v>
      </c>
      <c r="P112" s="423">
        <v>69870</v>
      </c>
      <c r="Q112" s="10">
        <f t="shared" si="14"/>
        <v>167506.84698630136</v>
      </c>
      <c r="R112" s="14">
        <f t="shared" si="21"/>
        <v>0</v>
      </c>
      <c r="S112" s="2">
        <f t="shared" si="22"/>
        <v>0</v>
      </c>
      <c r="T112" s="129">
        <f t="shared" si="23"/>
        <v>-481510.66808219184</v>
      </c>
      <c r="U112" s="418">
        <f t="shared" si="15"/>
        <v>-2.8745730502680265</v>
      </c>
      <c r="V112" s="125"/>
    </row>
    <row r="113" spans="1:22" x14ac:dyDescent="0.25">
      <c r="A113" s="49">
        <f>+'A) Base RI'!A114</f>
        <v>5583</v>
      </c>
      <c r="B113" s="446" t="str">
        <f>+'A) Base RI'!B114</f>
        <v>Crissier</v>
      </c>
      <c r="C113" s="296">
        <f>+'D) Ecrêtage'!C113</f>
        <v>337550.36173228343</v>
      </c>
      <c r="D113" s="421">
        <v>484427</v>
      </c>
      <c r="E113" s="421">
        <f t="shared" si="12"/>
        <v>1732646</v>
      </c>
      <c r="F113" s="541">
        <f t="shared" si="16"/>
        <v>5.1329999799383685</v>
      </c>
      <c r="G113" s="421">
        <v>2217073</v>
      </c>
      <c r="H113" s="421">
        <v>4059532</v>
      </c>
      <c r="I113" s="419">
        <v>311073</v>
      </c>
      <c r="J113" s="296">
        <f t="shared" si="17"/>
        <v>6587678</v>
      </c>
      <c r="K113" s="276">
        <f t="shared" si="13"/>
        <v>2700402.8938582675</v>
      </c>
      <c r="L113" s="10">
        <f t="shared" si="18"/>
        <v>3887275.1061417325</v>
      </c>
      <c r="M113" s="293">
        <f t="shared" si="19"/>
        <v>-2915456.3296062993</v>
      </c>
      <c r="N113" s="10">
        <v>0</v>
      </c>
      <c r="O113" s="10">
        <f t="shared" si="20"/>
        <v>60241</v>
      </c>
      <c r="P113" s="423">
        <v>60241</v>
      </c>
      <c r="Q113" s="10">
        <f t="shared" si="14"/>
        <v>337550.36173228343</v>
      </c>
      <c r="R113" s="14">
        <f t="shared" si="21"/>
        <v>0</v>
      </c>
      <c r="S113" s="2">
        <f t="shared" si="22"/>
        <v>0</v>
      </c>
      <c r="T113" s="129">
        <f t="shared" si="23"/>
        <v>-2915456.3296062993</v>
      </c>
      <c r="U113" s="418">
        <f t="shared" si="15"/>
        <v>-8.6371002971064623</v>
      </c>
      <c r="V113" s="125"/>
    </row>
    <row r="114" spans="1:22" x14ac:dyDescent="0.25">
      <c r="A114" s="49">
        <f>+'A) Base RI'!A115</f>
        <v>5584</v>
      </c>
      <c r="B114" s="446" t="str">
        <f>+'A) Base RI'!B115</f>
        <v>Epalinges</v>
      </c>
      <c r="C114" s="296">
        <f>+'D) Ecrêtage'!C114</f>
        <v>516766.84201550385</v>
      </c>
      <c r="D114" s="421">
        <v>1200517</v>
      </c>
      <c r="E114" s="421">
        <f t="shared" si="12"/>
        <v>3304841</v>
      </c>
      <c r="F114" s="541">
        <f t="shared" si="16"/>
        <v>6.3952264953966402</v>
      </c>
      <c r="G114" s="421">
        <v>4505358</v>
      </c>
      <c r="H114" s="421">
        <v>4193360</v>
      </c>
      <c r="I114" s="419">
        <v>773413</v>
      </c>
      <c r="J114" s="296">
        <f t="shared" si="17"/>
        <v>9472131</v>
      </c>
      <c r="K114" s="276">
        <f t="shared" si="13"/>
        <v>4134134.7361240308</v>
      </c>
      <c r="L114" s="10">
        <f t="shared" si="18"/>
        <v>5337996.2638759688</v>
      </c>
      <c r="M114" s="293">
        <f t="shared" si="19"/>
        <v>-4003497.1979069766</v>
      </c>
      <c r="N114" s="10">
        <v>4515</v>
      </c>
      <c r="O114" s="10">
        <f t="shared" si="20"/>
        <v>286788</v>
      </c>
      <c r="P114" s="423">
        <v>291303</v>
      </c>
      <c r="Q114" s="10">
        <f t="shared" si="14"/>
        <v>516766.84201550385</v>
      </c>
      <c r="R114" s="14">
        <f t="shared" si="21"/>
        <v>0</v>
      </c>
      <c r="S114" s="2">
        <f t="shared" si="22"/>
        <v>0</v>
      </c>
      <c r="T114" s="129">
        <f t="shared" si="23"/>
        <v>-4003497.1979069766</v>
      </c>
      <c r="U114" s="418">
        <f t="shared" si="15"/>
        <v>-7.7472021662466979</v>
      </c>
      <c r="V114" s="125"/>
    </row>
    <row r="115" spans="1:22" x14ac:dyDescent="0.25">
      <c r="A115" s="49">
        <f>+'A) Base RI'!A116</f>
        <v>5585</v>
      </c>
      <c r="B115" s="446" t="str">
        <f>+'A) Base RI'!B116</f>
        <v>Jouxtens-Mézery</v>
      </c>
      <c r="C115" s="296">
        <f>+'D) Ecrêtage'!C115</f>
        <v>191744.87050847456</v>
      </c>
      <c r="D115" s="421">
        <v>61550</v>
      </c>
      <c r="E115" s="421">
        <f t="shared" si="12"/>
        <v>387555</v>
      </c>
      <c r="F115" s="541">
        <f t="shared" si="16"/>
        <v>2.0212013962734465</v>
      </c>
      <c r="G115" s="421">
        <v>449105</v>
      </c>
      <c r="H115" s="421">
        <v>114504</v>
      </c>
      <c r="I115" s="419">
        <v>42961</v>
      </c>
      <c r="J115" s="296">
        <f t="shared" si="17"/>
        <v>606570</v>
      </c>
      <c r="K115" s="276">
        <f t="shared" si="13"/>
        <v>1533958.9640677965</v>
      </c>
      <c r="L115" s="10">
        <f t="shared" si="18"/>
        <v>0</v>
      </c>
      <c r="M115" s="293">
        <f t="shared" si="19"/>
        <v>0</v>
      </c>
      <c r="N115" s="10">
        <v>0</v>
      </c>
      <c r="O115" s="10">
        <f t="shared" si="20"/>
        <v>19792</v>
      </c>
      <c r="P115" s="423">
        <v>19792</v>
      </c>
      <c r="Q115" s="10">
        <f t="shared" si="14"/>
        <v>191744.87050847456</v>
      </c>
      <c r="R115" s="14">
        <f t="shared" si="21"/>
        <v>0</v>
      </c>
      <c r="S115" s="2">
        <f t="shared" si="22"/>
        <v>0</v>
      </c>
      <c r="T115" s="129">
        <f t="shared" si="23"/>
        <v>0</v>
      </c>
      <c r="U115" s="418">
        <f t="shared" si="15"/>
        <v>0</v>
      </c>
      <c r="V115" s="125"/>
    </row>
    <row r="116" spans="1:22" x14ac:dyDescent="0.25">
      <c r="A116" s="49">
        <f>+'A) Base RI'!A117</f>
        <v>5586</v>
      </c>
      <c r="B116" s="446" t="str">
        <f>+'A) Base RI'!B117</f>
        <v>Lausanne</v>
      </c>
      <c r="C116" s="296">
        <f>+'D) Ecrêtage'!C116</f>
        <v>6461491.7137154993</v>
      </c>
      <c r="D116" s="421">
        <v>2662652</v>
      </c>
      <c r="E116" s="421">
        <f t="shared" si="12"/>
        <v>48819313</v>
      </c>
      <c r="F116" s="541">
        <f t="shared" si="16"/>
        <v>7.5554245308979624</v>
      </c>
      <c r="G116" s="421">
        <v>51481965</v>
      </c>
      <c r="H116" s="421">
        <v>63875282</v>
      </c>
      <c r="I116" s="419">
        <v>2401604</v>
      </c>
      <c r="J116" s="296">
        <f t="shared" si="17"/>
        <v>117758851</v>
      </c>
      <c r="K116" s="276">
        <f t="shared" si="13"/>
        <v>51691933.709723994</v>
      </c>
      <c r="L116" s="10">
        <f t="shared" si="18"/>
        <v>66066917.290276006</v>
      </c>
      <c r="M116" s="293">
        <f t="shared" si="19"/>
        <v>-49550187.967707008</v>
      </c>
      <c r="N116" s="10">
        <v>0</v>
      </c>
      <c r="O116" s="10">
        <f t="shared" si="20"/>
        <v>2343614</v>
      </c>
      <c r="P116" s="423">
        <v>2343614</v>
      </c>
      <c r="Q116" s="10">
        <f t="shared" si="14"/>
        <v>6461491.7137154993</v>
      </c>
      <c r="R116" s="14">
        <f t="shared" si="21"/>
        <v>0</v>
      </c>
      <c r="S116" s="2">
        <f t="shared" si="22"/>
        <v>0</v>
      </c>
      <c r="T116" s="129">
        <f t="shared" si="23"/>
        <v>-49550187.967707008</v>
      </c>
      <c r="U116" s="418">
        <f t="shared" si="15"/>
        <v>-7.6685369513868133</v>
      </c>
      <c r="V116" s="125"/>
    </row>
    <row r="117" spans="1:22" x14ac:dyDescent="0.25">
      <c r="A117" s="49">
        <f>+'A) Base RI'!A118</f>
        <v>5587</v>
      </c>
      <c r="B117" s="446" t="str">
        <f>+'A) Base RI'!B118</f>
        <v>Le Mont-sur-Lausanne</v>
      </c>
      <c r="C117" s="296">
        <f>+'D) Ecrêtage'!C117</f>
        <v>495058.05378684809</v>
      </c>
      <c r="D117" s="421">
        <v>577507</v>
      </c>
      <c r="E117" s="421">
        <f t="shared" si="12"/>
        <v>2982040</v>
      </c>
      <c r="F117" s="541">
        <f t="shared" si="16"/>
        <v>6.0236167802735014</v>
      </c>
      <c r="G117" s="421">
        <v>3559547</v>
      </c>
      <c r="H117" s="421">
        <v>2773903</v>
      </c>
      <c r="I117" s="419">
        <v>760719</v>
      </c>
      <c r="J117" s="296">
        <f t="shared" si="17"/>
        <v>7094169</v>
      </c>
      <c r="K117" s="276">
        <f t="shared" si="13"/>
        <v>3960464.4302947847</v>
      </c>
      <c r="L117" s="10">
        <f t="shared" si="18"/>
        <v>3133704.5697052153</v>
      </c>
      <c r="M117" s="293">
        <f t="shared" si="19"/>
        <v>-2350278.4272789117</v>
      </c>
      <c r="N117" s="10">
        <v>0</v>
      </c>
      <c r="O117" s="10">
        <f t="shared" si="20"/>
        <v>75176</v>
      </c>
      <c r="P117" s="423">
        <v>75176</v>
      </c>
      <c r="Q117" s="10">
        <f t="shared" si="14"/>
        <v>495058.05378684809</v>
      </c>
      <c r="R117" s="14">
        <f t="shared" si="21"/>
        <v>0</v>
      </c>
      <c r="S117" s="2">
        <f t="shared" si="22"/>
        <v>0</v>
      </c>
      <c r="T117" s="129">
        <f t="shared" si="23"/>
        <v>-2350278.4272789117</v>
      </c>
      <c r="U117" s="418">
        <f t="shared" si="15"/>
        <v>-4.7474804405279833</v>
      </c>
      <c r="V117" s="125"/>
    </row>
    <row r="118" spans="1:22" x14ac:dyDescent="0.25">
      <c r="A118" s="49">
        <f>+'A) Base RI'!A119</f>
        <v>5588</v>
      </c>
      <c r="B118" s="446" t="str">
        <f>+'A) Base RI'!B119</f>
        <v>Paudex</v>
      </c>
      <c r="C118" s="296">
        <f>+'D) Ecrêtage'!C118</f>
        <v>215756.29785177234</v>
      </c>
      <c r="D118" s="421">
        <v>113071</v>
      </c>
      <c r="E118" s="421">
        <f t="shared" si="12"/>
        <v>157059</v>
      </c>
      <c r="F118" s="541">
        <f t="shared" si="16"/>
        <v>0.72794630591919862</v>
      </c>
      <c r="G118" s="421">
        <v>270130</v>
      </c>
      <c r="H118" s="421">
        <v>574665</v>
      </c>
      <c r="I118" s="419">
        <v>29469</v>
      </c>
      <c r="J118" s="296">
        <f t="shared" si="17"/>
        <v>874264</v>
      </c>
      <c r="K118" s="276">
        <f t="shared" si="13"/>
        <v>1726050.3828141787</v>
      </c>
      <c r="L118" s="10">
        <f t="shared" si="18"/>
        <v>0</v>
      </c>
      <c r="M118" s="293">
        <f t="shared" si="19"/>
        <v>0</v>
      </c>
      <c r="N118" s="10">
        <v>0</v>
      </c>
      <c r="O118" s="10">
        <f t="shared" si="20"/>
        <v>0</v>
      </c>
      <c r="P118" s="423">
        <v>0</v>
      </c>
      <c r="Q118" s="10">
        <f t="shared" si="14"/>
        <v>215756.29785177234</v>
      </c>
      <c r="R118" s="14">
        <f t="shared" si="21"/>
        <v>0</v>
      </c>
      <c r="S118" s="2">
        <f t="shared" si="22"/>
        <v>0</v>
      </c>
      <c r="T118" s="129">
        <f t="shared" si="23"/>
        <v>0</v>
      </c>
      <c r="U118" s="418">
        <f t="shared" si="15"/>
        <v>0</v>
      </c>
      <c r="V118" s="125"/>
    </row>
    <row r="119" spans="1:22" x14ac:dyDescent="0.25">
      <c r="A119" s="49">
        <f>+'A) Base RI'!A120</f>
        <v>5589</v>
      </c>
      <c r="B119" s="446" t="str">
        <f>+'A) Base RI'!B120</f>
        <v>Prilly</v>
      </c>
      <c r="C119" s="296">
        <f>+'D) Ecrêtage'!C119</f>
        <v>419549.81642440322</v>
      </c>
      <c r="D119" s="421">
        <v>1062103</v>
      </c>
      <c r="E119" s="421">
        <f t="shared" si="12"/>
        <v>2322916</v>
      </c>
      <c r="F119" s="541">
        <f t="shared" si="16"/>
        <v>5.5366869655597997</v>
      </c>
      <c r="G119" s="421">
        <v>3385019</v>
      </c>
      <c r="H119" s="421">
        <v>4223301</v>
      </c>
      <c r="I119" s="419">
        <v>166192</v>
      </c>
      <c r="J119" s="296">
        <f t="shared" si="17"/>
        <v>7774512</v>
      </c>
      <c r="K119" s="276">
        <f t="shared" si="13"/>
        <v>3356398.5313952258</v>
      </c>
      <c r="L119" s="10">
        <f t="shared" si="18"/>
        <v>4418113.4686047742</v>
      </c>
      <c r="M119" s="293">
        <f t="shared" si="19"/>
        <v>-3313585.1014535809</v>
      </c>
      <c r="N119" s="10">
        <v>0</v>
      </c>
      <c r="O119" s="10">
        <f t="shared" si="20"/>
        <v>27347</v>
      </c>
      <c r="P119" s="423">
        <v>27347</v>
      </c>
      <c r="Q119" s="10">
        <f t="shared" si="14"/>
        <v>419549.81642440322</v>
      </c>
      <c r="R119" s="14">
        <f t="shared" si="21"/>
        <v>0</v>
      </c>
      <c r="S119" s="2">
        <f t="shared" si="22"/>
        <v>0</v>
      </c>
      <c r="T119" s="129">
        <f t="shared" si="23"/>
        <v>-3313585.1014535809</v>
      </c>
      <c r="U119" s="418">
        <f t="shared" si="15"/>
        <v>-7.897953882314809</v>
      </c>
      <c r="V119" s="125"/>
    </row>
    <row r="120" spans="1:22" x14ac:dyDescent="0.25">
      <c r="A120" s="49">
        <f>+'A) Base RI'!A121</f>
        <v>5590</v>
      </c>
      <c r="B120" s="446" t="str">
        <f>+'A) Base RI'!B121</f>
        <v>Pully</v>
      </c>
      <c r="C120" s="296">
        <f>+'D) Ecrêtage'!C120</f>
        <v>1603030.9692740045</v>
      </c>
      <c r="D120" s="421">
        <v>2034753</v>
      </c>
      <c r="E120" s="421">
        <f t="shared" si="12"/>
        <v>4142102</v>
      </c>
      <c r="F120" s="541">
        <f t="shared" si="16"/>
        <v>2.5839188882769455</v>
      </c>
      <c r="G120" s="421">
        <v>6176855</v>
      </c>
      <c r="H120" s="421">
        <v>9602645</v>
      </c>
      <c r="I120" s="419">
        <v>360352</v>
      </c>
      <c r="J120" s="296">
        <f t="shared" si="17"/>
        <v>16139852</v>
      </c>
      <c r="K120" s="276">
        <f t="shared" si="13"/>
        <v>12824247.754192036</v>
      </c>
      <c r="L120" s="10">
        <f t="shared" si="18"/>
        <v>3315604.2458079644</v>
      </c>
      <c r="M120" s="293">
        <f t="shared" si="19"/>
        <v>-2486703.1843559733</v>
      </c>
      <c r="N120" s="10">
        <v>25680</v>
      </c>
      <c r="O120" s="10">
        <f t="shared" si="20"/>
        <v>499713</v>
      </c>
      <c r="P120" s="423">
        <v>525393</v>
      </c>
      <c r="Q120" s="10">
        <f t="shared" si="14"/>
        <v>1603030.9692740045</v>
      </c>
      <c r="R120" s="14">
        <f t="shared" si="21"/>
        <v>0</v>
      </c>
      <c r="S120" s="2">
        <f t="shared" si="22"/>
        <v>0</v>
      </c>
      <c r="T120" s="129">
        <f t="shared" si="23"/>
        <v>-2486703.1843559733</v>
      </c>
      <c r="U120" s="418">
        <f t="shared" si="15"/>
        <v>-1.5512508691470723</v>
      </c>
      <c r="V120" s="125"/>
    </row>
    <row r="121" spans="1:22" x14ac:dyDescent="0.25">
      <c r="A121" s="49">
        <f>+'A) Base RI'!A122</f>
        <v>5591</v>
      </c>
      <c r="B121" s="446" t="str">
        <f>+'A) Base RI'!B122</f>
        <v>Renens</v>
      </c>
      <c r="C121" s="296">
        <f>+'D) Ecrêtage'!C121</f>
        <v>569784.47115027823</v>
      </c>
      <c r="D121" s="421">
        <v>833079</v>
      </c>
      <c r="E121" s="421">
        <f t="shared" si="12"/>
        <v>3347979</v>
      </c>
      <c r="F121" s="541">
        <f t="shared" si="16"/>
        <v>5.8758691567025609</v>
      </c>
      <c r="G121" s="421">
        <v>4181058</v>
      </c>
      <c r="H121" s="421">
        <v>9571098</v>
      </c>
      <c r="I121" s="419">
        <v>179484</v>
      </c>
      <c r="J121" s="296">
        <f t="shared" si="17"/>
        <v>13931640</v>
      </c>
      <c r="K121" s="276">
        <f t="shared" si="13"/>
        <v>4558275.7692022258</v>
      </c>
      <c r="L121" s="10">
        <f t="shared" si="18"/>
        <v>9373364.2307977751</v>
      </c>
      <c r="M121" s="293">
        <f t="shared" si="19"/>
        <v>-7030023.1730983313</v>
      </c>
      <c r="N121" s="10">
        <v>0</v>
      </c>
      <c r="O121" s="10">
        <f t="shared" si="20"/>
        <v>8366</v>
      </c>
      <c r="P121" s="423">
        <v>8366</v>
      </c>
      <c r="Q121" s="10">
        <f t="shared" si="14"/>
        <v>569784.47115027823</v>
      </c>
      <c r="R121" s="14">
        <f t="shared" si="21"/>
        <v>0</v>
      </c>
      <c r="S121" s="2">
        <f t="shared" si="22"/>
        <v>0</v>
      </c>
      <c r="T121" s="129">
        <f t="shared" si="23"/>
        <v>-7030023.1730983313</v>
      </c>
      <c r="U121" s="418">
        <f t="shared" si="15"/>
        <v>-12.338039257030212</v>
      </c>
      <c r="V121" s="125"/>
    </row>
    <row r="122" spans="1:22" x14ac:dyDescent="0.25">
      <c r="A122" s="49">
        <f>+'A) Base RI'!A123</f>
        <v>5592</v>
      </c>
      <c r="B122" s="446" t="str">
        <f>+'A) Base RI'!B123</f>
        <v>Romanel-sur-Lausanne</v>
      </c>
      <c r="C122" s="296">
        <f>+'D) Ecrêtage'!C122</f>
        <v>121086.56368794327</v>
      </c>
      <c r="D122" s="421">
        <v>147468</v>
      </c>
      <c r="E122" s="421">
        <f t="shared" si="12"/>
        <v>864865</v>
      </c>
      <c r="F122" s="541">
        <f t="shared" si="16"/>
        <v>7.1425348416763734</v>
      </c>
      <c r="G122" s="421">
        <v>1012333</v>
      </c>
      <c r="H122" s="421">
        <v>263496</v>
      </c>
      <c r="I122" s="419">
        <v>25338</v>
      </c>
      <c r="J122" s="296">
        <f t="shared" si="17"/>
        <v>1301167</v>
      </c>
      <c r="K122" s="276">
        <f t="shared" si="13"/>
        <v>968692.50950354617</v>
      </c>
      <c r="L122" s="10">
        <f t="shared" si="18"/>
        <v>332474.49049645383</v>
      </c>
      <c r="M122" s="293">
        <f t="shared" si="19"/>
        <v>-249355.86787234037</v>
      </c>
      <c r="N122" s="10">
        <v>0</v>
      </c>
      <c r="O122" s="10">
        <f t="shared" si="20"/>
        <v>9298</v>
      </c>
      <c r="P122" s="423">
        <v>9298</v>
      </c>
      <c r="Q122" s="10">
        <f t="shared" si="14"/>
        <v>121086.56368794327</v>
      </c>
      <c r="R122" s="14">
        <f t="shared" si="21"/>
        <v>0</v>
      </c>
      <c r="S122" s="2">
        <f t="shared" si="22"/>
        <v>0</v>
      </c>
      <c r="T122" s="129">
        <f t="shared" si="23"/>
        <v>-249355.86787234037</v>
      </c>
      <c r="U122" s="418">
        <f t="shared" si="15"/>
        <v>-2.0593190547133267</v>
      </c>
      <c r="V122" s="125"/>
    </row>
    <row r="123" spans="1:22" x14ac:dyDescent="0.25">
      <c r="A123" s="49">
        <f>+'A) Base RI'!A124</f>
        <v>5601</v>
      </c>
      <c r="B123" s="446" t="str">
        <f>+'A) Base RI'!B124</f>
        <v>Chexbres</v>
      </c>
      <c r="C123" s="296">
        <f>+'D) Ecrêtage'!C123</f>
        <v>105973.06044444445</v>
      </c>
      <c r="D123" s="421">
        <v>222990</v>
      </c>
      <c r="E123" s="421">
        <f t="shared" si="12"/>
        <v>506436</v>
      </c>
      <c r="F123" s="541">
        <f t="shared" si="16"/>
        <v>4.7789126583307002</v>
      </c>
      <c r="G123" s="421">
        <v>729426</v>
      </c>
      <c r="H123" s="421">
        <v>196304</v>
      </c>
      <c r="I123" s="419">
        <v>305042</v>
      </c>
      <c r="J123" s="296">
        <f t="shared" si="17"/>
        <v>1230772</v>
      </c>
      <c r="K123" s="276">
        <f t="shared" si="13"/>
        <v>847784.48355555558</v>
      </c>
      <c r="L123" s="10">
        <f t="shared" si="18"/>
        <v>382987.51644444442</v>
      </c>
      <c r="M123" s="293">
        <f t="shared" si="19"/>
        <v>-287240.63733333332</v>
      </c>
      <c r="N123" s="10">
        <v>0</v>
      </c>
      <c r="O123" s="10">
        <f t="shared" si="20"/>
        <v>40241</v>
      </c>
      <c r="P123" s="423">
        <v>40241</v>
      </c>
      <c r="Q123" s="10">
        <f t="shared" si="14"/>
        <v>105973.06044444445</v>
      </c>
      <c r="R123" s="14">
        <f t="shared" si="21"/>
        <v>0</v>
      </c>
      <c r="S123" s="2">
        <f t="shared" si="22"/>
        <v>0</v>
      </c>
      <c r="T123" s="129">
        <f t="shared" si="23"/>
        <v>-287240.63733333332</v>
      </c>
      <c r="U123" s="418">
        <f t="shared" si="15"/>
        <v>-2.7105061996762565</v>
      </c>
      <c r="V123" s="125"/>
    </row>
    <row r="124" spans="1:22" x14ac:dyDescent="0.25">
      <c r="A124" s="49">
        <f>+'A) Base RI'!A125</f>
        <v>5604</v>
      </c>
      <c r="B124" s="446" t="str">
        <f>+'A) Base RI'!B125</f>
        <v>Forel (Lavaux)</v>
      </c>
      <c r="C124" s="296">
        <f>+'D) Ecrêtage'!C124</f>
        <v>75818.919130434777</v>
      </c>
      <c r="D124" s="421">
        <v>103833</v>
      </c>
      <c r="E124" s="421">
        <f t="shared" si="12"/>
        <v>542353</v>
      </c>
      <c r="F124" s="541">
        <f t="shared" si="16"/>
        <v>7.1532673667764266</v>
      </c>
      <c r="G124" s="421">
        <v>646186</v>
      </c>
      <c r="H124" s="421">
        <v>102493</v>
      </c>
      <c r="I124" s="419">
        <v>308631</v>
      </c>
      <c r="J124" s="296">
        <f t="shared" si="17"/>
        <v>1057310</v>
      </c>
      <c r="K124" s="276">
        <f t="shared" si="13"/>
        <v>606551.35304347822</v>
      </c>
      <c r="L124" s="10">
        <f t="shared" si="18"/>
        <v>450758.64695652178</v>
      </c>
      <c r="M124" s="293">
        <f t="shared" si="19"/>
        <v>-338068.98521739134</v>
      </c>
      <c r="N124" s="10">
        <v>0</v>
      </c>
      <c r="O124" s="10">
        <f t="shared" si="20"/>
        <v>36654</v>
      </c>
      <c r="P124" s="423">
        <v>36654</v>
      </c>
      <c r="Q124" s="10">
        <f t="shared" si="14"/>
        <v>75818.919130434777</v>
      </c>
      <c r="R124" s="14">
        <f t="shared" si="21"/>
        <v>0</v>
      </c>
      <c r="S124" s="2">
        <f t="shared" si="22"/>
        <v>0</v>
      </c>
      <c r="T124" s="129">
        <f t="shared" si="23"/>
        <v>-338068.98521739134</v>
      </c>
      <c r="U124" s="418">
        <f t="shared" si="15"/>
        <v>-4.4589000884567573</v>
      </c>
      <c r="V124" s="125"/>
    </row>
    <row r="125" spans="1:22" x14ac:dyDescent="0.25">
      <c r="A125" s="49">
        <f>+'A) Base RI'!A126</f>
        <v>5606</v>
      </c>
      <c r="B125" s="446" t="str">
        <f>+'A) Base RI'!B126</f>
        <v>Lutry</v>
      </c>
      <c r="C125" s="296">
        <f>+'D) Ecrêtage'!C125</f>
        <v>941137.19529100519</v>
      </c>
      <c r="D125" s="421">
        <v>949581</v>
      </c>
      <c r="E125" s="421">
        <f t="shared" si="12"/>
        <v>3669255</v>
      </c>
      <c r="F125" s="541">
        <f t="shared" si="16"/>
        <v>3.8987461321889891</v>
      </c>
      <c r="G125" s="421">
        <v>4618836</v>
      </c>
      <c r="H125" s="421">
        <v>4111628</v>
      </c>
      <c r="I125" s="419">
        <v>1683882</v>
      </c>
      <c r="J125" s="296">
        <f t="shared" si="17"/>
        <v>10414346</v>
      </c>
      <c r="K125" s="276">
        <f t="shared" si="13"/>
        <v>7529097.5623280415</v>
      </c>
      <c r="L125" s="10">
        <f t="shared" si="18"/>
        <v>2885248.4376719585</v>
      </c>
      <c r="M125" s="293">
        <f t="shared" si="19"/>
        <v>-2163936.3282539686</v>
      </c>
      <c r="N125" s="10">
        <v>0</v>
      </c>
      <c r="O125" s="10">
        <f t="shared" si="20"/>
        <v>349787</v>
      </c>
      <c r="P125" s="423">
        <v>349787</v>
      </c>
      <c r="Q125" s="10">
        <f t="shared" si="14"/>
        <v>941137.19529100519</v>
      </c>
      <c r="R125" s="14">
        <f t="shared" si="21"/>
        <v>0</v>
      </c>
      <c r="S125" s="2">
        <f t="shared" si="22"/>
        <v>0</v>
      </c>
      <c r="T125" s="129">
        <f t="shared" si="23"/>
        <v>-2163936.3282539686</v>
      </c>
      <c r="U125" s="418">
        <f t="shared" si="15"/>
        <v>-2.2992782976608068</v>
      </c>
      <c r="V125" s="125"/>
    </row>
    <row r="126" spans="1:22" x14ac:dyDescent="0.25">
      <c r="A126" s="49">
        <f>+'A) Base RI'!A127</f>
        <v>5607</v>
      </c>
      <c r="B126" s="446" t="str">
        <f>+'A) Base RI'!B127</f>
        <v>Puidoux</v>
      </c>
      <c r="C126" s="296">
        <f>+'D) Ecrêtage'!C126</f>
        <v>111580.38136464616</v>
      </c>
      <c r="D126" s="421">
        <v>359261</v>
      </c>
      <c r="E126" s="421">
        <f t="shared" si="12"/>
        <v>1085075</v>
      </c>
      <c r="F126" s="541">
        <f t="shared" si="16"/>
        <v>9.7246037944068373</v>
      </c>
      <c r="G126" s="421">
        <v>1444336</v>
      </c>
      <c r="H126" s="421">
        <v>315473</v>
      </c>
      <c r="I126" s="419">
        <v>425444</v>
      </c>
      <c r="J126" s="296">
        <f t="shared" si="17"/>
        <v>2185253</v>
      </c>
      <c r="K126" s="276">
        <f t="shared" si="13"/>
        <v>892643.05091716931</v>
      </c>
      <c r="L126" s="10">
        <f t="shared" si="18"/>
        <v>1292609.9490828307</v>
      </c>
      <c r="M126" s="293">
        <f t="shared" si="19"/>
        <v>-969457.46181212296</v>
      </c>
      <c r="N126" s="10">
        <v>0</v>
      </c>
      <c r="O126" s="10">
        <f t="shared" si="20"/>
        <v>14323</v>
      </c>
      <c r="P126" s="423">
        <v>14323</v>
      </c>
      <c r="Q126" s="10">
        <f t="shared" si="14"/>
        <v>111580.38136464616</v>
      </c>
      <c r="R126" s="14">
        <f t="shared" si="21"/>
        <v>0</v>
      </c>
      <c r="S126" s="2">
        <f t="shared" si="22"/>
        <v>0</v>
      </c>
      <c r="T126" s="129">
        <f t="shared" si="23"/>
        <v>-969457.46181212296</v>
      </c>
      <c r="U126" s="418">
        <f t="shared" si="15"/>
        <v>-8.688422193538873</v>
      </c>
      <c r="V126" s="125"/>
    </row>
    <row r="127" spans="1:22" x14ac:dyDescent="0.25">
      <c r="A127" s="49">
        <f>+'A) Base RI'!A128</f>
        <v>5609</v>
      </c>
      <c r="B127" s="446" t="str">
        <f>+'A) Base RI'!B128</f>
        <v>Rivaz</v>
      </c>
      <c r="C127" s="296">
        <f>+'D) Ecrêtage'!C127</f>
        <v>14896.510161290325</v>
      </c>
      <c r="D127" s="421">
        <v>0</v>
      </c>
      <c r="E127" s="421">
        <f t="shared" si="12"/>
        <v>114082</v>
      </c>
      <c r="F127" s="541">
        <f t="shared" si="16"/>
        <v>7.6583037748297889</v>
      </c>
      <c r="G127" s="421">
        <v>114082</v>
      </c>
      <c r="H127" s="421">
        <v>36736</v>
      </c>
      <c r="I127" s="419">
        <v>35575</v>
      </c>
      <c r="J127" s="296">
        <f t="shared" si="17"/>
        <v>186393</v>
      </c>
      <c r="K127" s="276">
        <f t="shared" si="13"/>
        <v>119172.0812903226</v>
      </c>
      <c r="L127" s="10">
        <f t="shared" si="18"/>
        <v>67220.918709677397</v>
      </c>
      <c r="M127" s="293">
        <f t="shared" si="19"/>
        <v>-50415.689032258044</v>
      </c>
      <c r="N127" s="10">
        <v>0</v>
      </c>
      <c r="O127" s="10">
        <f t="shared" si="20"/>
        <v>11729</v>
      </c>
      <c r="P127" s="423">
        <v>11729</v>
      </c>
      <c r="Q127" s="10">
        <f t="shared" si="14"/>
        <v>14896.510161290325</v>
      </c>
      <c r="R127" s="14">
        <f t="shared" si="21"/>
        <v>0</v>
      </c>
      <c r="S127" s="2">
        <f t="shared" si="22"/>
        <v>0</v>
      </c>
      <c r="T127" s="129">
        <f t="shared" si="23"/>
        <v>-50415.689032258044</v>
      </c>
      <c r="U127" s="418">
        <f t="shared" si="15"/>
        <v>-3.3843959750564201</v>
      </c>
      <c r="V127" s="125"/>
    </row>
    <row r="128" spans="1:22" x14ac:dyDescent="0.25">
      <c r="A128" s="49">
        <f>+'A) Base RI'!A129</f>
        <v>5610</v>
      </c>
      <c r="B128" s="446" t="str">
        <f>+'A) Base RI'!B129</f>
        <v>St-Saphorin (Lavaux)</v>
      </c>
      <c r="C128" s="296">
        <f>+'D) Ecrêtage'!C128</f>
        <v>23448.462152777778</v>
      </c>
      <c r="D128" s="421">
        <v>29638</v>
      </c>
      <c r="E128" s="421">
        <f t="shared" si="12"/>
        <v>69354</v>
      </c>
      <c r="F128" s="541">
        <f t="shared" si="16"/>
        <v>2.9577206192937524</v>
      </c>
      <c r="G128" s="421">
        <v>98992</v>
      </c>
      <c r="H128" s="421">
        <v>42296</v>
      </c>
      <c r="I128" s="419">
        <v>51695</v>
      </c>
      <c r="J128" s="296">
        <f t="shared" si="17"/>
        <v>192983</v>
      </c>
      <c r="K128" s="276">
        <f t="shared" si="13"/>
        <v>187587.69722222222</v>
      </c>
      <c r="L128" s="10">
        <f t="shared" si="18"/>
        <v>5395.3027777777752</v>
      </c>
      <c r="M128" s="293">
        <f t="shared" si="19"/>
        <v>-4046.4770833333314</v>
      </c>
      <c r="N128" s="10">
        <v>0</v>
      </c>
      <c r="O128" s="10">
        <f t="shared" si="20"/>
        <v>6805</v>
      </c>
      <c r="P128" s="423">
        <v>6805</v>
      </c>
      <c r="Q128" s="10">
        <f t="shared" si="14"/>
        <v>23448.462152777778</v>
      </c>
      <c r="R128" s="14">
        <f t="shared" si="21"/>
        <v>0</v>
      </c>
      <c r="S128" s="2">
        <f t="shared" si="22"/>
        <v>0</v>
      </c>
      <c r="T128" s="129">
        <f t="shared" si="23"/>
        <v>-4046.4770833333314</v>
      </c>
      <c r="U128" s="418">
        <f t="shared" si="15"/>
        <v>-0.17256897518347372</v>
      </c>
      <c r="V128" s="125"/>
    </row>
    <row r="129" spans="1:22" x14ac:dyDescent="0.25">
      <c r="A129" s="49">
        <f>+'A) Base RI'!A130</f>
        <v>5611</v>
      </c>
      <c r="B129" s="446" t="str">
        <f>+'A) Base RI'!B130</f>
        <v>Savigny</v>
      </c>
      <c r="C129" s="296">
        <f>+'D) Ecrêtage'!C129</f>
        <v>140983.13330917869</v>
      </c>
      <c r="D129" s="421">
        <v>305472</v>
      </c>
      <c r="E129" s="421">
        <f t="shared" si="12"/>
        <v>1040374</v>
      </c>
      <c r="F129" s="541">
        <f t="shared" si="16"/>
        <v>7.3794217476954493</v>
      </c>
      <c r="G129" s="421">
        <v>1345846</v>
      </c>
      <c r="H129" s="421">
        <v>163016</v>
      </c>
      <c r="I129" s="419">
        <v>473652</v>
      </c>
      <c r="J129" s="296">
        <f t="shared" si="17"/>
        <v>1982514</v>
      </c>
      <c r="K129" s="276">
        <f t="shared" si="13"/>
        <v>1127865.0664734296</v>
      </c>
      <c r="L129" s="10">
        <f t="shared" si="18"/>
        <v>854648.93352657044</v>
      </c>
      <c r="M129" s="293">
        <f t="shared" si="19"/>
        <v>-640986.70014492783</v>
      </c>
      <c r="N129" s="10">
        <v>0</v>
      </c>
      <c r="O129" s="10">
        <f t="shared" si="20"/>
        <v>39844</v>
      </c>
      <c r="P129" s="423">
        <v>39844</v>
      </c>
      <c r="Q129" s="10">
        <f t="shared" si="14"/>
        <v>140983.13330917869</v>
      </c>
      <c r="R129" s="14">
        <f t="shared" si="21"/>
        <v>0</v>
      </c>
      <c r="S129" s="2">
        <f t="shared" si="22"/>
        <v>0</v>
      </c>
      <c r="T129" s="129">
        <f t="shared" si="23"/>
        <v>-640986.70014492783</v>
      </c>
      <c r="U129" s="418">
        <f t="shared" si="15"/>
        <v>-4.5465488324708447</v>
      </c>
      <c r="V129" s="125"/>
    </row>
    <row r="130" spans="1:22" x14ac:dyDescent="0.25">
      <c r="A130" s="49">
        <f>+'A) Base RI'!A131</f>
        <v>5613</v>
      </c>
      <c r="B130" s="446" t="str">
        <f>+'A) Base RI'!B131</f>
        <v>Bourg-en-Lavaux</v>
      </c>
      <c r="C130" s="296">
        <f>+'D) Ecrêtage'!C130</f>
        <v>357210.57141333341</v>
      </c>
      <c r="D130" s="421">
        <v>197178</v>
      </c>
      <c r="E130" s="421">
        <f t="shared" si="12"/>
        <v>1523872</v>
      </c>
      <c r="F130" s="541">
        <f t="shared" si="16"/>
        <v>4.26603276037065</v>
      </c>
      <c r="G130" s="421">
        <v>1721050</v>
      </c>
      <c r="H130" s="421">
        <v>437321</v>
      </c>
      <c r="I130" s="419">
        <v>679214</v>
      </c>
      <c r="J130" s="296">
        <f t="shared" si="17"/>
        <v>2837585</v>
      </c>
      <c r="K130" s="276">
        <f t="shared" si="13"/>
        <v>2857684.5713066673</v>
      </c>
      <c r="L130" s="10">
        <f t="shared" si="18"/>
        <v>0</v>
      </c>
      <c r="M130" s="293">
        <f t="shared" si="19"/>
        <v>0</v>
      </c>
      <c r="N130" s="10">
        <v>0</v>
      </c>
      <c r="O130" s="10">
        <f t="shared" si="20"/>
        <v>188616</v>
      </c>
      <c r="P130" s="423">
        <v>188616</v>
      </c>
      <c r="Q130" s="10">
        <f t="shared" si="14"/>
        <v>357210.57141333341</v>
      </c>
      <c r="R130" s="14">
        <f t="shared" si="21"/>
        <v>0</v>
      </c>
      <c r="S130" s="2">
        <f t="shared" si="22"/>
        <v>0</v>
      </c>
      <c r="T130" s="129">
        <f t="shared" si="23"/>
        <v>0</v>
      </c>
      <c r="U130" s="418">
        <f t="shared" si="15"/>
        <v>0</v>
      </c>
      <c r="V130" s="125"/>
    </row>
    <row r="131" spans="1:22" x14ac:dyDescent="0.25">
      <c r="A131" s="49">
        <f>+'A) Base RI'!A132</f>
        <v>5621</v>
      </c>
      <c r="B131" s="446" t="str">
        <f>+'A) Base RI'!B132</f>
        <v>Aclens</v>
      </c>
      <c r="C131" s="296">
        <f>+'D) Ecrêtage'!C131</f>
        <v>32271.293782991204</v>
      </c>
      <c r="D131" s="421">
        <v>79861</v>
      </c>
      <c r="E131" s="421">
        <f t="shared" si="12"/>
        <v>131352</v>
      </c>
      <c r="F131" s="541">
        <f t="shared" si="16"/>
        <v>4.070242763840783</v>
      </c>
      <c r="G131" s="421">
        <v>211213</v>
      </c>
      <c r="H131" s="421">
        <v>31407</v>
      </c>
      <c r="I131" s="419">
        <v>63536</v>
      </c>
      <c r="J131" s="296">
        <f t="shared" si="17"/>
        <v>306156</v>
      </c>
      <c r="K131" s="276">
        <f t="shared" si="13"/>
        <v>258170.35026392963</v>
      </c>
      <c r="L131" s="10">
        <f t="shared" si="18"/>
        <v>47985.649736070365</v>
      </c>
      <c r="M131" s="293">
        <f t="shared" si="19"/>
        <v>-35989.237302052774</v>
      </c>
      <c r="N131" s="10">
        <v>0</v>
      </c>
      <c r="O131" s="10">
        <f t="shared" si="20"/>
        <v>-3156</v>
      </c>
      <c r="P131" s="423">
        <v>-3156</v>
      </c>
      <c r="Q131" s="10">
        <f t="shared" si="14"/>
        <v>32271.293782991204</v>
      </c>
      <c r="R131" s="14">
        <f t="shared" si="21"/>
        <v>0</v>
      </c>
      <c r="S131" s="2">
        <f t="shared" si="22"/>
        <v>0</v>
      </c>
      <c r="T131" s="129">
        <f t="shared" si="23"/>
        <v>-35989.237302052774</v>
      </c>
      <c r="U131" s="418">
        <f t="shared" si="15"/>
        <v>-1.1152090010416977</v>
      </c>
      <c r="V131" s="125"/>
    </row>
    <row r="132" spans="1:22" x14ac:dyDescent="0.25">
      <c r="A132" s="49">
        <f>+'A) Base RI'!A133</f>
        <v>5622</v>
      </c>
      <c r="B132" s="446" t="str">
        <f>+'A) Base RI'!B133</f>
        <v>Bremblens</v>
      </c>
      <c r="C132" s="296">
        <f>+'D) Ecrêtage'!C132</f>
        <v>28643.938676470589</v>
      </c>
      <c r="D132" s="421">
        <v>6749</v>
      </c>
      <c r="E132" s="421">
        <f t="shared" si="12"/>
        <v>134669</v>
      </c>
      <c r="F132" s="541">
        <f t="shared" si="16"/>
        <v>4.701483323263191</v>
      </c>
      <c r="G132" s="421">
        <v>141418</v>
      </c>
      <c r="H132" s="421">
        <v>34678</v>
      </c>
      <c r="I132" s="419">
        <v>66460</v>
      </c>
      <c r="J132" s="296">
        <f t="shared" si="17"/>
        <v>242556</v>
      </c>
      <c r="K132" s="276">
        <f t="shared" si="13"/>
        <v>229151.50941176471</v>
      </c>
      <c r="L132" s="10">
        <f t="shared" si="18"/>
        <v>13404.49058823529</v>
      </c>
      <c r="M132" s="293">
        <f t="shared" si="19"/>
        <v>-10053.367941176468</v>
      </c>
      <c r="N132" s="10">
        <v>0</v>
      </c>
      <c r="O132" s="10">
        <f t="shared" si="20"/>
        <v>19885</v>
      </c>
      <c r="P132" s="423">
        <v>19885</v>
      </c>
      <c r="Q132" s="10">
        <f t="shared" si="14"/>
        <v>28643.938676470589</v>
      </c>
      <c r="R132" s="14">
        <f t="shared" si="21"/>
        <v>0</v>
      </c>
      <c r="S132" s="2">
        <f t="shared" si="22"/>
        <v>0</v>
      </c>
      <c r="T132" s="129">
        <f t="shared" si="23"/>
        <v>-10053.367941176468</v>
      </c>
      <c r="U132" s="418">
        <f t="shared" si="15"/>
        <v>-0.35097714929248724</v>
      </c>
      <c r="V132" s="125"/>
    </row>
    <row r="133" spans="1:22" x14ac:dyDescent="0.25">
      <c r="A133" s="49">
        <f>+'A) Base RI'!A134</f>
        <v>5623</v>
      </c>
      <c r="B133" s="446" t="str">
        <f>+'A) Base RI'!B134</f>
        <v>Buchillon</v>
      </c>
      <c r="C133" s="296">
        <f>+'D) Ecrêtage'!C133</f>
        <v>89231.951153846152</v>
      </c>
      <c r="D133" s="421">
        <v>0</v>
      </c>
      <c r="E133" s="421">
        <f t="shared" si="12"/>
        <v>94526</v>
      </c>
      <c r="F133" s="541">
        <f t="shared" si="16"/>
        <v>1.0593290719041468</v>
      </c>
      <c r="G133" s="421">
        <v>94526</v>
      </c>
      <c r="H133" s="421">
        <v>71012</v>
      </c>
      <c r="I133" s="419">
        <v>61257</v>
      </c>
      <c r="J133" s="296">
        <f t="shared" si="17"/>
        <v>226795</v>
      </c>
      <c r="K133" s="276">
        <f t="shared" si="13"/>
        <v>713855.60923076922</v>
      </c>
      <c r="L133" s="10">
        <f t="shared" si="18"/>
        <v>0</v>
      </c>
      <c r="M133" s="293">
        <f t="shared" si="19"/>
        <v>0</v>
      </c>
      <c r="N133" s="10">
        <v>0</v>
      </c>
      <c r="O133" s="10">
        <f t="shared" si="20"/>
        <v>15067</v>
      </c>
      <c r="P133" s="423">
        <v>15067</v>
      </c>
      <c r="Q133" s="10">
        <f t="shared" si="14"/>
        <v>89231.951153846152</v>
      </c>
      <c r="R133" s="14">
        <f t="shared" si="21"/>
        <v>0</v>
      </c>
      <c r="S133" s="2">
        <f t="shared" si="22"/>
        <v>0</v>
      </c>
      <c r="T133" s="129">
        <f t="shared" si="23"/>
        <v>0</v>
      </c>
      <c r="U133" s="418">
        <f t="shared" si="15"/>
        <v>0</v>
      </c>
      <c r="V133" s="125"/>
    </row>
    <row r="134" spans="1:22" x14ac:dyDescent="0.25">
      <c r="A134" s="49">
        <f>+'A) Base RI'!A135</f>
        <v>5624</v>
      </c>
      <c r="B134" s="446" t="str">
        <f>+'A) Base RI'!B135</f>
        <v>Bussigny</v>
      </c>
      <c r="C134" s="296">
        <f>+'D) Ecrêtage'!C134</f>
        <v>441979.60352000006</v>
      </c>
      <c r="D134" s="421">
        <v>258886.94</v>
      </c>
      <c r="E134" s="421">
        <f t="shared" ref="E134:E197" si="24">+G134-D134</f>
        <v>1574902.76</v>
      </c>
      <c r="F134" s="541">
        <f t="shared" si="16"/>
        <v>3.5632928475821259</v>
      </c>
      <c r="G134" s="421">
        <v>1833789.7</v>
      </c>
      <c r="H134" s="421">
        <v>3282093.35</v>
      </c>
      <c r="I134" s="419">
        <v>271215.84999999998</v>
      </c>
      <c r="J134" s="296">
        <f t="shared" si="17"/>
        <v>5387098.8999999994</v>
      </c>
      <c r="K134" s="276">
        <f t="shared" ref="K134:K197" si="25">+C134*$L$5</f>
        <v>3535836.8281600005</v>
      </c>
      <c r="L134" s="10">
        <f t="shared" si="18"/>
        <v>1851262.0718399989</v>
      </c>
      <c r="M134" s="293">
        <f t="shared" si="19"/>
        <v>-1388446.5538799991</v>
      </c>
      <c r="N134" s="10">
        <v>0</v>
      </c>
      <c r="O134" s="10">
        <f t="shared" si="20"/>
        <v>205609</v>
      </c>
      <c r="P134" s="423">
        <v>205609</v>
      </c>
      <c r="Q134" s="10">
        <f t="shared" ref="Q134:Q197" si="26">C134*R$5</f>
        <v>441979.60352000006</v>
      </c>
      <c r="R134" s="14">
        <f t="shared" si="21"/>
        <v>0</v>
      </c>
      <c r="S134" s="2">
        <f t="shared" si="22"/>
        <v>0</v>
      </c>
      <c r="T134" s="129">
        <f t="shared" si="23"/>
        <v>-1388446.5538799991</v>
      </c>
      <c r="U134" s="418">
        <f t="shared" ref="U134:U197" si="27">+T134/C134</f>
        <v>-3.141426760018283</v>
      </c>
      <c r="V134" s="125"/>
    </row>
    <row r="135" spans="1:22" x14ac:dyDescent="0.25">
      <c r="A135" s="49">
        <f>+'A) Base RI'!A136</f>
        <v>5625</v>
      </c>
      <c r="B135" s="446" t="str">
        <f>+'A) Base RI'!B136</f>
        <v>Bussy-Chardonney</v>
      </c>
      <c r="C135" s="296">
        <f>+'D) Ecrêtage'!C135</f>
        <v>21108.495740740738</v>
      </c>
      <c r="D135" s="421">
        <v>0</v>
      </c>
      <c r="E135" s="421">
        <f t="shared" si="24"/>
        <v>401334</v>
      </c>
      <c r="F135" s="541">
        <f t="shared" ref="F135:F198" si="28">+E135/C135</f>
        <v>19.01291332785026</v>
      </c>
      <c r="G135" s="421">
        <v>401334</v>
      </c>
      <c r="H135" s="421">
        <v>40051</v>
      </c>
      <c r="I135" s="419">
        <v>53461</v>
      </c>
      <c r="J135" s="296">
        <f t="shared" ref="J135:J198" si="29">+G135+H135+I135</f>
        <v>494846</v>
      </c>
      <c r="K135" s="276">
        <f t="shared" si="25"/>
        <v>168867.96592592591</v>
      </c>
      <c r="L135" s="10">
        <f t="shared" ref="L135:L198" si="30">IF(J135&gt;K135,J135-K135,0)</f>
        <v>325978.03407407412</v>
      </c>
      <c r="M135" s="293">
        <f t="shared" ref="M135:M198" si="31">-L135*M$5</f>
        <v>-244483.52555555559</v>
      </c>
      <c r="N135" s="10">
        <v>0</v>
      </c>
      <c r="O135" s="10">
        <f t="shared" ref="O135:O198" si="32">+P135-N135</f>
        <v>6194</v>
      </c>
      <c r="P135" s="423">
        <v>6194</v>
      </c>
      <c r="Q135" s="10">
        <f t="shared" si="26"/>
        <v>21108.495740740738</v>
      </c>
      <c r="R135" s="14">
        <f t="shared" ref="R135:R198" si="33">IF(P135&gt;Q135,P135-Q135,0)</f>
        <v>0</v>
      </c>
      <c r="S135" s="2">
        <f t="shared" ref="S135:S198" si="34">-R135*S$5</f>
        <v>0</v>
      </c>
      <c r="T135" s="129">
        <f t="shared" ref="T135:T198" si="35">S135+M135</f>
        <v>-244483.52555555559</v>
      </c>
      <c r="U135" s="418">
        <f t="shared" si="27"/>
        <v>-11.582233455114798</v>
      </c>
      <c r="V135" s="125"/>
    </row>
    <row r="136" spans="1:22" x14ac:dyDescent="0.25">
      <c r="A136" s="49">
        <f>+'A) Base RI'!A137</f>
        <v>5627</v>
      </c>
      <c r="B136" s="446" t="str">
        <f>+'A) Base RI'!B137</f>
        <v>Chavannes-près-Renens</v>
      </c>
      <c r="C136" s="296">
        <f>+'D) Ecrêtage'!C136</f>
        <v>194072.91458064516</v>
      </c>
      <c r="D136" s="421">
        <v>351511</v>
      </c>
      <c r="E136" s="421">
        <f t="shared" si="24"/>
        <v>697478</v>
      </c>
      <c r="F136" s="541">
        <f t="shared" si="28"/>
        <v>3.5938966625359234</v>
      </c>
      <c r="G136" s="421">
        <v>1048989</v>
      </c>
      <c r="H136" s="421">
        <v>3028774</v>
      </c>
      <c r="I136" s="419">
        <v>3232</v>
      </c>
      <c r="J136" s="296">
        <f t="shared" si="29"/>
        <v>4080995</v>
      </c>
      <c r="K136" s="276">
        <f t="shared" si="25"/>
        <v>1552583.3166451612</v>
      </c>
      <c r="L136" s="10">
        <f t="shared" si="30"/>
        <v>2528411.6833548388</v>
      </c>
      <c r="M136" s="293">
        <f t="shared" si="31"/>
        <v>-1896308.7625161291</v>
      </c>
      <c r="N136" s="10">
        <v>0</v>
      </c>
      <c r="O136" s="10">
        <f t="shared" si="32"/>
        <v>11205</v>
      </c>
      <c r="P136" s="423">
        <v>11205</v>
      </c>
      <c r="Q136" s="10">
        <f t="shared" si="26"/>
        <v>194072.91458064516</v>
      </c>
      <c r="R136" s="14">
        <f t="shared" si="33"/>
        <v>0</v>
      </c>
      <c r="S136" s="2">
        <f t="shared" si="34"/>
        <v>0</v>
      </c>
      <c r="T136" s="129">
        <f t="shared" si="35"/>
        <v>-1896308.7625161291</v>
      </c>
      <c r="U136" s="418">
        <f t="shared" si="27"/>
        <v>-9.771114978170413</v>
      </c>
      <c r="V136" s="125"/>
    </row>
    <row r="137" spans="1:22" x14ac:dyDescent="0.25">
      <c r="A137" s="49">
        <f>+'A) Base RI'!A138</f>
        <v>5628</v>
      </c>
      <c r="B137" s="446" t="str">
        <f>+'A) Base RI'!B138</f>
        <v>Chigny</v>
      </c>
      <c r="C137" s="296">
        <f>+'D) Ecrêtage'!C137</f>
        <v>25790.901129032256</v>
      </c>
      <c r="D137" s="421">
        <v>0</v>
      </c>
      <c r="E137" s="421">
        <f t="shared" si="24"/>
        <v>26962</v>
      </c>
      <c r="F137" s="541">
        <f t="shared" si="28"/>
        <v>1.0454074429237163</v>
      </c>
      <c r="G137" s="421">
        <v>26962</v>
      </c>
      <c r="H137" s="421">
        <v>39258</v>
      </c>
      <c r="I137" s="419">
        <v>32038</v>
      </c>
      <c r="J137" s="296">
        <f t="shared" si="29"/>
        <v>98258</v>
      </c>
      <c r="K137" s="276">
        <f t="shared" si="25"/>
        <v>206327.20903225805</v>
      </c>
      <c r="L137" s="10">
        <f t="shared" si="30"/>
        <v>0</v>
      </c>
      <c r="M137" s="293">
        <f t="shared" si="31"/>
        <v>0</v>
      </c>
      <c r="N137" s="10">
        <v>0</v>
      </c>
      <c r="O137" s="10">
        <f t="shared" si="32"/>
        <v>3053</v>
      </c>
      <c r="P137" s="423">
        <v>3053</v>
      </c>
      <c r="Q137" s="10">
        <f t="shared" si="26"/>
        <v>25790.901129032256</v>
      </c>
      <c r="R137" s="14">
        <f t="shared" si="33"/>
        <v>0</v>
      </c>
      <c r="S137" s="2">
        <f t="shared" si="34"/>
        <v>0</v>
      </c>
      <c r="T137" s="129">
        <f t="shared" si="35"/>
        <v>0</v>
      </c>
      <c r="U137" s="418">
        <f t="shared" si="27"/>
        <v>0</v>
      </c>
      <c r="V137" s="125"/>
    </row>
    <row r="138" spans="1:22" x14ac:dyDescent="0.25">
      <c r="A138" s="49">
        <f>+'A) Base RI'!A139</f>
        <v>5629</v>
      </c>
      <c r="B138" s="446" t="str">
        <f>+'A) Base RI'!B139</f>
        <v>Clarmont</v>
      </c>
      <c r="C138" s="296">
        <f>+'D) Ecrêtage'!C138</f>
        <v>9948.0614965986406</v>
      </c>
      <c r="D138" s="421">
        <v>60878</v>
      </c>
      <c r="E138" s="421">
        <f t="shared" si="24"/>
        <v>46018</v>
      </c>
      <c r="F138" s="541">
        <f t="shared" si="28"/>
        <v>4.6258258471496276</v>
      </c>
      <c r="G138" s="421">
        <v>106896</v>
      </c>
      <c r="H138" s="421">
        <v>7971</v>
      </c>
      <c r="I138" s="419">
        <v>29849</v>
      </c>
      <c r="J138" s="296">
        <f t="shared" si="29"/>
        <v>144716</v>
      </c>
      <c r="K138" s="276">
        <f t="shared" si="25"/>
        <v>79584.491972789125</v>
      </c>
      <c r="L138" s="10">
        <f t="shared" si="30"/>
        <v>65131.508027210875</v>
      </c>
      <c r="M138" s="293">
        <f t="shared" si="31"/>
        <v>-48848.631020408153</v>
      </c>
      <c r="N138" s="10">
        <v>0</v>
      </c>
      <c r="O138" s="10">
        <f t="shared" si="32"/>
        <v>331</v>
      </c>
      <c r="P138" s="423">
        <v>331</v>
      </c>
      <c r="Q138" s="10">
        <f t="shared" si="26"/>
        <v>9948.0614965986406</v>
      </c>
      <c r="R138" s="14">
        <f t="shared" si="33"/>
        <v>0</v>
      </c>
      <c r="S138" s="2">
        <f t="shared" si="34"/>
        <v>0</v>
      </c>
      <c r="T138" s="129">
        <f t="shared" si="35"/>
        <v>-48848.631020408153</v>
      </c>
      <c r="U138" s="418">
        <f t="shared" si="27"/>
        <v>-4.9103668123794844</v>
      </c>
      <c r="V138" s="125"/>
    </row>
    <row r="139" spans="1:22" x14ac:dyDescent="0.25">
      <c r="A139" s="49">
        <f>+'A) Base RI'!A140</f>
        <v>5631</v>
      </c>
      <c r="B139" s="446" t="str">
        <f>+'A) Base RI'!B140</f>
        <v>Denens</v>
      </c>
      <c r="C139" s="296">
        <f>+'D) Ecrêtage'!C139</f>
        <v>43290.229264705871</v>
      </c>
      <c r="D139" s="421">
        <v>0</v>
      </c>
      <c r="E139" s="421">
        <f t="shared" si="24"/>
        <v>0</v>
      </c>
      <c r="F139" s="541">
        <f t="shared" si="28"/>
        <v>0</v>
      </c>
      <c r="G139" s="421">
        <v>0</v>
      </c>
      <c r="H139" s="421">
        <v>0</v>
      </c>
      <c r="I139" s="419">
        <v>0</v>
      </c>
      <c r="J139" s="296">
        <f t="shared" si="29"/>
        <v>0</v>
      </c>
      <c r="K139" s="276">
        <f t="shared" si="25"/>
        <v>346321.83411764697</v>
      </c>
      <c r="L139" s="10">
        <f t="shared" si="30"/>
        <v>0</v>
      </c>
      <c r="M139" s="293">
        <f t="shared" si="31"/>
        <v>0</v>
      </c>
      <c r="N139" s="10">
        <v>0</v>
      </c>
      <c r="O139" s="10">
        <f t="shared" si="32"/>
        <v>0</v>
      </c>
      <c r="P139" s="423">
        <v>0</v>
      </c>
      <c r="Q139" s="10">
        <f t="shared" si="26"/>
        <v>43290.229264705871</v>
      </c>
      <c r="R139" s="14">
        <f t="shared" si="33"/>
        <v>0</v>
      </c>
      <c r="S139" s="2">
        <f t="shared" si="34"/>
        <v>0</v>
      </c>
      <c r="T139" s="129">
        <f t="shared" si="35"/>
        <v>0</v>
      </c>
      <c r="U139" s="418">
        <f t="shared" si="27"/>
        <v>0</v>
      </c>
      <c r="V139" s="125"/>
    </row>
    <row r="140" spans="1:22" x14ac:dyDescent="0.25">
      <c r="A140" s="49">
        <f>+'A) Base RI'!A141</f>
        <v>5632</v>
      </c>
      <c r="B140" s="446" t="str">
        <f>+'A) Base RI'!B141</f>
        <v>Denges</v>
      </c>
      <c r="C140" s="296">
        <f>+'D) Ecrêtage'!C140</f>
        <v>80521.21435483871</v>
      </c>
      <c r="D140" s="421">
        <v>4347</v>
      </c>
      <c r="E140" s="421">
        <f t="shared" si="24"/>
        <v>191949</v>
      </c>
      <c r="F140" s="541">
        <f t="shared" si="28"/>
        <v>2.3838314106158949</v>
      </c>
      <c r="G140" s="421">
        <v>196296</v>
      </c>
      <c r="H140" s="421">
        <v>533657</v>
      </c>
      <c r="I140" s="419">
        <v>54635</v>
      </c>
      <c r="J140" s="296">
        <f t="shared" si="29"/>
        <v>784588</v>
      </c>
      <c r="K140" s="276">
        <f t="shared" si="25"/>
        <v>644169.71483870968</v>
      </c>
      <c r="L140" s="10">
        <f t="shared" si="30"/>
        <v>140418.28516129032</v>
      </c>
      <c r="M140" s="293">
        <f t="shared" si="31"/>
        <v>-105313.71387096774</v>
      </c>
      <c r="N140" s="10">
        <v>0</v>
      </c>
      <c r="O140" s="10">
        <f t="shared" si="32"/>
        <v>2439</v>
      </c>
      <c r="P140" s="423">
        <v>2439</v>
      </c>
      <c r="Q140" s="10">
        <f t="shared" si="26"/>
        <v>80521.21435483871</v>
      </c>
      <c r="R140" s="14">
        <f t="shared" si="33"/>
        <v>0</v>
      </c>
      <c r="S140" s="2">
        <f t="shared" si="34"/>
        <v>0</v>
      </c>
      <c r="T140" s="129">
        <f t="shared" si="35"/>
        <v>-105313.71387096774</v>
      </c>
      <c r="U140" s="418">
        <f t="shared" si="27"/>
        <v>-1.3079002187780491</v>
      </c>
      <c r="V140" s="125"/>
    </row>
    <row r="141" spans="1:22" x14ac:dyDescent="0.25">
      <c r="A141" s="49">
        <f>+'A) Base RI'!A142</f>
        <v>5633</v>
      </c>
      <c r="B141" s="446" t="str">
        <f>+'A) Base RI'!B142</f>
        <v>Echandens</v>
      </c>
      <c r="C141" s="296">
        <f>+'D) Ecrêtage'!C141</f>
        <v>168845.50793388431</v>
      </c>
      <c r="D141" s="421">
        <v>338686</v>
      </c>
      <c r="E141" s="421">
        <f t="shared" si="24"/>
        <v>814033</v>
      </c>
      <c r="F141" s="541">
        <f t="shared" si="28"/>
        <v>4.8211706071490807</v>
      </c>
      <c r="G141" s="421">
        <v>1152719</v>
      </c>
      <c r="H141" s="421">
        <v>910341</v>
      </c>
      <c r="I141" s="419">
        <v>92401</v>
      </c>
      <c r="J141" s="296">
        <f t="shared" si="29"/>
        <v>2155461</v>
      </c>
      <c r="K141" s="276">
        <f t="shared" si="25"/>
        <v>1350764.0634710744</v>
      </c>
      <c r="L141" s="10">
        <f t="shared" si="30"/>
        <v>804696.93652892555</v>
      </c>
      <c r="M141" s="293">
        <f t="shared" si="31"/>
        <v>-603522.70239669411</v>
      </c>
      <c r="N141" s="10">
        <v>0</v>
      </c>
      <c r="O141" s="10">
        <f t="shared" si="32"/>
        <v>23299</v>
      </c>
      <c r="P141" s="423">
        <v>23299</v>
      </c>
      <c r="Q141" s="10">
        <f t="shared" si="26"/>
        <v>168845.50793388431</v>
      </c>
      <c r="R141" s="14">
        <f t="shared" si="33"/>
        <v>0</v>
      </c>
      <c r="S141" s="2">
        <f t="shared" si="34"/>
        <v>0</v>
      </c>
      <c r="T141" s="129">
        <f t="shared" si="35"/>
        <v>-603522.70239669411</v>
      </c>
      <c r="U141" s="418">
        <f t="shared" si="27"/>
        <v>-3.5744078109144519</v>
      </c>
      <c r="V141" s="125"/>
    </row>
    <row r="142" spans="1:22" x14ac:dyDescent="0.25">
      <c r="A142" s="49">
        <f>+'A) Base RI'!A143</f>
        <v>5634</v>
      </c>
      <c r="B142" s="446" t="str">
        <f>+'A) Base RI'!B143</f>
        <v>Echichens</v>
      </c>
      <c r="C142" s="296">
        <f>+'D) Ecrêtage'!C142</f>
        <v>152568.89227272727</v>
      </c>
      <c r="D142" s="421">
        <v>212138</v>
      </c>
      <c r="E142" s="421">
        <f t="shared" si="24"/>
        <v>203032</v>
      </c>
      <c r="F142" s="541">
        <f t="shared" si="28"/>
        <v>1.3307562044631385</v>
      </c>
      <c r="G142" s="421">
        <v>415170</v>
      </c>
      <c r="H142" s="421">
        <v>698270</v>
      </c>
      <c r="I142" s="419">
        <v>274321</v>
      </c>
      <c r="J142" s="296">
        <f t="shared" si="29"/>
        <v>1387761</v>
      </c>
      <c r="K142" s="276">
        <f t="shared" si="25"/>
        <v>1220551.1381818182</v>
      </c>
      <c r="L142" s="10">
        <f t="shared" si="30"/>
        <v>167209.86181818182</v>
      </c>
      <c r="M142" s="293">
        <f t="shared" si="31"/>
        <v>-125407.39636363636</v>
      </c>
      <c r="N142" s="10">
        <v>0</v>
      </c>
      <c r="O142" s="10">
        <f t="shared" si="32"/>
        <v>25497</v>
      </c>
      <c r="P142" s="423">
        <v>25497</v>
      </c>
      <c r="Q142" s="10">
        <f t="shared" si="26"/>
        <v>152568.89227272727</v>
      </c>
      <c r="R142" s="14">
        <f t="shared" si="33"/>
        <v>0</v>
      </c>
      <c r="S142" s="2">
        <f t="shared" si="34"/>
        <v>0</v>
      </c>
      <c r="T142" s="129">
        <f t="shared" si="35"/>
        <v>-125407.39636363636</v>
      </c>
      <c r="U142" s="418">
        <f t="shared" si="27"/>
        <v>-0.82197225460261003</v>
      </c>
      <c r="V142" s="125"/>
    </row>
    <row r="143" spans="1:22" x14ac:dyDescent="0.25">
      <c r="A143" s="49">
        <f>+'A) Base RI'!A144</f>
        <v>5635</v>
      </c>
      <c r="B143" s="446" t="str">
        <f>+'A) Base RI'!B144</f>
        <v>Ecublens</v>
      </c>
      <c r="C143" s="296">
        <f>+'D) Ecrêtage'!C143</f>
        <v>872367.07997333352</v>
      </c>
      <c r="D143" s="421">
        <v>1292911</v>
      </c>
      <c r="E143" s="421">
        <f t="shared" si="24"/>
        <v>3050699</v>
      </c>
      <c r="F143" s="541">
        <f t="shared" si="28"/>
        <v>3.4970359038459518</v>
      </c>
      <c r="G143" s="421">
        <v>4343610</v>
      </c>
      <c r="H143" s="421">
        <v>4197902</v>
      </c>
      <c r="I143" s="419">
        <v>119789</v>
      </c>
      <c r="J143" s="296">
        <f t="shared" si="29"/>
        <v>8661301</v>
      </c>
      <c r="K143" s="276">
        <f t="shared" si="25"/>
        <v>6978936.6397866681</v>
      </c>
      <c r="L143" s="10">
        <f t="shared" si="30"/>
        <v>1682364.3602133319</v>
      </c>
      <c r="M143" s="293">
        <f t="shared" si="31"/>
        <v>-1261773.2701599989</v>
      </c>
      <c r="N143" s="10">
        <v>0</v>
      </c>
      <c r="O143" s="10">
        <f t="shared" si="32"/>
        <v>87540</v>
      </c>
      <c r="P143" s="423">
        <v>87540</v>
      </c>
      <c r="Q143" s="10">
        <f t="shared" si="26"/>
        <v>872367.07997333352</v>
      </c>
      <c r="R143" s="14">
        <f t="shared" si="33"/>
        <v>0</v>
      </c>
      <c r="S143" s="2">
        <f t="shared" si="34"/>
        <v>0</v>
      </c>
      <c r="T143" s="129">
        <f t="shared" si="35"/>
        <v>-1261773.2701599989</v>
      </c>
      <c r="U143" s="418">
        <f t="shared" si="27"/>
        <v>-1.4463788227755783</v>
      </c>
      <c r="V143" s="125"/>
    </row>
    <row r="144" spans="1:22" x14ac:dyDescent="0.25">
      <c r="A144" s="49">
        <f>+'A) Base RI'!A145</f>
        <v>5636</v>
      </c>
      <c r="B144" s="446" t="str">
        <f>+'A) Base RI'!B145</f>
        <v>Etoy</v>
      </c>
      <c r="C144" s="296">
        <f>+'D) Ecrêtage'!C144</f>
        <v>187063.54000000004</v>
      </c>
      <c r="D144" s="421">
        <v>0</v>
      </c>
      <c r="E144" s="421">
        <f t="shared" si="24"/>
        <v>0</v>
      </c>
      <c r="F144" s="541">
        <f t="shared" si="28"/>
        <v>0</v>
      </c>
      <c r="G144" s="421">
        <v>0</v>
      </c>
      <c r="H144" s="421">
        <v>0</v>
      </c>
      <c r="I144" s="419">
        <v>0</v>
      </c>
      <c r="J144" s="296">
        <f t="shared" si="29"/>
        <v>0</v>
      </c>
      <c r="K144" s="276">
        <f t="shared" si="25"/>
        <v>1496508.3200000003</v>
      </c>
      <c r="L144" s="10">
        <f t="shared" si="30"/>
        <v>0</v>
      </c>
      <c r="M144" s="293">
        <f t="shared" si="31"/>
        <v>0</v>
      </c>
      <c r="N144" s="10">
        <v>0</v>
      </c>
      <c r="O144" s="10">
        <f t="shared" si="32"/>
        <v>0</v>
      </c>
      <c r="P144" s="423">
        <v>0</v>
      </c>
      <c r="Q144" s="10">
        <f t="shared" si="26"/>
        <v>187063.54000000004</v>
      </c>
      <c r="R144" s="14">
        <f t="shared" si="33"/>
        <v>0</v>
      </c>
      <c r="S144" s="2">
        <f t="shared" si="34"/>
        <v>0</v>
      </c>
      <c r="T144" s="129">
        <f t="shared" si="35"/>
        <v>0</v>
      </c>
      <c r="U144" s="418">
        <f t="shared" si="27"/>
        <v>0</v>
      </c>
      <c r="V144" s="125"/>
    </row>
    <row r="145" spans="1:22" x14ac:dyDescent="0.25">
      <c r="A145" s="49">
        <f>+'A) Base RI'!A146</f>
        <v>5637</v>
      </c>
      <c r="B145" s="446" t="str">
        <f>+'A) Base RI'!B146</f>
        <v>Lavigny</v>
      </c>
      <c r="C145" s="296">
        <f>+'D) Ecrêtage'!C145</f>
        <v>37900.997397260275</v>
      </c>
      <c r="D145" s="421">
        <v>16796</v>
      </c>
      <c r="E145" s="421">
        <f t="shared" si="24"/>
        <v>265709</v>
      </c>
      <c r="F145" s="541">
        <f t="shared" si="28"/>
        <v>7.0106070617341363</v>
      </c>
      <c r="G145" s="421">
        <v>282505</v>
      </c>
      <c r="H145" s="421">
        <v>63985</v>
      </c>
      <c r="I145" s="419">
        <v>109506</v>
      </c>
      <c r="J145" s="296">
        <f t="shared" si="29"/>
        <v>455996</v>
      </c>
      <c r="K145" s="276">
        <f t="shared" si="25"/>
        <v>303207.9791780822</v>
      </c>
      <c r="L145" s="10">
        <f t="shared" si="30"/>
        <v>152788.0208219178</v>
      </c>
      <c r="M145" s="293">
        <f t="shared" si="31"/>
        <v>-114591.01561643835</v>
      </c>
      <c r="N145" s="10">
        <v>0</v>
      </c>
      <c r="O145" s="10">
        <f t="shared" si="32"/>
        <v>15226</v>
      </c>
      <c r="P145" s="423">
        <v>15226</v>
      </c>
      <c r="Q145" s="10">
        <f t="shared" si="26"/>
        <v>37900.997397260275</v>
      </c>
      <c r="R145" s="14">
        <f t="shared" si="33"/>
        <v>0</v>
      </c>
      <c r="S145" s="2">
        <f t="shared" si="34"/>
        <v>0</v>
      </c>
      <c r="T145" s="129">
        <f t="shared" si="35"/>
        <v>-114591.01561643835</v>
      </c>
      <c r="U145" s="418">
        <f t="shared" si="27"/>
        <v>-3.0234300806216177</v>
      </c>
      <c r="V145" s="125"/>
    </row>
    <row r="146" spans="1:22" x14ac:dyDescent="0.25">
      <c r="A146" s="49">
        <f>+'A) Base RI'!A147</f>
        <v>5638</v>
      </c>
      <c r="B146" s="446" t="str">
        <f>+'A) Base RI'!B147</f>
        <v>Lonay</v>
      </c>
      <c r="C146" s="296">
        <f>+'D) Ecrêtage'!C146</f>
        <v>174162.36418181815</v>
      </c>
      <c r="D146" s="421">
        <v>189323</v>
      </c>
      <c r="E146" s="421">
        <f t="shared" si="24"/>
        <v>595963</v>
      </c>
      <c r="F146" s="541">
        <f t="shared" si="28"/>
        <v>3.4218816608267892</v>
      </c>
      <c r="G146" s="421">
        <v>785286</v>
      </c>
      <c r="H146" s="421">
        <v>1017228</v>
      </c>
      <c r="I146" s="419">
        <v>82605</v>
      </c>
      <c r="J146" s="296">
        <f t="shared" si="29"/>
        <v>1885119</v>
      </c>
      <c r="K146" s="276">
        <f t="shared" si="25"/>
        <v>1393298.9134545452</v>
      </c>
      <c r="L146" s="10">
        <f t="shared" si="30"/>
        <v>491820.0865454548</v>
      </c>
      <c r="M146" s="293">
        <f t="shared" si="31"/>
        <v>-368865.0649090911</v>
      </c>
      <c r="N146" s="10">
        <v>0</v>
      </c>
      <c r="O146" s="10">
        <f t="shared" si="32"/>
        <v>6687</v>
      </c>
      <c r="P146" s="423">
        <v>6687</v>
      </c>
      <c r="Q146" s="10">
        <f t="shared" si="26"/>
        <v>174162.36418181815</v>
      </c>
      <c r="R146" s="14">
        <f t="shared" si="33"/>
        <v>0</v>
      </c>
      <c r="S146" s="2">
        <f t="shared" si="34"/>
        <v>0</v>
      </c>
      <c r="T146" s="129">
        <f t="shared" si="35"/>
        <v>-368865.0649090911</v>
      </c>
      <c r="U146" s="418">
        <f t="shared" si="27"/>
        <v>-2.11793786012236</v>
      </c>
      <c r="V146" s="125"/>
    </row>
    <row r="147" spans="1:22" x14ac:dyDescent="0.25">
      <c r="A147" s="49">
        <f>+'A) Base RI'!A148</f>
        <v>5639</v>
      </c>
      <c r="B147" s="446" t="str">
        <f>+'A) Base RI'!B148</f>
        <v>Lully</v>
      </c>
      <c r="C147" s="296">
        <f>+'D) Ecrêtage'!C147</f>
        <v>53711.269344262299</v>
      </c>
      <c r="D147" s="421">
        <v>0</v>
      </c>
      <c r="E147" s="421">
        <f t="shared" si="24"/>
        <v>0</v>
      </c>
      <c r="F147" s="541">
        <f t="shared" si="28"/>
        <v>0</v>
      </c>
      <c r="G147" s="421">
        <v>0</v>
      </c>
      <c r="H147" s="421">
        <v>0</v>
      </c>
      <c r="I147" s="419">
        <v>0</v>
      </c>
      <c r="J147" s="296">
        <f t="shared" si="29"/>
        <v>0</v>
      </c>
      <c r="K147" s="276">
        <f t="shared" si="25"/>
        <v>429690.15475409839</v>
      </c>
      <c r="L147" s="10">
        <f t="shared" si="30"/>
        <v>0</v>
      </c>
      <c r="M147" s="293">
        <f t="shared" si="31"/>
        <v>0</v>
      </c>
      <c r="N147" s="10">
        <v>0</v>
      </c>
      <c r="O147" s="10">
        <f t="shared" si="32"/>
        <v>0</v>
      </c>
      <c r="P147" s="423">
        <v>0</v>
      </c>
      <c r="Q147" s="10">
        <f t="shared" si="26"/>
        <v>53711.269344262299</v>
      </c>
      <c r="R147" s="14">
        <f t="shared" si="33"/>
        <v>0</v>
      </c>
      <c r="S147" s="2">
        <f t="shared" si="34"/>
        <v>0</v>
      </c>
      <c r="T147" s="129">
        <f t="shared" si="35"/>
        <v>0</v>
      </c>
      <c r="U147" s="418">
        <f t="shared" si="27"/>
        <v>0</v>
      </c>
      <c r="V147" s="125"/>
    </row>
    <row r="148" spans="1:22" x14ac:dyDescent="0.25">
      <c r="A148" s="49">
        <f>+'A) Base RI'!A149</f>
        <v>5640</v>
      </c>
      <c r="B148" s="446" t="str">
        <f>+'A) Base RI'!B149</f>
        <v>Lussy-sur-Morges</v>
      </c>
      <c r="C148" s="296">
        <f>+'D) Ecrêtage'!C148</f>
        <v>70527.814108527149</v>
      </c>
      <c r="D148" s="421">
        <v>102491</v>
      </c>
      <c r="E148" s="421">
        <f t="shared" si="24"/>
        <v>57991</v>
      </c>
      <c r="F148" s="541">
        <f t="shared" si="28"/>
        <v>0.82224297935512813</v>
      </c>
      <c r="G148" s="421">
        <v>160482</v>
      </c>
      <c r="H148" s="421">
        <v>132429</v>
      </c>
      <c r="I148" s="419">
        <v>84024</v>
      </c>
      <c r="J148" s="296">
        <f t="shared" si="29"/>
        <v>376935</v>
      </c>
      <c r="K148" s="276">
        <f t="shared" si="25"/>
        <v>564222.51286821719</v>
      </c>
      <c r="L148" s="10">
        <f t="shared" si="30"/>
        <v>0</v>
      </c>
      <c r="M148" s="293">
        <f t="shared" si="31"/>
        <v>0</v>
      </c>
      <c r="N148" s="10">
        <v>0</v>
      </c>
      <c r="O148" s="10">
        <f t="shared" si="32"/>
        <v>8056</v>
      </c>
      <c r="P148" s="423">
        <v>8056</v>
      </c>
      <c r="Q148" s="10">
        <f t="shared" si="26"/>
        <v>70527.814108527149</v>
      </c>
      <c r="R148" s="14">
        <f t="shared" si="33"/>
        <v>0</v>
      </c>
      <c r="S148" s="2">
        <f t="shared" si="34"/>
        <v>0</v>
      </c>
      <c r="T148" s="129">
        <f t="shared" si="35"/>
        <v>0</v>
      </c>
      <c r="U148" s="418">
        <f t="shared" si="27"/>
        <v>0</v>
      </c>
      <c r="V148" s="125"/>
    </row>
    <row r="149" spans="1:22" x14ac:dyDescent="0.25">
      <c r="A149" s="49">
        <f>+'A) Base RI'!A150</f>
        <v>5642</v>
      </c>
      <c r="B149" s="446" t="str">
        <f>+'A) Base RI'!B150</f>
        <v>Morges</v>
      </c>
      <c r="C149" s="296">
        <f>+'D) Ecrêtage'!C149</f>
        <v>999726.82119402988</v>
      </c>
      <c r="D149" s="421">
        <v>710360</v>
      </c>
      <c r="E149" s="421">
        <f t="shared" si="24"/>
        <v>2122708</v>
      </c>
      <c r="F149" s="541">
        <f t="shared" si="28"/>
        <v>2.1232880372907577</v>
      </c>
      <c r="G149" s="421">
        <v>2833068</v>
      </c>
      <c r="H149" s="421">
        <v>5020298</v>
      </c>
      <c r="I149" s="419">
        <v>96237</v>
      </c>
      <c r="J149" s="296">
        <f t="shared" si="29"/>
        <v>7949603</v>
      </c>
      <c r="K149" s="276">
        <f t="shared" si="25"/>
        <v>7997814.569552239</v>
      </c>
      <c r="L149" s="10">
        <f t="shared" si="30"/>
        <v>0</v>
      </c>
      <c r="M149" s="293">
        <f t="shared" si="31"/>
        <v>0</v>
      </c>
      <c r="N149" s="10">
        <v>0</v>
      </c>
      <c r="O149" s="10">
        <f t="shared" si="32"/>
        <v>49651</v>
      </c>
      <c r="P149" s="423">
        <v>49651</v>
      </c>
      <c r="Q149" s="10">
        <f t="shared" si="26"/>
        <v>999726.82119402988</v>
      </c>
      <c r="R149" s="14">
        <f t="shared" si="33"/>
        <v>0</v>
      </c>
      <c r="S149" s="2">
        <f t="shared" si="34"/>
        <v>0</v>
      </c>
      <c r="T149" s="129">
        <f t="shared" si="35"/>
        <v>0</v>
      </c>
      <c r="U149" s="418">
        <f t="shared" si="27"/>
        <v>0</v>
      </c>
      <c r="V149" s="125"/>
    </row>
    <row r="150" spans="1:22" x14ac:dyDescent="0.25">
      <c r="A150" s="49">
        <f>+'A) Base RI'!A151</f>
        <v>5643</v>
      </c>
      <c r="B150" s="446" t="str">
        <f>+'A) Base RI'!B151</f>
        <v>Préverenges</v>
      </c>
      <c r="C150" s="296">
        <f>+'D) Ecrêtage'!C150</f>
        <v>257752.82112000001</v>
      </c>
      <c r="D150" s="421">
        <v>0</v>
      </c>
      <c r="E150" s="421">
        <f t="shared" si="24"/>
        <v>197807</v>
      </c>
      <c r="F150" s="541">
        <f t="shared" si="28"/>
        <v>0.76742903973069809</v>
      </c>
      <c r="G150" s="421">
        <v>197807</v>
      </c>
      <c r="H150" s="421">
        <v>1233606</v>
      </c>
      <c r="I150" s="419">
        <v>114465</v>
      </c>
      <c r="J150" s="296">
        <f t="shared" si="29"/>
        <v>1545878</v>
      </c>
      <c r="K150" s="276">
        <f t="shared" si="25"/>
        <v>2062022.5689600001</v>
      </c>
      <c r="L150" s="10">
        <f t="shared" si="30"/>
        <v>0</v>
      </c>
      <c r="M150" s="293">
        <f t="shared" si="31"/>
        <v>0</v>
      </c>
      <c r="N150" s="10">
        <v>0</v>
      </c>
      <c r="O150" s="10">
        <f t="shared" si="32"/>
        <v>0</v>
      </c>
      <c r="P150" s="423">
        <v>0</v>
      </c>
      <c r="Q150" s="10">
        <f t="shared" si="26"/>
        <v>257752.82112000001</v>
      </c>
      <c r="R150" s="14">
        <f t="shared" si="33"/>
        <v>0</v>
      </c>
      <c r="S150" s="2">
        <f t="shared" si="34"/>
        <v>0</v>
      </c>
      <c r="T150" s="129">
        <f t="shared" si="35"/>
        <v>0</v>
      </c>
      <c r="U150" s="418">
        <f t="shared" si="27"/>
        <v>0</v>
      </c>
      <c r="V150" s="125"/>
    </row>
    <row r="151" spans="1:22" x14ac:dyDescent="0.25">
      <c r="A151" s="49">
        <f>+'A) Base RI'!A152</f>
        <v>5644</v>
      </c>
      <c r="B151" s="446" t="str">
        <f>+'A) Base RI'!B152</f>
        <v>Reverolle</v>
      </c>
      <c r="C151" s="296">
        <f>+'D) Ecrêtage'!C151</f>
        <v>16363.457972972968</v>
      </c>
      <c r="D151" s="421">
        <v>30618</v>
      </c>
      <c r="E151" s="421">
        <f t="shared" si="24"/>
        <v>431848</v>
      </c>
      <c r="F151" s="541">
        <f t="shared" si="28"/>
        <v>26.390998816586954</v>
      </c>
      <c r="G151" s="421">
        <v>462466</v>
      </c>
      <c r="H151" s="421">
        <v>32279</v>
      </c>
      <c r="I151" s="419">
        <v>67101</v>
      </c>
      <c r="J151" s="296">
        <f t="shared" si="29"/>
        <v>561846</v>
      </c>
      <c r="K151" s="276">
        <f t="shared" si="25"/>
        <v>130907.66378378375</v>
      </c>
      <c r="L151" s="10">
        <f t="shared" si="30"/>
        <v>430938.33621621627</v>
      </c>
      <c r="M151" s="293">
        <f t="shared" si="31"/>
        <v>-323203.75216216221</v>
      </c>
      <c r="N151" s="10">
        <v>0</v>
      </c>
      <c r="O151" s="10">
        <f t="shared" si="32"/>
        <v>10277</v>
      </c>
      <c r="P151" s="423">
        <v>10277</v>
      </c>
      <c r="Q151" s="10">
        <f t="shared" si="26"/>
        <v>16363.457972972968</v>
      </c>
      <c r="R151" s="14">
        <f t="shared" si="33"/>
        <v>0</v>
      </c>
      <c r="S151" s="2">
        <f t="shared" si="34"/>
        <v>0</v>
      </c>
      <c r="T151" s="129">
        <f t="shared" si="35"/>
        <v>-323203.75216216221</v>
      </c>
      <c r="U151" s="418">
        <f t="shared" si="27"/>
        <v>-19.751555734490115</v>
      </c>
      <c r="V151" s="125"/>
    </row>
    <row r="152" spans="1:22" x14ac:dyDescent="0.25">
      <c r="A152" s="49">
        <f>+'A) Base RI'!A153</f>
        <v>5645</v>
      </c>
      <c r="B152" s="446" t="str">
        <f>+'A) Base RI'!B153</f>
        <v>Romanel-sur-Morges</v>
      </c>
      <c r="C152" s="296">
        <f>+'D) Ecrêtage'!C152</f>
        <v>26586.021785714285</v>
      </c>
      <c r="D152" s="421">
        <v>19096</v>
      </c>
      <c r="E152" s="421">
        <f t="shared" si="24"/>
        <v>95673</v>
      </c>
      <c r="F152" s="541">
        <f t="shared" si="28"/>
        <v>3.5986203867255111</v>
      </c>
      <c r="G152" s="421">
        <v>114769</v>
      </c>
      <c r="H152" s="421">
        <v>62118</v>
      </c>
      <c r="I152" s="419">
        <v>36114</v>
      </c>
      <c r="J152" s="296">
        <f t="shared" si="29"/>
        <v>213001</v>
      </c>
      <c r="K152" s="276">
        <f t="shared" si="25"/>
        <v>212688.17428571428</v>
      </c>
      <c r="L152" s="10">
        <f t="shared" si="30"/>
        <v>312.82571428571828</v>
      </c>
      <c r="M152" s="293">
        <f t="shared" si="31"/>
        <v>-234.61928571428871</v>
      </c>
      <c r="N152" s="10">
        <v>0</v>
      </c>
      <c r="O152" s="10">
        <f t="shared" si="32"/>
        <v>5901</v>
      </c>
      <c r="P152" s="423">
        <v>5901</v>
      </c>
      <c r="Q152" s="10">
        <f t="shared" si="26"/>
        <v>26586.021785714285</v>
      </c>
      <c r="R152" s="14">
        <f t="shared" si="33"/>
        <v>0</v>
      </c>
      <c r="S152" s="2">
        <f t="shared" si="34"/>
        <v>0</v>
      </c>
      <c r="T152" s="129">
        <f t="shared" si="35"/>
        <v>-234.61928571428871</v>
      </c>
      <c r="U152" s="418">
        <f t="shared" si="27"/>
        <v>-8.8249113615170086E-3</v>
      </c>
      <c r="V152" s="125"/>
    </row>
    <row r="153" spans="1:22" x14ac:dyDescent="0.25">
      <c r="A153" s="49">
        <f>+'A) Base RI'!A154</f>
        <v>5646</v>
      </c>
      <c r="B153" s="446" t="str">
        <f>+'A) Base RI'!B154</f>
        <v>Saint-Prex</v>
      </c>
      <c r="C153" s="296">
        <f>+'D) Ecrêtage'!C153</f>
        <v>527982.74983050849</v>
      </c>
      <c r="D153" s="421">
        <v>0</v>
      </c>
      <c r="E153" s="421">
        <f t="shared" si="24"/>
        <v>0</v>
      </c>
      <c r="F153" s="541">
        <f t="shared" si="28"/>
        <v>0</v>
      </c>
      <c r="G153" s="421">
        <v>0</v>
      </c>
      <c r="H153" s="421">
        <v>0</v>
      </c>
      <c r="I153" s="419">
        <v>0</v>
      </c>
      <c r="J153" s="296">
        <f t="shared" si="29"/>
        <v>0</v>
      </c>
      <c r="K153" s="276">
        <f t="shared" si="25"/>
        <v>4223861.9986440679</v>
      </c>
      <c r="L153" s="10">
        <f t="shared" si="30"/>
        <v>0</v>
      </c>
      <c r="M153" s="293">
        <f t="shared" si="31"/>
        <v>0</v>
      </c>
      <c r="N153" s="10">
        <v>0</v>
      </c>
      <c r="O153" s="10">
        <f t="shared" si="32"/>
        <v>0</v>
      </c>
      <c r="P153" s="423">
        <v>0</v>
      </c>
      <c r="Q153" s="10">
        <f t="shared" si="26"/>
        <v>527982.74983050849</v>
      </c>
      <c r="R153" s="14">
        <f t="shared" si="33"/>
        <v>0</v>
      </c>
      <c r="S153" s="2">
        <f t="shared" si="34"/>
        <v>0</v>
      </c>
      <c r="T153" s="129">
        <f t="shared" si="35"/>
        <v>0</v>
      </c>
      <c r="U153" s="418">
        <f t="shared" si="27"/>
        <v>0</v>
      </c>
      <c r="V153" s="125"/>
    </row>
    <row r="154" spans="1:22" x14ac:dyDescent="0.25">
      <c r="A154" s="49">
        <f>+'A) Base RI'!A155</f>
        <v>5648</v>
      </c>
      <c r="B154" s="446" t="str">
        <f>+'A) Base RI'!B155</f>
        <v>Saint-Sulpice</v>
      </c>
      <c r="C154" s="296">
        <f>+'D) Ecrêtage'!C154</f>
        <v>394426.68886363629</v>
      </c>
      <c r="D154" s="421">
        <v>360482</v>
      </c>
      <c r="E154" s="421">
        <f t="shared" si="24"/>
        <v>361829</v>
      </c>
      <c r="F154" s="541">
        <f t="shared" si="28"/>
        <v>0.91735425166701601</v>
      </c>
      <c r="G154" s="421">
        <v>722311</v>
      </c>
      <c r="H154" s="421">
        <v>2128821</v>
      </c>
      <c r="I154" s="419">
        <v>58763</v>
      </c>
      <c r="J154" s="296">
        <f t="shared" si="29"/>
        <v>2909895</v>
      </c>
      <c r="K154" s="276">
        <f t="shared" si="25"/>
        <v>3155413.5109090903</v>
      </c>
      <c r="L154" s="10">
        <f t="shared" si="30"/>
        <v>0</v>
      </c>
      <c r="M154" s="293">
        <f t="shared" si="31"/>
        <v>0</v>
      </c>
      <c r="N154" s="10">
        <v>0</v>
      </c>
      <c r="O154" s="10">
        <f t="shared" si="32"/>
        <v>38892</v>
      </c>
      <c r="P154" s="423">
        <v>38892</v>
      </c>
      <c r="Q154" s="10">
        <f t="shared" si="26"/>
        <v>394426.68886363629</v>
      </c>
      <c r="R154" s="14">
        <f t="shared" si="33"/>
        <v>0</v>
      </c>
      <c r="S154" s="2">
        <f t="shared" si="34"/>
        <v>0</v>
      </c>
      <c r="T154" s="129">
        <f t="shared" si="35"/>
        <v>0</v>
      </c>
      <c r="U154" s="418">
        <f t="shared" si="27"/>
        <v>0</v>
      </c>
      <c r="V154" s="125"/>
    </row>
    <row r="155" spans="1:22" x14ac:dyDescent="0.25">
      <c r="A155" s="49">
        <f>+'A) Base RI'!A156</f>
        <v>5649</v>
      </c>
      <c r="B155" s="446" t="str">
        <f>+'A) Base RI'!B156</f>
        <v>Tolochenaz</v>
      </c>
      <c r="C155" s="296">
        <f>+'D) Ecrêtage'!C155</f>
        <v>155778.42171874997</v>
      </c>
      <c r="D155" s="421">
        <v>87153</v>
      </c>
      <c r="E155" s="421">
        <f t="shared" si="24"/>
        <v>659853</v>
      </c>
      <c r="F155" s="541">
        <f t="shared" si="28"/>
        <v>4.2358434032110752</v>
      </c>
      <c r="G155" s="421">
        <v>747006</v>
      </c>
      <c r="H155" s="421">
        <v>740653</v>
      </c>
      <c r="I155" s="419">
        <v>25615</v>
      </c>
      <c r="J155" s="296">
        <f t="shared" si="29"/>
        <v>1513274</v>
      </c>
      <c r="K155" s="276">
        <f t="shared" si="25"/>
        <v>1246227.3737499998</v>
      </c>
      <c r="L155" s="10">
        <f t="shared" si="30"/>
        <v>267046.6262500002</v>
      </c>
      <c r="M155" s="293">
        <f t="shared" si="31"/>
        <v>-200284.96968750015</v>
      </c>
      <c r="N155" s="10">
        <v>0</v>
      </c>
      <c r="O155" s="10">
        <f t="shared" si="32"/>
        <v>10144</v>
      </c>
      <c r="P155" s="423">
        <v>10144</v>
      </c>
      <c r="Q155" s="10">
        <f t="shared" si="26"/>
        <v>155778.42171874997</v>
      </c>
      <c r="R155" s="14">
        <f t="shared" si="33"/>
        <v>0</v>
      </c>
      <c r="S155" s="2">
        <f t="shared" si="34"/>
        <v>0</v>
      </c>
      <c r="T155" s="129">
        <f t="shared" si="35"/>
        <v>-200284.96968750015</v>
      </c>
      <c r="U155" s="418">
        <f t="shared" si="27"/>
        <v>-1.285704191104879</v>
      </c>
      <c r="V155" s="125"/>
    </row>
    <row r="156" spans="1:22" x14ac:dyDescent="0.25">
      <c r="A156" s="49">
        <f>+'A) Base RI'!A157</f>
        <v>5650</v>
      </c>
      <c r="B156" s="446" t="str">
        <f>+'A) Base RI'!B157</f>
        <v>Vaux-sur-Morges</v>
      </c>
      <c r="C156" s="296">
        <f>+'D) Ecrêtage'!C156</f>
        <v>83125.71642857141</v>
      </c>
      <c r="D156" s="421">
        <v>0</v>
      </c>
      <c r="E156" s="421">
        <f t="shared" si="24"/>
        <v>0</v>
      </c>
      <c r="F156" s="541">
        <f t="shared" si="28"/>
        <v>0</v>
      </c>
      <c r="G156" s="421">
        <v>0</v>
      </c>
      <c r="H156" s="421">
        <v>0</v>
      </c>
      <c r="I156" s="419">
        <v>0</v>
      </c>
      <c r="J156" s="296">
        <f t="shared" si="29"/>
        <v>0</v>
      </c>
      <c r="K156" s="276">
        <f t="shared" si="25"/>
        <v>665005.73142857128</v>
      </c>
      <c r="L156" s="10">
        <f t="shared" si="30"/>
        <v>0</v>
      </c>
      <c r="M156" s="293">
        <f t="shared" si="31"/>
        <v>0</v>
      </c>
      <c r="N156" s="10">
        <v>0</v>
      </c>
      <c r="O156" s="10">
        <f t="shared" si="32"/>
        <v>0</v>
      </c>
      <c r="P156" s="423">
        <v>0</v>
      </c>
      <c r="Q156" s="10">
        <f t="shared" si="26"/>
        <v>83125.71642857141</v>
      </c>
      <c r="R156" s="14">
        <f t="shared" si="33"/>
        <v>0</v>
      </c>
      <c r="S156" s="2">
        <f t="shared" si="34"/>
        <v>0</v>
      </c>
      <c r="T156" s="129">
        <f t="shared" si="35"/>
        <v>0</v>
      </c>
      <c r="U156" s="418">
        <f t="shared" si="27"/>
        <v>0</v>
      </c>
      <c r="V156" s="125"/>
    </row>
    <row r="157" spans="1:22" x14ac:dyDescent="0.25">
      <c r="A157" s="49">
        <f>+'A) Base RI'!A158</f>
        <v>5651</v>
      </c>
      <c r="B157" s="446" t="str">
        <f>+'A) Base RI'!B158</f>
        <v>Villars-Sainte-Croix</v>
      </c>
      <c r="C157" s="296">
        <f>+'D) Ecrêtage'!C157</f>
        <v>57697.031735537188</v>
      </c>
      <c r="D157" s="421">
        <v>0</v>
      </c>
      <c r="E157" s="421">
        <f t="shared" si="24"/>
        <v>0</v>
      </c>
      <c r="F157" s="541">
        <f t="shared" si="28"/>
        <v>0</v>
      </c>
      <c r="G157" s="421">
        <v>0</v>
      </c>
      <c r="H157" s="421">
        <v>0</v>
      </c>
      <c r="I157" s="419">
        <v>0</v>
      </c>
      <c r="J157" s="296">
        <f t="shared" si="29"/>
        <v>0</v>
      </c>
      <c r="K157" s="276">
        <f t="shared" si="25"/>
        <v>461576.2538842975</v>
      </c>
      <c r="L157" s="10">
        <f t="shared" si="30"/>
        <v>0</v>
      </c>
      <c r="M157" s="293">
        <f t="shared" si="31"/>
        <v>0</v>
      </c>
      <c r="N157" s="10">
        <v>0</v>
      </c>
      <c r="O157" s="10">
        <f t="shared" si="32"/>
        <v>0</v>
      </c>
      <c r="P157" s="423">
        <v>0</v>
      </c>
      <c r="Q157" s="10">
        <f t="shared" si="26"/>
        <v>57697.031735537188</v>
      </c>
      <c r="R157" s="14">
        <f t="shared" si="33"/>
        <v>0</v>
      </c>
      <c r="S157" s="2">
        <f t="shared" si="34"/>
        <v>0</v>
      </c>
      <c r="T157" s="129">
        <f t="shared" si="35"/>
        <v>0</v>
      </c>
      <c r="U157" s="418">
        <f t="shared" si="27"/>
        <v>0</v>
      </c>
      <c r="V157" s="125"/>
    </row>
    <row r="158" spans="1:22" x14ac:dyDescent="0.25">
      <c r="A158" s="49">
        <f>+'A) Base RI'!A159</f>
        <v>5652</v>
      </c>
      <c r="B158" s="446" t="str">
        <f>+'A) Base RI'!B159</f>
        <v>Villars-sous-Yens</v>
      </c>
      <c r="C158" s="296">
        <f>+'D) Ecrêtage'!C158</f>
        <v>25902.630833333329</v>
      </c>
      <c r="D158" s="421">
        <v>14197</v>
      </c>
      <c r="E158" s="421">
        <f t="shared" si="24"/>
        <v>117075</v>
      </c>
      <c r="F158" s="541">
        <f t="shared" si="28"/>
        <v>4.519811163325528</v>
      </c>
      <c r="G158" s="421">
        <v>131272</v>
      </c>
      <c r="H158" s="421">
        <v>48775</v>
      </c>
      <c r="I158" s="419">
        <v>62081</v>
      </c>
      <c r="J158" s="296">
        <f t="shared" si="29"/>
        <v>242128</v>
      </c>
      <c r="K158" s="276">
        <f t="shared" si="25"/>
        <v>207221.04666666663</v>
      </c>
      <c r="L158" s="10">
        <f t="shared" si="30"/>
        <v>34906.953333333367</v>
      </c>
      <c r="M158" s="293">
        <f t="shared" si="31"/>
        <v>-26180.215000000026</v>
      </c>
      <c r="N158" s="10">
        <v>0</v>
      </c>
      <c r="O158" s="10">
        <f t="shared" si="32"/>
        <v>6366</v>
      </c>
      <c r="P158" s="423">
        <v>6366</v>
      </c>
      <c r="Q158" s="10">
        <f t="shared" si="26"/>
        <v>25902.630833333329</v>
      </c>
      <c r="R158" s="14">
        <f t="shared" si="33"/>
        <v>0</v>
      </c>
      <c r="S158" s="2">
        <f t="shared" si="34"/>
        <v>0</v>
      </c>
      <c r="T158" s="129">
        <f t="shared" si="35"/>
        <v>-26180.215000000026</v>
      </c>
      <c r="U158" s="418">
        <f t="shared" si="27"/>
        <v>-1.0107164468525522</v>
      </c>
      <c r="V158" s="125"/>
    </row>
    <row r="159" spans="1:22" x14ac:dyDescent="0.25">
      <c r="A159" s="49">
        <f>+'A) Base RI'!A160</f>
        <v>5653</v>
      </c>
      <c r="B159" s="446" t="str">
        <f>+'A) Base RI'!B160</f>
        <v>Vufflens-le-Château</v>
      </c>
      <c r="C159" s="296">
        <f>+'D) Ecrêtage'!C159</f>
        <v>67687.367350427332</v>
      </c>
      <c r="D159" s="421">
        <v>0</v>
      </c>
      <c r="E159" s="421">
        <f t="shared" si="24"/>
        <v>0</v>
      </c>
      <c r="F159" s="541">
        <f t="shared" si="28"/>
        <v>0</v>
      </c>
      <c r="G159" s="421">
        <v>0</v>
      </c>
      <c r="H159" s="421">
        <v>0</v>
      </c>
      <c r="I159" s="419">
        <v>0</v>
      </c>
      <c r="J159" s="296">
        <f t="shared" si="29"/>
        <v>0</v>
      </c>
      <c r="K159" s="276">
        <f t="shared" si="25"/>
        <v>541498.93880341866</v>
      </c>
      <c r="L159" s="10">
        <f t="shared" si="30"/>
        <v>0</v>
      </c>
      <c r="M159" s="293">
        <f t="shared" si="31"/>
        <v>0</v>
      </c>
      <c r="N159" s="10">
        <v>0</v>
      </c>
      <c r="O159" s="10">
        <f t="shared" si="32"/>
        <v>0</v>
      </c>
      <c r="P159" s="423">
        <v>0</v>
      </c>
      <c r="Q159" s="10">
        <f t="shared" si="26"/>
        <v>67687.367350427332</v>
      </c>
      <c r="R159" s="14">
        <f t="shared" si="33"/>
        <v>0</v>
      </c>
      <c r="S159" s="2">
        <f t="shared" si="34"/>
        <v>0</v>
      </c>
      <c r="T159" s="129">
        <f t="shared" si="35"/>
        <v>0</v>
      </c>
      <c r="U159" s="418">
        <f t="shared" si="27"/>
        <v>0</v>
      </c>
      <c r="V159" s="125"/>
    </row>
    <row r="160" spans="1:22" x14ac:dyDescent="0.25">
      <c r="A160" s="49">
        <f>+'A) Base RI'!A161</f>
        <v>5654</v>
      </c>
      <c r="B160" s="446" t="str">
        <f>+'A) Base RI'!B161</f>
        <v>Vullierens</v>
      </c>
      <c r="C160" s="296">
        <f>+'D) Ecrêtage'!C160</f>
        <v>20665.692500000001</v>
      </c>
      <c r="D160" s="421">
        <v>18983</v>
      </c>
      <c r="E160" s="421">
        <f t="shared" si="24"/>
        <v>151539</v>
      </c>
      <c r="F160" s="541">
        <f t="shared" si="28"/>
        <v>7.3328779086401283</v>
      </c>
      <c r="G160" s="421">
        <v>170522</v>
      </c>
      <c r="H160" s="421">
        <v>46439</v>
      </c>
      <c r="I160" s="419">
        <v>84741</v>
      </c>
      <c r="J160" s="296">
        <f t="shared" si="29"/>
        <v>301702</v>
      </c>
      <c r="K160" s="276">
        <f t="shared" si="25"/>
        <v>165325.54</v>
      </c>
      <c r="L160" s="10">
        <f t="shared" si="30"/>
        <v>136376.46</v>
      </c>
      <c r="M160" s="293">
        <f t="shared" si="31"/>
        <v>-102282.345</v>
      </c>
      <c r="N160" s="10">
        <v>0</v>
      </c>
      <c r="O160" s="10">
        <f t="shared" si="32"/>
        <v>5559</v>
      </c>
      <c r="P160" s="423">
        <v>5559</v>
      </c>
      <c r="Q160" s="10">
        <f t="shared" si="26"/>
        <v>20665.692500000001</v>
      </c>
      <c r="R160" s="14">
        <f t="shared" si="33"/>
        <v>0</v>
      </c>
      <c r="S160" s="2">
        <f t="shared" si="34"/>
        <v>0</v>
      </c>
      <c r="T160" s="129">
        <f t="shared" si="35"/>
        <v>-102282.345</v>
      </c>
      <c r="U160" s="418">
        <f t="shared" si="27"/>
        <v>-4.9493790251645331</v>
      </c>
      <c r="V160" s="125"/>
    </row>
    <row r="161" spans="1:22" x14ac:dyDescent="0.25">
      <c r="A161" s="49">
        <f>+'A) Base RI'!A162</f>
        <v>5655</v>
      </c>
      <c r="B161" s="446" t="str">
        <f>+'A) Base RI'!B162</f>
        <v>Yens</v>
      </c>
      <c r="C161" s="296">
        <f>+'D) Ecrêtage'!C161</f>
        <v>73454.856083916078</v>
      </c>
      <c r="D161" s="421">
        <v>0</v>
      </c>
      <c r="E161" s="421">
        <f t="shared" si="24"/>
        <v>0</v>
      </c>
      <c r="F161" s="541">
        <f t="shared" si="28"/>
        <v>0</v>
      </c>
      <c r="G161" s="421">
        <v>0</v>
      </c>
      <c r="H161" s="421">
        <v>0</v>
      </c>
      <c r="I161" s="419">
        <v>0</v>
      </c>
      <c r="J161" s="296">
        <f t="shared" si="29"/>
        <v>0</v>
      </c>
      <c r="K161" s="276">
        <f t="shared" si="25"/>
        <v>587638.84867132863</v>
      </c>
      <c r="L161" s="10">
        <f t="shared" si="30"/>
        <v>0</v>
      </c>
      <c r="M161" s="293">
        <f t="shared" si="31"/>
        <v>0</v>
      </c>
      <c r="N161" s="10">
        <v>0</v>
      </c>
      <c r="O161" s="10">
        <f t="shared" si="32"/>
        <v>0</v>
      </c>
      <c r="P161" s="423">
        <v>0</v>
      </c>
      <c r="Q161" s="10">
        <f t="shared" si="26"/>
        <v>73454.856083916078</v>
      </c>
      <c r="R161" s="14">
        <f t="shared" si="33"/>
        <v>0</v>
      </c>
      <c r="S161" s="2">
        <f t="shared" si="34"/>
        <v>0</v>
      </c>
      <c r="T161" s="129">
        <f t="shared" si="35"/>
        <v>0</v>
      </c>
      <c r="U161" s="418">
        <f t="shared" si="27"/>
        <v>0</v>
      </c>
      <c r="V161" s="125"/>
    </row>
    <row r="162" spans="1:22" x14ac:dyDescent="0.25">
      <c r="A162" s="49">
        <f>+'A) Base RI'!A163</f>
        <v>5661</v>
      </c>
      <c r="B162" s="446" t="str">
        <f>+'A) Base RI'!B163</f>
        <v>Boulens</v>
      </c>
      <c r="C162" s="296">
        <f>+'D) Ecrêtage'!C162</f>
        <v>11226.588951048951</v>
      </c>
      <c r="D162" s="421">
        <v>936</v>
      </c>
      <c r="E162" s="421">
        <f t="shared" si="24"/>
        <v>48379</v>
      </c>
      <c r="F162" s="541">
        <f t="shared" si="28"/>
        <v>4.3093231800813134</v>
      </c>
      <c r="G162" s="421">
        <v>49315</v>
      </c>
      <c r="H162" s="421">
        <v>13435</v>
      </c>
      <c r="I162" s="419">
        <v>32450</v>
      </c>
      <c r="J162" s="296">
        <f t="shared" si="29"/>
        <v>95200</v>
      </c>
      <c r="K162" s="276">
        <f t="shared" si="25"/>
        <v>89812.711608391604</v>
      </c>
      <c r="L162" s="10">
        <f t="shared" si="30"/>
        <v>5387.2883916083956</v>
      </c>
      <c r="M162" s="293">
        <f t="shared" si="31"/>
        <v>-4040.4662937062967</v>
      </c>
      <c r="N162" s="10">
        <v>0</v>
      </c>
      <c r="O162" s="10">
        <f t="shared" si="32"/>
        <v>28979</v>
      </c>
      <c r="P162" s="423">
        <v>28979</v>
      </c>
      <c r="Q162" s="10">
        <f t="shared" si="26"/>
        <v>11226.588951048951</v>
      </c>
      <c r="R162" s="14">
        <f t="shared" si="33"/>
        <v>17752.411048951049</v>
      </c>
      <c r="S162" s="2">
        <f t="shared" si="34"/>
        <v>-13314.308286713287</v>
      </c>
      <c r="T162" s="129">
        <f t="shared" si="35"/>
        <v>-17354.774580419584</v>
      </c>
      <c r="U162" s="418">
        <f t="shared" si="27"/>
        <v>-1.5458635437790791</v>
      </c>
      <c r="V162" s="125"/>
    </row>
    <row r="163" spans="1:22" x14ac:dyDescent="0.25">
      <c r="A163" s="49">
        <f>+'A) Base RI'!A164</f>
        <v>5663</v>
      </c>
      <c r="B163" s="446" t="str">
        <f>+'A) Base RI'!B164</f>
        <v>Bussy-sur-Moudon</v>
      </c>
      <c r="C163" s="296">
        <f>+'D) Ecrêtage'!C163</f>
        <v>5263.6754140127387</v>
      </c>
      <c r="D163" s="421">
        <v>0</v>
      </c>
      <c r="E163" s="421">
        <f t="shared" si="24"/>
        <v>34955</v>
      </c>
      <c r="F163" s="541">
        <f t="shared" si="28"/>
        <v>6.6407970193116856</v>
      </c>
      <c r="G163" s="421">
        <v>34955</v>
      </c>
      <c r="H163" s="421">
        <v>7974</v>
      </c>
      <c r="I163" s="419">
        <v>13763</v>
      </c>
      <c r="J163" s="296">
        <f t="shared" si="29"/>
        <v>56692</v>
      </c>
      <c r="K163" s="276">
        <f t="shared" si="25"/>
        <v>42109.403312101909</v>
      </c>
      <c r="L163" s="10">
        <f t="shared" si="30"/>
        <v>14582.596687898091</v>
      </c>
      <c r="M163" s="293">
        <f t="shared" si="31"/>
        <v>-10936.947515923568</v>
      </c>
      <c r="N163" s="10">
        <v>0</v>
      </c>
      <c r="O163" s="10">
        <f t="shared" si="32"/>
        <v>-9057</v>
      </c>
      <c r="P163" s="423">
        <v>-9057</v>
      </c>
      <c r="Q163" s="10">
        <f t="shared" si="26"/>
        <v>5263.6754140127387</v>
      </c>
      <c r="R163" s="14">
        <f t="shared" si="33"/>
        <v>0</v>
      </c>
      <c r="S163" s="2">
        <f t="shared" si="34"/>
        <v>0</v>
      </c>
      <c r="T163" s="129">
        <f t="shared" si="35"/>
        <v>-10936.947515923568</v>
      </c>
      <c r="U163" s="418">
        <f t="shared" si="27"/>
        <v>-2.0778157191850544</v>
      </c>
      <c r="V163" s="125"/>
    </row>
    <row r="164" spans="1:22" x14ac:dyDescent="0.25">
      <c r="A164" s="49">
        <f>+'A) Base RI'!A165</f>
        <v>5665</v>
      </c>
      <c r="B164" s="446" t="str">
        <f>+'A) Base RI'!B165</f>
        <v>Chavannes-sur-Moudon</v>
      </c>
      <c r="C164" s="296">
        <f>+'D) Ecrêtage'!C164</f>
        <v>4920.86942857143</v>
      </c>
      <c r="D164" s="421">
        <v>3714</v>
      </c>
      <c r="E164" s="421">
        <f t="shared" si="24"/>
        <v>17885</v>
      </c>
      <c r="F164" s="541">
        <f t="shared" si="28"/>
        <v>3.6345203341825241</v>
      </c>
      <c r="G164" s="421">
        <v>21599</v>
      </c>
      <c r="H164" s="421">
        <v>8120</v>
      </c>
      <c r="I164" s="419">
        <v>13070</v>
      </c>
      <c r="J164" s="296">
        <f t="shared" si="29"/>
        <v>42789</v>
      </c>
      <c r="K164" s="276">
        <f t="shared" si="25"/>
        <v>39366.95542857144</v>
      </c>
      <c r="L164" s="10">
        <f t="shared" si="30"/>
        <v>3422.0445714285597</v>
      </c>
      <c r="M164" s="293">
        <f t="shared" si="31"/>
        <v>-2566.5334285714198</v>
      </c>
      <c r="N164" s="10">
        <v>0</v>
      </c>
      <c r="O164" s="10">
        <f t="shared" si="32"/>
        <v>-8477</v>
      </c>
      <c r="P164" s="423">
        <v>-8477</v>
      </c>
      <c r="Q164" s="10">
        <f t="shared" si="26"/>
        <v>4920.86942857143</v>
      </c>
      <c r="R164" s="14">
        <f t="shared" si="33"/>
        <v>0</v>
      </c>
      <c r="S164" s="2">
        <f t="shared" si="34"/>
        <v>0</v>
      </c>
      <c r="T164" s="129">
        <f t="shared" si="35"/>
        <v>-2566.5334285714198</v>
      </c>
      <c r="U164" s="418">
        <f t="shared" si="27"/>
        <v>-0.52156096922012951</v>
      </c>
      <c r="V164" s="125"/>
    </row>
    <row r="165" spans="1:22" x14ac:dyDescent="0.25">
      <c r="A165" s="49">
        <f>+'A) Base RI'!A166</f>
        <v>5669</v>
      </c>
      <c r="B165" s="446" t="str">
        <f>+'A) Base RI'!B166</f>
        <v>Curtilles</v>
      </c>
      <c r="C165" s="296">
        <f>+'D) Ecrêtage'!C165</f>
        <v>9338.3773972602739</v>
      </c>
      <c r="D165" s="421">
        <v>6159</v>
      </c>
      <c r="E165" s="421">
        <f t="shared" si="24"/>
        <v>30263</v>
      </c>
      <c r="F165" s="541">
        <f t="shared" si="28"/>
        <v>3.2407128896802422</v>
      </c>
      <c r="G165" s="421">
        <v>36422</v>
      </c>
      <c r="H165" s="421">
        <v>21919</v>
      </c>
      <c r="I165" s="419">
        <v>16440</v>
      </c>
      <c r="J165" s="296">
        <f t="shared" si="29"/>
        <v>74781</v>
      </c>
      <c r="K165" s="276">
        <f t="shared" si="25"/>
        <v>74707.019178082192</v>
      </c>
      <c r="L165" s="10">
        <f t="shared" si="30"/>
        <v>73.980821917808498</v>
      </c>
      <c r="M165" s="293">
        <f t="shared" si="31"/>
        <v>-55.485616438356374</v>
      </c>
      <c r="N165" s="10">
        <v>0</v>
      </c>
      <c r="O165" s="10">
        <f t="shared" si="32"/>
        <v>339</v>
      </c>
      <c r="P165" s="423">
        <v>339</v>
      </c>
      <c r="Q165" s="10">
        <f t="shared" si="26"/>
        <v>9338.3773972602739</v>
      </c>
      <c r="R165" s="14">
        <f t="shared" si="33"/>
        <v>0</v>
      </c>
      <c r="S165" s="2">
        <f t="shared" si="34"/>
        <v>0</v>
      </c>
      <c r="T165" s="129">
        <f t="shared" si="35"/>
        <v>-55.485616438356374</v>
      </c>
      <c r="U165" s="418">
        <f t="shared" si="27"/>
        <v>-5.9416763831621261E-3</v>
      </c>
      <c r="V165" s="125"/>
    </row>
    <row r="166" spans="1:22" x14ac:dyDescent="0.25">
      <c r="A166" s="49">
        <f>+'A) Base RI'!A167</f>
        <v>5671</v>
      </c>
      <c r="B166" s="446" t="str">
        <f>+'A) Base RI'!B167</f>
        <v>Dompierre</v>
      </c>
      <c r="C166" s="296">
        <f>+'D) Ecrêtage'!C166</f>
        <v>6463.9784615384606</v>
      </c>
      <c r="D166" s="421">
        <v>0</v>
      </c>
      <c r="E166" s="421">
        <f t="shared" si="24"/>
        <v>26119</v>
      </c>
      <c r="F166" s="541">
        <f t="shared" si="28"/>
        <v>4.0407003450601753</v>
      </c>
      <c r="G166" s="421">
        <v>26119</v>
      </c>
      <c r="H166" s="421">
        <v>8920</v>
      </c>
      <c r="I166" s="419">
        <v>13055</v>
      </c>
      <c r="J166" s="296">
        <f t="shared" si="29"/>
        <v>48094</v>
      </c>
      <c r="K166" s="276">
        <f t="shared" si="25"/>
        <v>51711.827692307685</v>
      </c>
      <c r="L166" s="10">
        <f t="shared" si="30"/>
        <v>0</v>
      </c>
      <c r="M166" s="293">
        <f t="shared" si="31"/>
        <v>0</v>
      </c>
      <c r="N166" s="10">
        <v>0</v>
      </c>
      <c r="O166" s="10">
        <f t="shared" si="32"/>
        <v>4404</v>
      </c>
      <c r="P166" s="423">
        <v>4404</v>
      </c>
      <c r="Q166" s="10">
        <f t="shared" si="26"/>
        <v>6463.9784615384606</v>
      </c>
      <c r="R166" s="14">
        <f t="shared" si="33"/>
        <v>0</v>
      </c>
      <c r="S166" s="2">
        <f t="shared" si="34"/>
        <v>0</v>
      </c>
      <c r="T166" s="129">
        <f t="shared" si="35"/>
        <v>0</v>
      </c>
      <c r="U166" s="418">
        <f t="shared" si="27"/>
        <v>0</v>
      </c>
      <c r="V166" s="125"/>
    </row>
    <row r="167" spans="1:22" x14ac:dyDescent="0.25">
      <c r="A167" s="49">
        <f>+'A) Base RI'!A168</f>
        <v>5673</v>
      </c>
      <c r="B167" s="446" t="str">
        <f>+'A) Base RI'!B168</f>
        <v>Hermenches</v>
      </c>
      <c r="C167" s="296">
        <f>+'D) Ecrêtage'!C167</f>
        <v>10227.295238095237</v>
      </c>
      <c r="D167" s="421">
        <v>7887</v>
      </c>
      <c r="E167" s="421">
        <f t="shared" si="24"/>
        <v>284832</v>
      </c>
      <c r="F167" s="541">
        <f t="shared" si="28"/>
        <v>27.850178700135771</v>
      </c>
      <c r="G167" s="421">
        <v>292719</v>
      </c>
      <c r="H167" s="421">
        <v>13982</v>
      </c>
      <c r="I167" s="419">
        <v>21893</v>
      </c>
      <c r="J167" s="296">
        <f t="shared" si="29"/>
        <v>328594</v>
      </c>
      <c r="K167" s="276">
        <f t="shared" si="25"/>
        <v>81818.361904761899</v>
      </c>
      <c r="L167" s="10">
        <f t="shared" si="30"/>
        <v>246775.6380952381</v>
      </c>
      <c r="M167" s="293">
        <f t="shared" si="31"/>
        <v>-185081.72857142857</v>
      </c>
      <c r="N167" s="10">
        <v>3116</v>
      </c>
      <c r="O167" s="10">
        <f t="shared" si="32"/>
        <v>51639</v>
      </c>
      <c r="P167" s="423">
        <v>54755</v>
      </c>
      <c r="Q167" s="10">
        <f t="shared" si="26"/>
        <v>10227.295238095237</v>
      </c>
      <c r="R167" s="14">
        <f t="shared" si="33"/>
        <v>44527.704761904766</v>
      </c>
      <c r="S167" s="2">
        <f t="shared" si="34"/>
        <v>-33395.778571428571</v>
      </c>
      <c r="T167" s="129">
        <f t="shared" si="35"/>
        <v>-218477.50714285712</v>
      </c>
      <c r="U167" s="418">
        <f t="shared" si="27"/>
        <v>-21.362198123415769</v>
      </c>
      <c r="V167" s="125"/>
    </row>
    <row r="168" spans="1:22" x14ac:dyDescent="0.25">
      <c r="A168" s="49">
        <f>+'A) Base RI'!A169</f>
        <v>5674</v>
      </c>
      <c r="B168" s="446" t="str">
        <f>+'A) Base RI'!B169</f>
        <v>Lovatens</v>
      </c>
      <c r="C168" s="296">
        <f>+'D) Ecrêtage'!C168</f>
        <v>4222.7234666666664</v>
      </c>
      <c r="D168" s="421">
        <v>19062</v>
      </c>
      <c r="E168" s="421">
        <f t="shared" si="24"/>
        <v>36286</v>
      </c>
      <c r="F168" s="541">
        <f t="shared" si="28"/>
        <v>8.593032502941389</v>
      </c>
      <c r="G168" s="421">
        <v>55348</v>
      </c>
      <c r="H168" s="421">
        <v>5170</v>
      </c>
      <c r="I168" s="419">
        <v>7537</v>
      </c>
      <c r="J168" s="296">
        <f t="shared" si="29"/>
        <v>68055</v>
      </c>
      <c r="K168" s="276">
        <f t="shared" si="25"/>
        <v>33781.787733333331</v>
      </c>
      <c r="L168" s="10">
        <f t="shared" si="30"/>
        <v>34273.212266666669</v>
      </c>
      <c r="M168" s="293">
        <f t="shared" si="31"/>
        <v>-25704.909200000002</v>
      </c>
      <c r="N168" s="10">
        <v>0</v>
      </c>
      <c r="O168" s="10">
        <f t="shared" si="32"/>
        <v>1498</v>
      </c>
      <c r="P168" s="423">
        <v>1498</v>
      </c>
      <c r="Q168" s="10">
        <f t="shared" si="26"/>
        <v>4222.7234666666664</v>
      </c>
      <c r="R168" s="14">
        <f t="shared" si="33"/>
        <v>0</v>
      </c>
      <c r="S168" s="2">
        <f t="shared" si="34"/>
        <v>0</v>
      </c>
      <c r="T168" s="129">
        <f t="shared" si="35"/>
        <v>-25704.909200000002</v>
      </c>
      <c r="U168" s="418">
        <f t="shared" si="27"/>
        <v>-6.0872821540196531</v>
      </c>
      <c r="V168" s="125"/>
    </row>
    <row r="169" spans="1:22" x14ac:dyDescent="0.25">
      <c r="A169" s="49">
        <f>+'A) Base RI'!A170</f>
        <v>5675</v>
      </c>
      <c r="B169" s="446" t="str">
        <f>+'A) Base RI'!B170</f>
        <v>Lucens</v>
      </c>
      <c r="C169" s="296">
        <f>+'D) Ecrêtage'!C169</f>
        <v>105170.58216835017</v>
      </c>
      <c r="D169" s="421">
        <v>375240</v>
      </c>
      <c r="E169" s="421">
        <f t="shared" si="24"/>
        <v>485354</v>
      </c>
      <c r="F169" s="541">
        <f t="shared" si="28"/>
        <v>4.6149216824061803</v>
      </c>
      <c r="G169" s="421">
        <v>860594</v>
      </c>
      <c r="H169" s="421">
        <v>392229</v>
      </c>
      <c r="I169" s="419">
        <v>291958</v>
      </c>
      <c r="J169" s="296">
        <f t="shared" si="29"/>
        <v>1544781</v>
      </c>
      <c r="K169" s="276">
        <f t="shared" si="25"/>
        <v>841364.65734680137</v>
      </c>
      <c r="L169" s="10">
        <f t="shared" si="30"/>
        <v>703416.34265319863</v>
      </c>
      <c r="M169" s="293">
        <f t="shared" si="31"/>
        <v>-527562.25698989898</v>
      </c>
      <c r="N169" s="10">
        <v>14496</v>
      </c>
      <c r="O169" s="10">
        <f t="shared" si="32"/>
        <v>30293</v>
      </c>
      <c r="P169" s="423">
        <v>44789</v>
      </c>
      <c r="Q169" s="10">
        <f t="shared" si="26"/>
        <v>105170.58216835017</v>
      </c>
      <c r="R169" s="14">
        <f t="shared" si="33"/>
        <v>0</v>
      </c>
      <c r="S169" s="2">
        <f t="shared" si="34"/>
        <v>0</v>
      </c>
      <c r="T169" s="129">
        <f t="shared" si="35"/>
        <v>-527562.25698989898</v>
      </c>
      <c r="U169" s="418">
        <f t="shared" si="27"/>
        <v>-5.0162530824961289</v>
      </c>
      <c r="V169" s="125"/>
    </row>
    <row r="170" spans="1:22" x14ac:dyDescent="0.25">
      <c r="A170" s="49">
        <f>+'A) Base RI'!A171</f>
        <v>5678</v>
      </c>
      <c r="B170" s="446" t="str">
        <f>+'A) Base RI'!B171</f>
        <v>Moudon</v>
      </c>
      <c r="C170" s="296">
        <f>+'D) Ecrêtage'!C170</f>
        <v>124836.852</v>
      </c>
      <c r="D170" s="421">
        <v>285153</v>
      </c>
      <c r="E170" s="421">
        <f t="shared" si="24"/>
        <v>1514564</v>
      </c>
      <c r="F170" s="541">
        <f t="shared" si="28"/>
        <v>12.132346945115213</v>
      </c>
      <c r="G170" s="421">
        <v>1799717</v>
      </c>
      <c r="H170" s="421">
        <v>556075</v>
      </c>
      <c r="I170" s="419">
        <v>423100</v>
      </c>
      <c r="J170" s="296">
        <f t="shared" si="29"/>
        <v>2778892</v>
      </c>
      <c r="K170" s="276">
        <f t="shared" si="25"/>
        <v>998694.81599999999</v>
      </c>
      <c r="L170" s="10">
        <f t="shared" si="30"/>
        <v>1780197.1839999999</v>
      </c>
      <c r="M170" s="293">
        <f t="shared" si="31"/>
        <v>-1335147.8879999998</v>
      </c>
      <c r="N170" s="10">
        <v>0</v>
      </c>
      <c r="O170" s="10">
        <f t="shared" si="32"/>
        <v>85330</v>
      </c>
      <c r="P170" s="423">
        <v>85330</v>
      </c>
      <c r="Q170" s="10">
        <f t="shared" si="26"/>
        <v>124836.852</v>
      </c>
      <c r="R170" s="14">
        <f t="shared" si="33"/>
        <v>0</v>
      </c>
      <c r="S170" s="2">
        <f t="shared" si="34"/>
        <v>0</v>
      </c>
      <c r="T170" s="129">
        <f t="shared" si="35"/>
        <v>-1335147.8879999998</v>
      </c>
      <c r="U170" s="418">
        <f t="shared" si="27"/>
        <v>-10.695142232519608</v>
      </c>
      <c r="V170" s="125"/>
    </row>
    <row r="171" spans="1:22" x14ac:dyDescent="0.25">
      <c r="A171" s="49">
        <f>+'A) Base RI'!A172</f>
        <v>5680</v>
      </c>
      <c r="B171" s="446" t="str">
        <f>+'A) Base RI'!B172</f>
        <v>Ogens</v>
      </c>
      <c r="C171" s="296">
        <f>+'D) Ecrêtage'!C171</f>
        <v>8501.5391880341886</v>
      </c>
      <c r="D171" s="421">
        <v>19986</v>
      </c>
      <c r="E171" s="421">
        <f t="shared" si="24"/>
        <v>24856</v>
      </c>
      <c r="F171" s="541">
        <f t="shared" si="28"/>
        <v>2.9237058666958231</v>
      </c>
      <c r="G171" s="421">
        <v>44842</v>
      </c>
      <c r="H171" s="421">
        <v>13257</v>
      </c>
      <c r="I171" s="419">
        <v>26470</v>
      </c>
      <c r="J171" s="296">
        <f t="shared" si="29"/>
        <v>84569</v>
      </c>
      <c r="K171" s="276">
        <f t="shared" si="25"/>
        <v>68012.313504273508</v>
      </c>
      <c r="L171" s="10">
        <f t="shared" si="30"/>
        <v>16556.686495726492</v>
      </c>
      <c r="M171" s="293">
        <f t="shared" si="31"/>
        <v>-12417.514871794869</v>
      </c>
      <c r="N171" s="10">
        <v>0</v>
      </c>
      <c r="O171" s="10">
        <f t="shared" si="32"/>
        <v>16475</v>
      </c>
      <c r="P171" s="423">
        <v>16475</v>
      </c>
      <c r="Q171" s="10">
        <f t="shared" si="26"/>
        <v>8501.5391880341886</v>
      </c>
      <c r="R171" s="14">
        <f t="shared" si="33"/>
        <v>7973.4608119658114</v>
      </c>
      <c r="S171" s="2">
        <f t="shared" si="34"/>
        <v>-5980.0956089743586</v>
      </c>
      <c r="T171" s="129">
        <f t="shared" si="35"/>
        <v>-18397.610480769228</v>
      </c>
      <c r="U171" s="418">
        <f t="shared" si="27"/>
        <v>-2.1640328973209506</v>
      </c>
      <c r="V171" s="125"/>
    </row>
    <row r="172" spans="1:22" x14ac:dyDescent="0.25">
      <c r="A172" s="49">
        <f>+'A) Base RI'!A173</f>
        <v>5683</v>
      </c>
      <c r="B172" s="446" t="str">
        <f>+'A) Base RI'!B173</f>
        <v>Prévonloup</v>
      </c>
      <c r="C172" s="296">
        <f>+'D) Ecrêtage'!C172</f>
        <v>5386.44</v>
      </c>
      <c r="D172" s="421">
        <v>0</v>
      </c>
      <c r="E172" s="421">
        <f t="shared" si="24"/>
        <v>11889</v>
      </c>
      <c r="F172" s="541">
        <f t="shared" si="28"/>
        <v>2.2072092142491146</v>
      </c>
      <c r="G172" s="421">
        <v>11889</v>
      </c>
      <c r="H172" s="421">
        <v>7355</v>
      </c>
      <c r="I172" s="419">
        <v>13748</v>
      </c>
      <c r="J172" s="296">
        <f t="shared" si="29"/>
        <v>32992</v>
      </c>
      <c r="K172" s="276">
        <f t="shared" si="25"/>
        <v>43091.519999999997</v>
      </c>
      <c r="L172" s="10">
        <f t="shared" si="30"/>
        <v>0</v>
      </c>
      <c r="M172" s="293">
        <f t="shared" si="31"/>
        <v>0</v>
      </c>
      <c r="N172" s="10">
        <v>0</v>
      </c>
      <c r="O172" s="10">
        <f t="shared" si="32"/>
        <v>-12640</v>
      </c>
      <c r="P172" s="423">
        <v>-12640</v>
      </c>
      <c r="Q172" s="10">
        <f t="shared" si="26"/>
        <v>5386.44</v>
      </c>
      <c r="R172" s="14">
        <f t="shared" si="33"/>
        <v>0</v>
      </c>
      <c r="S172" s="2">
        <f t="shared" si="34"/>
        <v>0</v>
      </c>
      <c r="T172" s="129">
        <f t="shared" si="35"/>
        <v>0</v>
      </c>
      <c r="U172" s="418">
        <f t="shared" si="27"/>
        <v>0</v>
      </c>
      <c r="V172" s="125"/>
    </row>
    <row r="173" spans="1:22" x14ac:dyDescent="0.25">
      <c r="A173" s="49">
        <f>+'A) Base RI'!A174</f>
        <v>5684</v>
      </c>
      <c r="B173" s="446" t="str">
        <f>+'A) Base RI'!B174</f>
        <v>Rossenges</v>
      </c>
      <c r="C173" s="296">
        <f>+'D) Ecrêtage'!C173</f>
        <v>3253.4816666666666</v>
      </c>
      <c r="D173" s="421">
        <v>0</v>
      </c>
      <c r="E173" s="421">
        <f t="shared" si="24"/>
        <v>11156</v>
      </c>
      <c r="F173" s="541">
        <f t="shared" si="28"/>
        <v>3.428942020573857</v>
      </c>
      <c r="G173" s="421">
        <v>11156</v>
      </c>
      <c r="H173" s="421">
        <v>3058</v>
      </c>
      <c r="I173" s="419">
        <v>4912</v>
      </c>
      <c r="J173" s="296">
        <f t="shared" si="29"/>
        <v>19126</v>
      </c>
      <c r="K173" s="276">
        <f t="shared" si="25"/>
        <v>26027.853333333333</v>
      </c>
      <c r="L173" s="10">
        <f t="shared" si="30"/>
        <v>0</v>
      </c>
      <c r="M173" s="293">
        <f t="shared" si="31"/>
        <v>0</v>
      </c>
      <c r="N173" s="10">
        <v>0</v>
      </c>
      <c r="O173" s="10">
        <f t="shared" si="32"/>
        <v>1</v>
      </c>
      <c r="P173" s="423">
        <v>1</v>
      </c>
      <c r="Q173" s="10">
        <f t="shared" si="26"/>
        <v>3253.4816666666666</v>
      </c>
      <c r="R173" s="14">
        <f t="shared" si="33"/>
        <v>0</v>
      </c>
      <c r="S173" s="2">
        <f t="shared" si="34"/>
        <v>0</v>
      </c>
      <c r="T173" s="129">
        <f t="shared" si="35"/>
        <v>0</v>
      </c>
      <c r="U173" s="418">
        <f t="shared" si="27"/>
        <v>0</v>
      </c>
      <c r="V173" s="125"/>
    </row>
    <row r="174" spans="1:22" x14ac:dyDescent="0.25">
      <c r="A174" s="49">
        <f>+'A) Base RI'!A175</f>
        <v>5688</v>
      </c>
      <c r="B174" s="446" t="str">
        <f>+'A) Base RI'!B175</f>
        <v>Syens</v>
      </c>
      <c r="C174" s="296">
        <f>+'D) Ecrêtage'!C174</f>
        <v>6154.6576923076918</v>
      </c>
      <c r="D174" s="421">
        <v>0</v>
      </c>
      <c r="E174" s="421">
        <f t="shared" si="24"/>
        <v>28696</v>
      </c>
      <c r="F174" s="541">
        <f t="shared" si="28"/>
        <v>4.6624851347728518</v>
      </c>
      <c r="G174" s="421">
        <v>28696</v>
      </c>
      <c r="H174" s="421">
        <v>8520</v>
      </c>
      <c r="I174" s="419">
        <v>22511</v>
      </c>
      <c r="J174" s="296">
        <f t="shared" si="29"/>
        <v>59727</v>
      </c>
      <c r="K174" s="276">
        <f t="shared" si="25"/>
        <v>49237.261538461535</v>
      </c>
      <c r="L174" s="10">
        <f t="shared" si="30"/>
        <v>10489.738461538465</v>
      </c>
      <c r="M174" s="293">
        <f t="shared" si="31"/>
        <v>-7867.303846153849</v>
      </c>
      <c r="N174" s="10">
        <v>0</v>
      </c>
      <c r="O174" s="10">
        <f t="shared" si="32"/>
        <v>28349</v>
      </c>
      <c r="P174" s="423">
        <v>28349</v>
      </c>
      <c r="Q174" s="10">
        <f t="shared" si="26"/>
        <v>6154.6576923076918</v>
      </c>
      <c r="R174" s="14">
        <f t="shared" si="33"/>
        <v>22194.342307692306</v>
      </c>
      <c r="S174" s="2">
        <f t="shared" si="34"/>
        <v>-16645.75673076923</v>
      </c>
      <c r="T174" s="129">
        <f t="shared" si="35"/>
        <v>-24513.060576923079</v>
      </c>
      <c r="U174" s="418">
        <f t="shared" si="27"/>
        <v>-3.9828471057879247</v>
      </c>
      <c r="V174" s="125"/>
    </row>
    <row r="175" spans="1:22" x14ac:dyDescent="0.25">
      <c r="A175" s="49">
        <f>+'A) Base RI'!A176</f>
        <v>5690</v>
      </c>
      <c r="B175" s="446" t="str">
        <f>+'A) Base RI'!B176</f>
        <v>Villars-le-Comte</v>
      </c>
      <c r="C175" s="296">
        <f>+'D) Ecrêtage'!C175</f>
        <v>3510.0358095238093</v>
      </c>
      <c r="D175" s="421">
        <v>0</v>
      </c>
      <c r="E175" s="421">
        <f t="shared" si="24"/>
        <v>44531</v>
      </c>
      <c r="F175" s="541">
        <f t="shared" si="28"/>
        <v>12.686765154695479</v>
      </c>
      <c r="G175" s="421">
        <v>44531</v>
      </c>
      <c r="H175" s="421">
        <v>4369</v>
      </c>
      <c r="I175" s="419">
        <v>7153</v>
      </c>
      <c r="J175" s="296">
        <f t="shared" si="29"/>
        <v>56053</v>
      </c>
      <c r="K175" s="276">
        <f t="shared" si="25"/>
        <v>28080.286476190475</v>
      </c>
      <c r="L175" s="10">
        <f t="shared" si="30"/>
        <v>27972.713523809525</v>
      </c>
      <c r="M175" s="293">
        <f t="shared" si="31"/>
        <v>-20979.535142857145</v>
      </c>
      <c r="N175" s="10">
        <v>0</v>
      </c>
      <c r="O175" s="10">
        <f t="shared" si="32"/>
        <v>882</v>
      </c>
      <c r="P175" s="423">
        <v>882</v>
      </c>
      <c r="Q175" s="10">
        <f t="shared" si="26"/>
        <v>3510.0358095238093</v>
      </c>
      <c r="R175" s="14">
        <f t="shared" si="33"/>
        <v>0</v>
      </c>
      <c r="S175" s="2">
        <f t="shared" si="34"/>
        <v>0</v>
      </c>
      <c r="T175" s="129">
        <f t="shared" si="35"/>
        <v>-20979.535142857145</v>
      </c>
      <c r="U175" s="418">
        <f t="shared" si="27"/>
        <v>-5.9770145609150758</v>
      </c>
      <c r="V175" s="125"/>
    </row>
    <row r="176" spans="1:22" x14ac:dyDescent="0.25">
      <c r="A176" s="49">
        <f>+'A) Base RI'!A177</f>
        <v>5692</v>
      </c>
      <c r="B176" s="446" t="str">
        <f>+'A) Base RI'!B177</f>
        <v>Vucherens</v>
      </c>
      <c r="C176" s="296">
        <f>+'D) Ecrêtage'!C176</f>
        <v>18793.189090909087</v>
      </c>
      <c r="D176" s="421">
        <v>6179</v>
      </c>
      <c r="E176" s="421">
        <f t="shared" si="24"/>
        <v>124781</v>
      </c>
      <c r="F176" s="541">
        <f t="shared" si="28"/>
        <v>6.6396926778308671</v>
      </c>
      <c r="G176" s="421">
        <v>130960</v>
      </c>
      <c r="H176" s="421">
        <v>33698</v>
      </c>
      <c r="I176" s="419">
        <v>92525</v>
      </c>
      <c r="J176" s="296">
        <f t="shared" si="29"/>
        <v>257183</v>
      </c>
      <c r="K176" s="276">
        <f t="shared" si="25"/>
        <v>150345.5127272727</v>
      </c>
      <c r="L176" s="10">
        <f t="shared" si="30"/>
        <v>106837.4872727273</v>
      </c>
      <c r="M176" s="293">
        <f t="shared" si="31"/>
        <v>-80128.115454545477</v>
      </c>
      <c r="N176" s="10">
        <v>0</v>
      </c>
      <c r="O176" s="10">
        <f t="shared" si="32"/>
        <v>6077</v>
      </c>
      <c r="P176" s="423">
        <v>6077</v>
      </c>
      <c r="Q176" s="10">
        <f t="shared" si="26"/>
        <v>18793.189090909087</v>
      </c>
      <c r="R176" s="14">
        <f t="shared" si="33"/>
        <v>0</v>
      </c>
      <c r="S176" s="2">
        <f t="shared" si="34"/>
        <v>0</v>
      </c>
      <c r="T176" s="129">
        <f t="shared" si="35"/>
        <v>-80128.115454545477</v>
      </c>
      <c r="U176" s="418">
        <f t="shared" si="27"/>
        <v>-4.2636784564311228</v>
      </c>
      <c r="V176" s="125"/>
    </row>
    <row r="177" spans="1:22" x14ac:dyDescent="0.25">
      <c r="A177" s="49">
        <f>+'A) Base RI'!A178</f>
        <v>5693</v>
      </c>
      <c r="B177" s="446" t="str">
        <f>+'A) Base RI'!B178</f>
        <v>Montanaire</v>
      </c>
      <c r="C177" s="296">
        <f>+'D) Ecrêtage'!C177</f>
        <v>75692.909285714297</v>
      </c>
      <c r="D177" s="421">
        <v>173599</v>
      </c>
      <c r="E177" s="421">
        <f t="shared" si="24"/>
        <v>602364</v>
      </c>
      <c r="F177" s="541">
        <f t="shared" si="28"/>
        <v>7.9579977263958277</v>
      </c>
      <c r="G177" s="421">
        <v>775963</v>
      </c>
      <c r="H177" s="421">
        <v>151940</v>
      </c>
      <c r="I177" s="419">
        <v>244649</v>
      </c>
      <c r="J177" s="296">
        <f t="shared" si="29"/>
        <v>1172552</v>
      </c>
      <c r="K177" s="276">
        <f t="shared" si="25"/>
        <v>605543.27428571437</v>
      </c>
      <c r="L177" s="10">
        <f t="shared" si="30"/>
        <v>567008.72571428563</v>
      </c>
      <c r="M177" s="293">
        <f t="shared" si="31"/>
        <v>-425256.54428571422</v>
      </c>
      <c r="N177" s="10">
        <v>0</v>
      </c>
      <c r="O177" s="10">
        <f t="shared" si="32"/>
        <v>166847</v>
      </c>
      <c r="P177" s="423">
        <v>166847</v>
      </c>
      <c r="Q177" s="10">
        <f t="shared" si="26"/>
        <v>75692.909285714297</v>
      </c>
      <c r="R177" s="14">
        <f t="shared" si="33"/>
        <v>91154.090714285703</v>
      </c>
      <c r="S177" s="2">
        <f t="shared" si="34"/>
        <v>-68365.56803571427</v>
      </c>
      <c r="T177" s="129">
        <f t="shared" si="35"/>
        <v>-493622.11232142849</v>
      </c>
      <c r="U177" s="418">
        <f t="shared" si="27"/>
        <v>-6.5213785145736365</v>
      </c>
      <c r="V177" s="125"/>
    </row>
    <row r="178" spans="1:22" x14ac:dyDescent="0.25">
      <c r="A178" s="49">
        <f>+'A) Base RI'!A179</f>
        <v>5701</v>
      </c>
      <c r="B178" s="446" t="str">
        <f>+'A) Base RI'!B179</f>
        <v>Arnex-sur-Nyon</v>
      </c>
      <c r="C178" s="296">
        <f>+'D) Ecrêtage'!C178</f>
        <v>14488.714857142857</v>
      </c>
      <c r="D178" s="421">
        <v>0</v>
      </c>
      <c r="E178" s="421">
        <f t="shared" si="24"/>
        <v>0</v>
      </c>
      <c r="F178" s="541">
        <f t="shared" si="28"/>
        <v>0</v>
      </c>
      <c r="G178" s="421">
        <v>0</v>
      </c>
      <c r="H178" s="421">
        <v>0</v>
      </c>
      <c r="I178" s="419">
        <v>0</v>
      </c>
      <c r="J178" s="296">
        <f t="shared" si="29"/>
        <v>0</v>
      </c>
      <c r="K178" s="276">
        <f t="shared" si="25"/>
        <v>115909.71885714286</v>
      </c>
      <c r="L178" s="10">
        <f t="shared" si="30"/>
        <v>0</v>
      </c>
      <c r="M178" s="293">
        <f t="shared" si="31"/>
        <v>0</v>
      </c>
      <c r="N178" s="10">
        <v>0</v>
      </c>
      <c r="O178" s="10">
        <f t="shared" si="32"/>
        <v>0</v>
      </c>
      <c r="P178" s="423">
        <v>0</v>
      </c>
      <c r="Q178" s="10">
        <f t="shared" si="26"/>
        <v>14488.714857142857</v>
      </c>
      <c r="R178" s="14">
        <f t="shared" si="33"/>
        <v>0</v>
      </c>
      <c r="S178" s="2">
        <f t="shared" si="34"/>
        <v>0</v>
      </c>
      <c r="T178" s="129">
        <f t="shared" si="35"/>
        <v>0</v>
      </c>
      <c r="U178" s="418">
        <f t="shared" si="27"/>
        <v>0</v>
      </c>
      <c r="V178" s="125"/>
    </row>
    <row r="179" spans="1:22" x14ac:dyDescent="0.25">
      <c r="A179" s="49">
        <f>+'A) Base RI'!A180</f>
        <v>5702</v>
      </c>
      <c r="B179" s="446" t="str">
        <f>+'A) Base RI'!B180</f>
        <v>Arzier-Le Muids</v>
      </c>
      <c r="C179" s="296">
        <f>+'D) Ecrêtage'!C179</f>
        <v>174862.96255208339</v>
      </c>
      <c r="D179" s="421">
        <v>195467</v>
      </c>
      <c r="E179" s="421">
        <f t="shared" si="24"/>
        <v>472544</v>
      </c>
      <c r="F179" s="541">
        <f t="shared" si="28"/>
        <v>2.7023675746043221</v>
      </c>
      <c r="G179" s="421">
        <v>668011</v>
      </c>
      <c r="H179" s="421">
        <v>212091</v>
      </c>
      <c r="I179" s="419">
        <v>152307</v>
      </c>
      <c r="J179" s="296">
        <f t="shared" si="29"/>
        <v>1032409</v>
      </c>
      <c r="K179" s="276">
        <f t="shared" si="25"/>
        <v>1398903.7004166672</v>
      </c>
      <c r="L179" s="10">
        <f t="shared" si="30"/>
        <v>0</v>
      </c>
      <c r="M179" s="293">
        <f t="shared" si="31"/>
        <v>0</v>
      </c>
      <c r="N179" s="10">
        <v>190312</v>
      </c>
      <c r="O179" s="10">
        <f t="shared" si="32"/>
        <v>608937</v>
      </c>
      <c r="P179" s="423">
        <v>799249</v>
      </c>
      <c r="Q179" s="10">
        <f t="shared" si="26"/>
        <v>174862.96255208339</v>
      </c>
      <c r="R179" s="14">
        <f t="shared" si="33"/>
        <v>624386.03744791658</v>
      </c>
      <c r="S179" s="2">
        <f t="shared" si="34"/>
        <v>-468289.52808593743</v>
      </c>
      <c r="T179" s="129">
        <f t="shared" si="35"/>
        <v>-468289.52808593743</v>
      </c>
      <c r="U179" s="418">
        <f t="shared" si="27"/>
        <v>-2.6780372541524118</v>
      </c>
      <c r="V179" s="125"/>
    </row>
    <row r="180" spans="1:22" x14ac:dyDescent="0.25">
      <c r="A180" s="49">
        <f>+'A) Base RI'!A181</f>
        <v>5703</v>
      </c>
      <c r="B180" s="446" t="str">
        <f>+'A) Base RI'!B181</f>
        <v>Bassins</v>
      </c>
      <c r="C180" s="296">
        <f>+'D) Ecrêtage'!C180</f>
        <v>66800.247822660094</v>
      </c>
      <c r="D180" s="421">
        <v>0</v>
      </c>
      <c r="E180" s="421">
        <f t="shared" si="24"/>
        <v>0</v>
      </c>
      <c r="F180" s="541">
        <f t="shared" si="28"/>
        <v>0</v>
      </c>
      <c r="G180" s="421">
        <v>0</v>
      </c>
      <c r="H180" s="421">
        <v>0</v>
      </c>
      <c r="I180" s="419">
        <v>0</v>
      </c>
      <c r="J180" s="296">
        <f t="shared" si="29"/>
        <v>0</v>
      </c>
      <c r="K180" s="276">
        <f t="shared" si="25"/>
        <v>534401.98258128075</v>
      </c>
      <c r="L180" s="10">
        <f t="shared" si="30"/>
        <v>0</v>
      </c>
      <c r="M180" s="293">
        <f t="shared" si="31"/>
        <v>0</v>
      </c>
      <c r="N180" s="10">
        <v>0</v>
      </c>
      <c r="O180" s="10">
        <f t="shared" si="32"/>
        <v>0</v>
      </c>
      <c r="P180" s="423">
        <v>0</v>
      </c>
      <c r="Q180" s="10">
        <f t="shared" si="26"/>
        <v>66800.247822660094</v>
      </c>
      <c r="R180" s="14">
        <f t="shared" si="33"/>
        <v>0</v>
      </c>
      <c r="S180" s="2">
        <f t="shared" si="34"/>
        <v>0</v>
      </c>
      <c r="T180" s="129">
        <f t="shared" si="35"/>
        <v>0</v>
      </c>
      <c r="U180" s="418">
        <f t="shared" si="27"/>
        <v>0</v>
      </c>
      <c r="V180" s="125"/>
    </row>
    <row r="181" spans="1:22" x14ac:dyDescent="0.25">
      <c r="A181" s="49">
        <f>+'A) Base RI'!A182</f>
        <v>5704</v>
      </c>
      <c r="B181" s="446" t="str">
        <f>+'A) Base RI'!B182</f>
        <v>Begnins</v>
      </c>
      <c r="C181" s="296">
        <f>+'D) Ecrêtage'!C181</f>
        <v>202343.35360000003</v>
      </c>
      <c r="D181" s="421">
        <v>236401</v>
      </c>
      <c r="E181" s="421">
        <f t="shared" si="24"/>
        <v>498858</v>
      </c>
      <c r="F181" s="541">
        <f t="shared" si="28"/>
        <v>2.4654034398686564</v>
      </c>
      <c r="G181" s="421">
        <v>735259</v>
      </c>
      <c r="H181" s="421">
        <v>84386</v>
      </c>
      <c r="I181" s="419">
        <v>180487</v>
      </c>
      <c r="J181" s="296">
        <f t="shared" si="29"/>
        <v>1000132</v>
      </c>
      <c r="K181" s="276">
        <f t="shared" si="25"/>
        <v>1618746.8288000003</v>
      </c>
      <c r="L181" s="10">
        <f t="shared" si="30"/>
        <v>0</v>
      </c>
      <c r="M181" s="293">
        <f t="shared" si="31"/>
        <v>0</v>
      </c>
      <c r="N181" s="10">
        <v>0</v>
      </c>
      <c r="O181" s="10">
        <f t="shared" si="32"/>
        <v>36378</v>
      </c>
      <c r="P181" s="423">
        <v>36378</v>
      </c>
      <c r="Q181" s="10">
        <f t="shared" si="26"/>
        <v>202343.35360000003</v>
      </c>
      <c r="R181" s="14">
        <f t="shared" si="33"/>
        <v>0</v>
      </c>
      <c r="S181" s="2">
        <f t="shared" si="34"/>
        <v>0</v>
      </c>
      <c r="T181" s="129">
        <f t="shared" si="35"/>
        <v>0</v>
      </c>
      <c r="U181" s="418">
        <f t="shared" si="27"/>
        <v>0</v>
      </c>
      <c r="V181" s="125"/>
    </row>
    <row r="182" spans="1:22" x14ac:dyDescent="0.25">
      <c r="A182" s="49">
        <f>+'A) Base RI'!A183</f>
        <v>5705</v>
      </c>
      <c r="B182" s="446" t="str">
        <f>+'A) Base RI'!B183</f>
        <v>Bogis-Bossey</v>
      </c>
      <c r="C182" s="296">
        <f>+'D) Ecrêtage'!C182</f>
        <v>51953.338389261742</v>
      </c>
      <c r="D182" s="421">
        <v>0</v>
      </c>
      <c r="E182" s="421">
        <f t="shared" si="24"/>
        <v>0</v>
      </c>
      <c r="F182" s="541">
        <f t="shared" si="28"/>
        <v>0</v>
      </c>
      <c r="G182" s="421">
        <v>0</v>
      </c>
      <c r="H182" s="421">
        <v>0</v>
      </c>
      <c r="I182" s="419">
        <v>0</v>
      </c>
      <c r="J182" s="296">
        <f t="shared" si="29"/>
        <v>0</v>
      </c>
      <c r="K182" s="276">
        <f t="shared" si="25"/>
        <v>415626.70711409394</v>
      </c>
      <c r="L182" s="10">
        <f t="shared" si="30"/>
        <v>0</v>
      </c>
      <c r="M182" s="293">
        <f t="shared" si="31"/>
        <v>0</v>
      </c>
      <c r="N182" s="10">
        <v>0</v>
      </c>
      <c r="O182" s="10">
        <f t="shared" si="32"/>
        <v>0</v>
      </c>
      <c r="P182" s="423">
        <v>0</v>
      </c>
      <c r="Q182" s="10">
        <f t="shared" si="26"/>
        <v>51953.338389261742</v>
      </c>
      <c r="R182" s="14">
        <f t="shared" si="33"/>
        <v>0</v>
      </c>
      <c r="S182" s="2">
        <f t="shared" si="34"/>
        <v>0</v>
      </c>
      <c r="T182" s="129">
        <f t="shared" si="35"/>
        <v>0</v>
      </c>
      <c r="U182" s="418">
        <f t="shared" si="27"/>
        <v>0</v>
      </c>
      <c r="V182" s="125"/>
    </row>
    <row r="183" spans="1:22" x14ac:dyDescent="0.25">
      <c r="A183" s="49">
        <f>+'A) Base RI'!A184</f>
        <v>5706</v>
      </c>
      <c r="B183" s="446" t="str">
        <f>+'A) Base RI'!B184</f>
        <v>Borex</v>
      </c>
      <c r="C183" s="296">
        <f>+'D) Ecrêtage'!C183</f>
        <v>71207.99596491229</v>
      </c>
      <c r="D183" s="421">
        <v>0</v>
      </c>
      <c r="E183" s="421">
        <f t="shared" si="24"/>
        <v>0</v>
      </c>
      <c r="F183" s="541">
        <f t="shared" si="28"/>
        <v>0</v>
      </c>
      <c r="G183" s="421">
        <v>0</v>
      </c>
      <c r="H183" s="421">
        <v>0</v>
      </c>
      <c r="I183" s="419">
        <v>0</v>
      </c>
      <c r="J183" s="296">
        <f t="shared" si="29"/>
        <v>0</v>
      </c>
      <c r="K183" s="276">
        <f t="shared" si="25"/>
        <v>569663.96771929832</v>
      </c>
      <c r="L183" s="10">
        <f t="shared" si="30"/>
        <v>0</v>
      </c>
      <c r="M183" s="293">
        <f t="shared" si="31"/>
        <v>0</v>
      </c>
      <c r="N183" s="10">
        <v>0</v>
      </c>
      <c r="O183" s="10">
        <f t="shared" si="32"/>
        <v>0</v>
      </c>
      <c r="P183" s="423">
        <v>0</v>
      </c>
      <c r="Q183" s="10">
        <f t="shared" si="26"/>
        <v>71207.99596491229</v>
      </c>
      <c r="R183" s="14">
        <f t="shared" si="33"/>
        <v>0</v>
      </c>
      <c r="S183" s="2">
        <f t="shared" si="34"/>
        <v>0</v>
      </c>
      <c r="T183" s="129">
        <f t="shared" si="35"/>
        <v>0</v>
      </c>
      <c r="U183" s="418">
        <f t="shared" si="27"/>
        <v>0</v>
      </c>
      <c r="V183" s="125"/>
    </row>
    <row r="184" spans="1:22" x14ac:dyDescent="0.25">
      <c r="A184" s="49">
        <f>+'A) Base RI'!A185</f>
        <v>5707</v>
      </c>
      <c r="B184" s="446" t="str">
        <f>+'A) Base RI'!B185</f>
        <v>Chavannes-de-Bogis</v>
      </c>
      <c r="C184" s="296">
        <f>+'D) Ecrêtage'!C184</f>
        <v>88021.415574712664</v>
      </c>
      <c r="D184" s="421">
        <v>0</v>
      </c>
      <c r="E184" s="421">
        <f t="shared" si="24"/>
        <v>0</v>
      </c>
      <c r="F184" s="541">
        <f t="shared" si="28"/>
        <v>0</v>
      </c>
      <c r="G184" s="421">
        <v>0</v>
      </c>
      <c r="H184" s="421">
        <v>0</v>
      </c>
      <c r="I184" s="419">
        <v>0</v>
      </c>
      <c r="J184" s="296">
        <f t="shared" si="29"/>
        <v>0</v>
      </c>
      <c r="K184" s="276">
        <f t="shared" si="25"/>
        <v>704171.32459770131</v>
      </c>
      <c r="L184" s="10">
        <f t="shared" si="30"/>
        <v>0</v>
      </c>
      <c r="M184" s="293">
        <f t="shared" si="31"/>
        <v>0</v>
      </c>
      <c r="N184" s="10">
        <v>0</v>
      </c>
      <c r="O184" s="10">
        <f t="shared" si="32"/>
        <v>0</v>
      </c>
      <c r="P184" s="423">
        <v>0</v>
      </c>
      <c r="Q184" s="10">
        <f t="shared" si="26"/>
        <v>88021.415574712664</v>
      </c>
      <c r="R184" s="14">
        <f t="shared" si="33"/>
        <v>0</v>
      </c>
      <c r="S184" s="2">
        <f t="shared" si="34"/>
        <v>0</v>
      </c>
      <c r="T184" s="129">
        <f t="shared" si="35"/>
        <v>0</v>
      </c>
      <c r="U184" s="418">
        <f t="shared" si="27"/>
        <v>0</v>
      </c>
      <c r="V184" s="125"/>
    </row>
    <row r="185" spans="1:22" x14ac:dyDescent="0.25">
      <c r="A185" s="49">
        <f>+'A) Base RI'!A186</f>
        <v>5708</v>
      </c>
      <c r="B185" s="446" t="str">
        <f>+'A) Base RI'!B186</f>
        <v>Chavannes-des-Bois</v>
      </c>
      <c r="C185" s="296">
        <f>+'D) Ecrêtage'!C185</f>
        <v>67001.640000000014</v>
      </c>
      <c r="D185" s="421">
        <v>0</v>
      </c>
      <c r="E185" s="421">
        <f t="shared" si="24"/>
        <v>0</v>
      </c>
      <c r="F185" s="541">
        <f t="shared" si="28"/>
        <v>0</v>
      </c>
      <c r="G185" s="421">
        <v>0</v>
      </c>
      <c r="H185" s="421">
        <v>0</v>
      </c>
      <c r="I185" s="419">
        <v>0</v>
      </c>
      <c r="J185" s="296">
        <f t="shared" si="29"/>
        <v>0</v>
      </c>
      <c r="K185" s="276">
        <f t="shared" si="25"/>
        <v>536013.12000000011</v>
      </c>
      <c r="L185" s="10">
        <f t="shared" si="30"/>
        <v>0</v>
      </c>
      <c r="M185" s="293">
        <f t="shared" si="31"/>
        <v>0</v>
      </c>
      <c r="N185" s="10">
        <v>0</v>
      </c>
      <c r="O185" s="10">
        <f t="shared" si="32"/>
        <v>0</v>
      </c>
      <c r="P185" s="423">
        <v>0</v>
      </c>
      <c r="Q185" s="10">
        <f t="shared" si="26"/>
        <v>67001.640000000014</v>
      </c>
      <c r="R185" s="14">
        <f t="shared" si="33"/>
        <v>0</v>
      </c>
      <c r="S185" s="2">
        <f t="shared" si="34"/>
        <v>0</v>
      </c>
      <c r="T185" s="129">
        <f t="shared" si="35"/>
        <v>0</v>
      </c>
      <c r="U185" s="418">
        <f t="shared" si="27"/>
        <v>0</v>
      </c>
      <c r="V185" s="125"/>
    </row>
    <row r="186" spans="1:22" x14ac:dyDescent="0.25">
      <c r="A186" s="49">
        <f>+'A) Base RI'!A187</f>
        <v>5709</v>
      </c>
      <c r="B186" s="446" t="str">
        <f>+'A) Base RI'!B187</f>
        <v>Chéserex</v>
      </c>
      <c r="C186" s="296">
        <f>+'D) Ecrêtage'!C186</f>
        <v>88342.385614035084</v>
      </c>
      <c r="D186" s="421">
        <v>143248</v>
      </c>
      <c r="E186" s="421">
        <f t="shared" si="24"/>
        <v>136060</v>
      </c>
      <c r="F186" s="541">
        <f t="shared" si="28"/>
        <v>1.5401440549097414</v>
      </c>
      <c r="G186" s="421">
        <v>279308</v>
      </c>
      <c r="H186" s="421">
        <v>54538</v>
      </c>
      <c r="I186" s="419">
        <v>168805</v>
      </c>
      <c r="J186" s="296">
        <f t="shared" si="29"/>
        <v>502651</v>
      </c>
      <c r="K186" s="276">
        <f t="shared" si="25"/>
        <v>706739.08491228067</v>
      </c>
      <c r="L186" s="10">
        <f t="shared" si="30"/>
        <v>0</v>
      </c>
      <c r="M186" s="293">
        <f t="shared" si="31"/>
        <v>0</v>
      </c>
      <c r="N186" s="10">
        <v>0</v>
      </c>
      <c r="O186" s="10">
        <f t="shared" si="32"/>
        <v>26313</v>
      </c>
      <c r="P186" s="423">
        <v>26313</v>
      </c>
      <c r="Q186" s="10">
        <f t="shared" si="26"/>
        <v>88342.385614035084</v>
      </c>
      <c r="R186" s="14">
        <f t="shared" si="33"/>
        <v>0</v>
      </c>
      <c r="S186" s="2">
        <f t="shared" si="34"/>
        <v>0</v>
      </c>
      <c r="T186" s="129">
        <f t="shared" si="35"/>
        <v>0</v>
      </c>
      <c r="U186" s="418">
        <f t="shared" si="27"/>
        <v>0</v>
      </c>
      <c r="V186" s="125"/>
    </row>
    <row r="187" spans="1:22" x14ac:dyDescent="0.25">
      <c r="A187" s="49">
        <f>+'A) Base RI'!A188</f>
        <v>5710</v>
      </c>
      <c r="B187" s="446" t="str">
        <f>+'A) Base RI'!B188</f>
        <v>Coinsins</v>
      </c>
      <c r="C187" s="296">
        <f>+'D) Ecrêtage'!C187</f>
        <v>43412.265098039228</v>
      </c>
      <c r="D187" s="421">
        <v>0</v>
      </c>
      <c r="E187" s="421">
        <f t="shared" si="24"/>
        <v>91428</v>
      </c>
      <c r="F187" s="541">
        <f t="shared" si="28"/>
        <v>2.10604076505857</v>
      </c>
      <c r="G187" s="421">
        <v>91428</v>
      </c>
      <c r="H187" s="421">
        <v>22243</v>
      </c>
      <c r="I187" s="419">
        <v>45887</v>
      </c>
      <c r="J187" s="296">
        <f t="shared" si="29"/>
        <v>159558</v>
      </c>
      <c r="K187" s="276">
        <f t="shared" si="25"/>
        <v>347298.12078431383</v>
      </c>
      <c r="L187" s="10">
        <f t="shared" si="30"/>
        <v>0</v>
      </c>
      <c r="M187" s="293">
        <f t="shared" si="31"/>
        <v>0</v>
      </c>
      <c r="N187" s="10">
        <v>0</v>
      </c>
      <c r="O187" s="10">
        <f t="shared" si="32"/>
        <v>20653</v>
      </c>
      <c r="P187" s="423">
        <v>20653</v>
      </c>
      <c r="Q187" s="10">
        <f t="shared" si="26"/>
        <v>43412.265098039228</v>
      </c>
      <c r="R187" s="14">
        <f t="shared" si="33"/>
        <v>0</v>
      </c>
      <c r="S187" s="2">
        <f t="shared" si="34"/>
        <v>0</v>
      </c>
      <c r="T187" s="129">
        <f t="shared" si="35"/>
        <v>0</v>
      </c>
      <c r="U187" s="418">
        <f t="shared" si="27"/>
        <v>0</v>
      </c>
      <c r="V187" s="125"/>
    </row>
    <row r="188" spans="1:22" x14ac:dyDescent="0.25">
      <c r="A188" s="49">
        <f>+'A) Base RI'!A189</f>
        <v>5711</v>
      </c>
      <c r="B188" s="446" t="str">
        <f>+'A) Base RI'!B189</f>
        <v>Commugny</v>
      </c>
      <c r="C188" s="296">
        <f>+'D) Ecrêtage'!C188</f>
        <v>286273.03470547468</v>
      </c>
      <c r="D188" s="421">
        <v>79553</v>
      </c>
      <c r="E188" s="421">
        <f t="shared" si="24"/>
        <v>468352</v>
      </c>
      <c r="F188" s="541">
        <f t="shared" si="28"/>
        <v>1.636032539641231</v>
      </c>
      <c r="G188" s="421">
        <v>547905</v>
      </c>
      <c r="H188" s="421">
        <v>241371</v>
      </c>
      <c r="I188" s="419">
        <v>202727</v>
      </c>
      <c r="J188" s="296">
        <f t="shared" si="29"/>
        <v>992003</v>
      </c>
      <c r="K188" s="276">
        <f t="shared" si="25"/>
        <v>2290184.2776437975</v>
      </c>
      <c r="L188" s="10">
        <f t="shared" si="30"/>
        <v>0</v>
      </c>
      <c r="M188" s="293">
        <f t="shared" si="31"/>
        <v>0</v>
      </c>
      <c r="N188" s="10">
        <v>0</v>
      </c>
      <c r="O188" s="10">
        <f t="shared" si="32"/>
        <v>2369</v>
      </c>
      <c r="P188" s="423">
        <v>2369</v>
      </c>
      <c r="Q188" s="10">
        <f t="shared" si="26"/>
        <v>286273.03470547468</v>
      </c>
      <c r="R188" s="14">
        <f t="shared" si="33"/>
        <v>0</v>
      </c>
      <c r="S188" s="2">
        <f t="shared" si="34"/>
        <v>0</v>
      </c>
      <c r="T188" s="129">
        <f t="shared" si="35"/>
        <v>0</v>
      </c>
      <c r="U188" s="418">
        <f t="shared" si="27"/>
        <v>0</v>
      </c>
      <c r="V188" s="125"/>
    </row>
    <row r="189" spans="1:22" x14ac:dyDescent="0.25">
      <c r="A189" s="49">
        <f>+'A) Base RI'!A190</f>
        <v>5712</v>
      </c>
      <c r="B189" s="446" t="str">
        <f>+'A) Base RI'!B190</f>
        <v>Coppet</v>
      </c>
      <c r="C189" s="296">
        <f>+'D) Ecrêtage'!C189</f>
        <v>333754.3945283019</v>
      </c>
      <c r="D189" s="421">
        <v>236417</v>
      </c>
      <c r="E189" s="421">
        <f t="shared" si="24"/>
        <v>507001</v>
      </c>
      <c r="F189" s="541">
        <f t="shared" si="28"/>
        <v>1.5190841178782053</v>
      </c>
      <c r="G189" s="421">
        <v>743418</v>
      </c>
      <c r="H189" s="421">
        <v>286858</v>
      </c>
      <c r="I189" s="419">
        <v>214797</v>
      </c>
      <c r="J189" s="296">
        <f t="shared" si="29"/>
        <v>1245073</v>
      </c>
      <c r="K189" s="276">
        <f t="shared" si="25"/>
        <v>2670035.1562264152</v>
      </c>
      <c r="L189" s="10">
        <f t="shared" si="30"/>
        <v>0</v>
      </c>
      <c r="M189" s="293">
        <f t="shared" si="31"/>
        <v>0</v>
      </c>
      <c r="N189" s="10">
        <v>0</v>
      </c>
      <c r="O189" s="10">
        <f t="shared" si="32"/>
        <v>0</v>
      </c>
      <c r="P189" s="423">
        <v>0</v>
      </c>
      <c r="Q189" s="10">
        <f t="shared" si="26"/>
        <v>333754.3945283019</v>
      </c>
      <c r="R189" s="14">
        <f t="shared" si="33"/>
        <v>0</v>
      </c>
      <c r="S189" s="2">
        <f t="shared" si="34"/>
        <v>0</v>
      </c>
      <c r="T189" s="129">
        <f t="shared" si="35"/>
        <v>0</v>
      </c>
      <c r="U189" s="418">
        <f t="shared" si="27"/>
        <v>0</v>
      </c>
      <c r="V189" s="125"/>
    </row>
    <row r="190" spans="1:22" x14ac:dyDescent="0.25">
      <c r="A190" s="49">
        <f>+'A) Base RI'!A191</f>
        <v>5713</v>
      </c>
      <c r="B190" s="446" t="str">
        <f>+'A) Base RI'!B191</f>
        <v>Crans</v>
      </c>
      <c r="C190" s="296">
        <f>+'D) Ecrêtage'!C190</f>
        <v>302504.79982142855</v>
      </c>
      <c r="D190" s="421">
        <v>30983</v>
      </c>
      <c r="E190" s="421">
        <f t="shared" si="24"/>
        <v>424896</v>
      </c>
      <c r="F190" s="541">
        <f t="shared" si="28"/>
        <v>1.404592589112041</v>
      </c>
      <c r="G190" s="421">
        <v>455879</v>
      </c>
      <c r="H190" s="421">
        <v>114169</v>
      </c>
      <c r="I190" s="419">
        <v>156032</v>
      </c>
      <c r="J190" s="296">
        <f t="shared" si="29"/>
        <v>726080</v>
      </c>
      <c r="K190" s="276">
        <f t="shared" si="25"/>
        <v>2420038.3985714284</v>
      </c>
      <c r="L190" s="10">
        <f t="shared" si="30"/>
        <v>0</v>
      </c>
      <c r="M190" s="293">
        <f t="shared" si="31"/>
        <v>0</v>
      </c>
      <c r="N190" s="10">
        <v>0</v>
      </c>
      <c r="O190" s="10">
        <f t="shared" si="32"/>
        <v>17848</v>
      </c>
      <c r="P190" s="423">
        <v>17848</v>
      </c>
      <c r="Q190" s="10">
        <f t="shared" si="26"/>
        <v>302504.79982142855</v>
      </c>
      <c r="R190" s="14">
        <f t="shared" si="33"/>
        <v>0</v>
      </c>
      <c r="S190" s="2">
        <f t="shared" si="34"/>
        <v>0</v>
      </c>
      <c r="T190" s="129">
        <f t="shared" si="35"/>
        <v>0</v>
      </c>
      <c r="U190" s="418">
        <f t="shared" si="27"/>
        <v>0</v>
      </c>
      <c r="V190" s="125"/>
    </row>
    <row r="191" spans="1:22" x14ac:dyDescent="0.25">
      <c r="A191" s="49">
        <f>+'A) Base RI'!A192</f>
        <v>5714</v>
      </c>
      <c r="B191" s="446" t="str">
        <f>+'A) Base RI'!B192</f>
        <v>Crassier</v>
      </c>
      <c r="C191" s="296">
        <f>+'D) Ecrêtage'!C191</f>
        <v>62136.029852941167</v>
      </c>
      <c r="D191" s="421">
        <v>0</v>
      </c>
      <c r="E191" s="421">
        <f t="shared" si="24"/>
        <v>0</v>
      </c>
      <c r="F191" s="541">
        <f t="shared" si="28"/>
        <v>0</v>
      </c>
      <c r="G191" s="421">
        <v>0</v>
      </c>
      <c r="H191" s="421">
        <v>0</v>
      </c>
      <c r="I191" s="419">
        <v>0</v>
      </c>
      <c r="J191" s="296">
        <f t="shared" si="29"/>
        <v>0</v>
      </c>
      <c r="K191" s="276">
        <f t="shared" si="25"/>
        <v>497088.23882352933</v>
      </c>
      <c r="L191" s="10">
        <f t="shared" si="30"/>
        <v>0</v>
      </c>
      <c r="M191" s="293">
        <f t="shared" si="31"/>
        <v>0</v>
      </c>
      <c r="N191" s="10">
        <v>0</v>
      </c>
      <c r="O191" s="10">
        <f t="shared" si="32"/>
        <v>0</v>
      </c>
      <c r="P191" s="423">
        <v>0</v>
      </c>
      <c r="Q191" s="10">
        <f t="shared" si="26"/>
        <v>62136.029852941167</v>
      </c>
      <c r="R191" s="14">
        <f t="shared" si="33"/>
        <v>0</v>
      </c>
      <c r="S191" s="2">
        <f t="shared" si="34"/>
        <v>0</v>
      </c>
      <c r="T191" s="129">
        <f t="shared" si="35"/>
        <v>0</v>
      </c>
      <c r="U191" s="418">
        <f t="shared" si="27"/>
        <v>0</v>
      </c>
      <c r="V191" s="125"/>
    </row>
    <row r="192" spans="1:22" x14ac:dyDescent="0.25">
      <c r="A192" s="49">
        <f>+'A) Base RI'!A193</f>
        <v>5715</v>
      </c>
      <c r="B192" s="446" t="str">
        <f>+'A) Base RI'!B193</f>
        <v>Duillier</v>
      </c>
      <c r="C192" s="296">
        <f>+'D) Ecrêtage'!C192</f>
        <v>70395.129393939395</v>
      </c>
      <c r="D192" s="421">
        <v>0</v>
      </c>
      <c r="E192" s="421">
        <f t="shared" si="24"/>
        <v>0</v>
      </c>
      <c r="F192" s="541">
        <f t="shared" si="28"/>
        <v>0</v>
      </c>
      <c r="G192" s="421">
        <v>0</v>
      </c>
      <c r="H192" s="421">
        <v>0</v>
      </c>
      <c r="I192" s="419">
        <v>0</v>
      </c>
      <c r="J192" s="296">
        <f t="shared" si="29"/>
        <v>0</v>
      </c>
      <c r="K192" s="276">
        <f t="shared" si="25"/>
        <v>563161.03515151516</v>
      </c>
      <c r="L192" s="10">
        <f t="shared" si="30"/>
        <v>0</v>
      </c>
      <c r="M192" s="293">
        <f t="shared" si="31"/>
        <v>0</v>
      </c>
      <c r="N192" s="10">
        <v>0</v>
      </c>
      <c r="O192" s="10">
        <f t="shared" si="32"/>
        <v>0</v>
      </c>
      <c r="P192" s="423">
        <v>0</v>
      </c>
      <c r="Q192" s="10">
        <f t="shared" si="26"/>
        <v>70395.129393939395</v>
      </c>
      <c r="R192" s="14">
        <f t="shared" si="33"/>
        <v>0</v>
      </c>
      <c r="S192" s="2">
        <f t="shared" si="34"/>
        <v>0</v>
      </c>
      <c r="T192" s="129">
        <f t="shared" si="35"/>
        <v>0</v>
      </c>
      <c r="U192" s="418">
        <f t="shared" si="27"/>
        <v>0</v>
      </c>
      <c r="V192" s="125"/>
    </row>
    <row r="193" spans="1:22" x14ac:dyDescent="0.25">
      <c r="A193" s="49">
        <f>+'A) Base RI'!A194</f>
        <v>5716</v>
      </c>
      <c r="B193" s="446" t="str">
        <f>+'A) Base RI'!B194</f>
        <v>Eysins</v>
      </c>
      <c r="C193" s="296">
        <f>+'D) Ecrêtage'!C193</f>
        <v>203854.36605042018</v>
      </c>
      <c r="D193" s="421">
        <v>0</v>
      </c>
      <c r="E193" s="421">
        <f t="shared" si="24"/>
        <v>0</v>
      </c>
      <c r="F193" s="541">
        <f t="shared" si="28"/>
        <v>0</v>
      </c>
      <c r="G193" s="421">
        <v>0</v>
      </c>
      <c r="H193" s="421">
        <v>0</v>
      </c>
      <c r="I193" s="419">
        <v>0</v>
      </c>
      <c r="J193" s="296">
        <f t="shared" si="29"/>
        <v>0</v>
      </c>
      <c r="K193" s="276">
        <f t="shared" si="25"/>
        <v>1630834.9284033615</v>
      </c>
      <c r="L193" s="10">
        <f t="shared" si="30"/>
        <v>0</v>
      </c>
      <c r="M193" s="293">
        <f t="shared" si="31"/>
        <v>0</v>
      </c>
      <c r="N193" s="10">
        <v>0</v>
      </c>
      <c r="O193" s="10">
        <f t="shared" si="32"/>
        <v>0</v>
      </c>
      <c r="P193" s="423">
        <v>0</v>
      </c>
      <c r="Q193" s="10">
        <f t="shared" si="26"/>
        <v>203854.36605042018</v>
      </c>
      <c r="R193" s="14">
        <f t="shared" si="33"/>
        <v>0</v>
      </c>
      <c r="S193" s="2">
        <f t="shared" si="34"/>
        <v>0</v>
      </c>
      <c r="T193" s="129">
        <f t="shared" si="35"/>
        <v>0</v>
      </c>
      <c r="U193" s="418">
        <f t="shared" si="27"/>
        <v>0</v>
      </c>
      <c r="V193" s="125"/>
    </row>
    <row r="194" spans="1:22" x14ac:dyDescent="0.25">
      <c r="A194" s="49">
        <f>+'A) Base RI'!A195</f>
        <v>5717</v>
      </c>
      <c r="B194" s="446" t="str">
        <f>+'A) Base RI'!B195</f>
        <v>Founex</v>
      </c>
      <c r="C194" s="296">
        <f>+'D) Ecrêtage'!C194</f>
        <v>390728.72</v>
      </c>
      <c r="D194" s="421">
        <v>0</v>
      </c>
      <c r="E194" s="421">
        <f t="shared" si="24"/>
        <v>0</v>
      </c>
      <c r="F194" s="541">
        <f t="shared" si="28"/>
        <v>0</v>
      </c>
      <c r="G194" s="421">
        <v>0</v>
      </c>
      <c r="H194" s="421">
        <v>0</v>
      </c>
      <c r="I194" s="419">
        <v>0</v>
      </c>
      <c r="J194" s="296">
        <f t="shared" si="29"/>
        <v>0</v>
      </c>
      <c r="K194" s="276">
        <f t="shared" si="25"/>
        <v>3125829.76</v>
      </c>
      <c r="L194" s="10">
        <f t="shared" si="30"/>
        <v>0</v>
      </c>
      <c r="M194" s="293">
        <f t="shared" si="31"/>
        <v>0</v>
      </c>
      <c r="N194" s="10">
        <v>0</v>
      </c>
      <c r="O194" s="10">
        <f t="shared" si="32"/>
        <v>0</v>
      </c>
      <c r="P194" s="423">
        <v>0</v>
      </c>
      <c r="Q194" s="10">
        <f t="shared" si="26"/>
        <v>390728.72</v>
      </c>
      <c r="R194" s="14">
        <f t="shared" si="33"/>
        <v>0</v>
      </c>
      <c r="S194" s="2">
        <f t="shared" si="34"/>
        <v>0</v>
      </c>
      <c r="T194" s="129">
        <f t="shared" si="35"/>
        <v>0</v>
      </c>
      <c r="U194" s="418">
        <f t="shared" si="27"/>
        <v>0</v>
      </c>
      <c r="V194" s="125"/>
    </row>
    <row r="195" spans="1:22" s="256" customFormat="1" x14ac:dyDescent="0.25">
      <c r="A195" s="49">
        <f>+'A) Base RI'!A196</f>
        <v>5718</v>
      </c>
      <c r="B195" s="446" t="str">
        <f>+'A) Base RI'!B196</f>
        <v>Genolier</v>
      </c>
      <c r="C195" s="296">
        <f>+'D) Ecrêtage'!C195</f>
        <v>192274.57272727272</v>
      </c>
      <c r="D195" s="421">
        <v>0</v>
      </c>
      <c r="E195" s="421">
        <f t="shared" si="24"/>
        <v>0</v>
      </c>
      <c r="F195" s="541">
        <f t="shared" si="28"/>
        <v>0</v>
      </c>
      <c r="G195" s="421">
        <v>0</v>
      </c>
      <c r="H195" s="421">
        <v>0</v>
      </c>
      <c r="I195" s="419">
        <v>0</v>
      </c>
      <c r="J195" s="296">
        <f t="shared" si="29"/>
        <v>0</v>
      </c>
      <c r="K195" s="276">
        <f t="shared" si="25"/>
        <v>1538196.5818181818</v>
      </c>
      <c r="L195" s="10">
        <f t="shared" si="30"/>
        <v>0</v>
      </c>
      <c r="M195" s="293">
        <f t="shared" si="31"/>
        <v>0</v>
      </c>
      <c r="N195" s="10">
        <v>0</v>
      </c>
      <c r="O195" s="10">
        <f t="shared" si="32"/>
        <v>0</v>
      </c>
      <c r="P195" s="422">
        <v>0</v>
      </c>
      <c r="Q195" s="254">
        <f t="shared" si="26"/>
        <v>192274.57272727272</v>
      </c>
      <c r="R195" s="1">
        <f t="shared" si="33"/>
        <v>0</v>
      </c>
      <c r="S195" s="2">
        <f t="shared" si="34"/>
        <v>0</v>
      </c>
      <c r="T195" s="129">
        <f t="shared" si="35"/>
        <v>0</v>
      </c>
      <c r="U195" s="418">
        <f t="shared" si="27"/>
        <v>0</v>
      </c>
      <c r="V195" s="255"/>
    </row>
    <row r="196" spans="1:22" x14ac:dyDescent="0.25">
      <c r="A196" s="49">
        <f>+'A) Base RI'!A197</f>
        <v>5719</v>
      </c>
      <c r="B196" s="446" t="str">
        <f>+'A) Base RI'!B197</f>
        <v>Gingins</v>
      </c>
      <c r="C196" s="296">
        <f>+'D) Ecrêtage'!C196</f>
        <v>151294.23883333337</v>
      </c>
      <c r="D196" s="421">
        <v>0</v>
      </c>
      <c r="E196" s="421">
        <f t="shared" si="24"/>
        <v>0</v>
      </c>
      <c r="F196" s="541">
        <f t="shared" si="28"/>
        <v>0</v>
      </c>
      <c r="G196" s="421">
        <v>0</v>
      </c>
      <c r="H196" s="421">
        <v>0</v>
      </c>
      <c r="I196" s="419">
        <v>0</v>
      </c>
      <c r="J196" s="296">
        <f t="shared" si="29"/>
        <v>0</v>
      </c>
      <c r="K196" s="276">
        <f t="shared" si="25"/>
        <v>1210353.9106666669</v>
      </c>
      <c r="L196" s="10">
        <f t="shared" si="30"/>
        <v>0</v>
      </c>
      <c r="M196" s="293">
        <f t="shared" si="31"/>
        <v>0</v>
      </c>
      <c r="N196" s="10">
        <v>0</v>
      </c>
      <c r="O196" s="10">
        <f t="shared" si="32"/>
        <v>0</v>
      </c>
      <c r="P196" s="423">
        <v>0</v>
      </c>
      <c r="Q196" s="10">
        <f t="shared" si="26"/>
        <v>151294.23883333337</v>
      </c>
      <c r="R196" s="14">
        <f t="shared" si="33"/>
        <v>0</v>
      </c>
      <c r="S196" s="2">
        <f t="shared" si="34"/>
        <v>0</v>
      </c>
      <c r="T196" s="129">
        <f t="shared" si="35"/>
        <v>0</v>
      </c>
      <c r="U196" s="418">
        <f t="shared" si="27"/>
        <v>0</v>
      </c>
      <c r="V196" s="125"/>
    </row>
    <row r="197" spans="1:22" x14ac:dyDescent="0.25">
      <c r="A197" s="49">
        <f>+'A) Base RI'!A198</f>
        <v>5720</v>
      </c>
      <c r="B197" s="446" t="str">
        <f>+'A) Base RI'!B198</f>
        <v>Givrins</v>
      </c>
      <c r="C197" s="296">
        <f>+'D) Ecrêtage'!C197</f>
        <v>74789.829883913771</v>
      </c>
      <c r="D197" s="421">
        <v>97254</v>
      </c>
      <c r="E197" s="421">
        <f t="shared" si="24"/>
        <v>158820</v>
      </c>
      <c r="F197" s="541">
        <f t="shared" si="28"/>
        <v>2.1235507587932076</v>
      </c>
      <c r="G197" s="421">
        <v>256074</v>
      </c>
      <c r="H197" s="421">
        <v>75091</v>
      </c>
      <c r="I197" s="419">
        <v>61282</v>
      </c>
      <c r="J197" s="296">
        <f t="shared" si="29"/>
        <v>392447</v>
      </c>
      <c r="K197" s="276">
        <f t="shared" si="25"/>
        <v>598318.63907131017</v>
      </c>
      <c r="L197" s="10">
        <f t="shared" si="30"/>
        <v>0</v>
      </c>
      <c r="M197" s="293">
        <f t="shared" si="31"/>
        <v>0</v>
      </c>
      <c r="N197" s="10">
        <v>0</v>
      </c>
      <c r="O197" s="10">
        <f t="shared" si="32"/>
        <v>135853</v>
      </c>
      <c r="P197" s="423">
        <v>135853</v>
      </c>
      <c r="Q197" s="10">
        <f t="shared" si="26"/>
        <v>74789.829883913771</v>
      </c>
      <c r="R197" s="14">
        <f t="shared" si="33"/>
        <v>61063.170116086229</v>
      </c>
      <c r="S197" s="2">
        <f t="shared" si="34"/>
        <v>-45797.377587064671</v>
      </c>
      <c r="T197" s="129">
        <f t="shared" si="35"/>
        <v>-45797.377587064671</v>
      </c>
      <c r="U197" s="418">
        <f t="shared" si="27"/>
        <v>-0.61234766355465442</v>
      </c>
      <c r="V197" s="125"/>
    </row>
    <row r="198" spans="1:22" x14ac:dyDescent="0.25">
      <c r="A198" s="49">
        <f>+'A) Base RI'!A199</f>
        <v>5721</v>
      </c>
      <c r="B198" s="446" t="str">
        <f>+'A) Base RI'!B199</f>
        <v>Gland</v>
      </c>
      <c r="C198" s="296">
        <f>+'D) Ecrêtage'!C198</f>
        <v>723023.81196721317</v>
      </c>
      <c r="D198" s="421">
        <v>1414319</v>
      </c>
      <c r="E198" s="421">
        <f t="shared" ref="E198:E261" si="36">+G198-D198</f>
        <v>1697988</v>
      </c>
      <c r="F198" s="541">
        <f t="shared" si="28"/>
        <v>2.3484537741296387</v>
      </c>
      <c r="G198" s="421">
        <v>3112307</v>
      </c>
      <c r="H198" s="421">
        <v>994815</v>
      </c>
      <c r="I198" s="419">
        <v>53925</v>
      </c>
      <c r="J198" s="296">
        <f t="shared" si="29"/>
        <v>4161047</v>
      </c>
      <c r="K198" s="276">
        <f t="shared" ref="K198:K261" si="37">+C198*$L$5</f>
        <v>5784190.4957377054</v>
      </c>
      <c r="L198" s="10">
        <f t="shared" si="30"/>
        <v>0</v>
      </c>
      <c r="M198" s="293">
        <f t="shared" si="31"/>
        <v>0</v>
      </c>
      <c r="N198" s="10">
        <v>0</v>
      </c>
      <c r="O198" s="10">
        <f t="shared" si="32"/>
        <v>30073</v>
      </c>
      <c r="P198" s="423">
        <v>30073</v>
      </c>
      <c r="Q198" s="10">
        <f t="shared" ref="Q198:Q261" si="38">C198*R$5</f>
        <v>723023.81196721317</v>
      </c>
      <c r="R198" s="14">
        <f t="shared" si="33"/>
        <v>0</v>
      </c>
      <c r="S198" s="2">
        <f t="shared" si="34"/>
        <v>0</v>
      </c>
      <c r="T198" s="129">
        <f t="shared" si="35"/>
        <v>0</v>
      </c>
      <c r="U198" s="418">
        <f t="shared" ref="U198:U261" si="39">+T198/C198</f>
        <v>0</v>
      </c>
      <c r="V198" s="125"/>
    </row>
    <row r="199" spans="1:22" x14ac:dyDescent="0.25">
      <c r="A199" s="49">
        <f>+'A) Base RI'!A200</f>
        <v>5722</v>
      </c>
      <c r="B199" s="446" t="str">
        <f>+'A) Base RI'!B200</f>
        <v>Grens</v>
      </c>
      <c r="C199" s="296">
        <f>+'D) Ecrêtage'!C199</f>
        <v>22316.761129032264</v>
      </c>
      <c r="D199" s="421">
        <v>0</v>
      </c>
      <c r="E199" s="421">
        <f t="shared" si="36"/>
        <v>0</v>
      </c>
      <c r="F199" s="541">
        <f t="shared" ref="F199:F262" si="40">+E199/C199</f>
        <v>0</v>
      </c>
      <c r="G199" s="421">
        <v>0</v>
      </c>
      <c r="H199" s="421">
        <v>0</v>
      </c>
      <c r="I199" s="419">
        <v>0</v>
      </c>
      <c r="J199" s="296">
        <f t="shared" ref="J199:J262" si="41">+G199+H199+I199</f>
        <v>0</v>
      </c>
      <c r="K199" s="276">
        <f t="shared" si="37"/>
        <v>178534.08903225811</v>
      </c>
      <c r="L199" s="10">
        <f t="shared" ref="L199:L262" si="42">IF(J199&gt;K199,J199-K199,0)</f>
        <v>0</v>
      </c>
      <c r="M199" s="293">
        <f t="shared" ref="M199:M262" si="43">-L199*M$5</f>
        <v>0</v>
      </c>
      <c r="N199" s="10">
        <v>0</v>
      </c>
      <c r="O199" s="10">
        <f t="shared" ref="O199:O262" si="44">+P199-N199</f>
        <v>0</v>
      </c>
      <c r="P199" s="423">
        <v>0</v>
      </c>
      <c r="Q199" s="10">
        <f t="shared" si="38"/>
        <v>22316.761129032264</v>
      </c>
      <c r="R199" s="14">
        <f t="shared" ref="R199:R262" si="45">IF(P199&gt;Q199,P199-Q199,0)</f>
        <v>0</v>
      </c>
      <c r="S199" s="2">
        <f t="shared" ref="S199:S262" si="46">-R199*S$5</f>
        <v>0</v>
      </c>
      <c r="T199" s="129">
        <f t="shared" ref="T199:T262" si="47">S199+M199</f>
        <v>0</v>
      </c>
      <c r="U199" s="418">
        <f t="shared" si="39"/>
        <v>0</v>
      </c>
      <c r="V199" s="125"/>
    </row>
    <row r="200" spans="1:22" x14ac:dyDescent="0.25">
      <c r="A200" s="49">
        <f>+'A) Base RI'!A201</f>
        <v>5723</v>
      </c>
      <c r="B200" s="446" t="str">
        <f>+'A) Base RI'!B201</f>
        <v>Mies</v>
      </c>
      <c r="C200" s="296">
        <f>+'D) Ecrêtage'!C200</f>
        <v>245974.84538461536</v>
      </c>
      <c r="D200" s="421">
        <v>0</v>
      </c>
      <c r="E200" s="421">
        <f t="shared" si="36"/>
        <v>0</v>
      </c>
      <c r="F200" s="541">
        <f t="shared" si="40"/>
        <v>0</v>
      </c>
      <c r="G200" s="421">
        <v>0</v>
      </c>
      <c r="H200" s="421">
        <v>0</v>
      </c>
      <c r="I200" s="419">
        <v>0</v>
      </c>
      <c r="J200" s="296">
        <f t="shared" si="41"/>
        <v>0</v>
      </c>
      <c r="K200" s="276">
        <f t="shared" si="37"/>
        <v>1967798.7630769229</v>
      </c>
      <c r="L200" s="10">
        <f t="shared" si="42"/>
        <v>0</v>
      </c>
      <c r="M200" s="293">
        <f t="shared" si="43"/>
        <v>0</v>
      </c>
      <c r="N200" s="10">
        <v>0</v>
      </c>
      <c r="O200" s="10">
        <f t="shared" si="44"/>
        <v>0</v>
      </c>
      <c r="P200" s="423">
        <v>0</v>
      </c>
      <c r="Q200" s="10">
        <f t="shared" si="38"/>
        <v>245974.84538461536</v>
      </c>
      <c r="R200" s="14">
        <f t="shared" si="45"/>
        <v>0</v>
      </c>
      <c r="S200" s="2">
        <f t="shared" si="46"/>
        <v>0</v>
      </c>
      <c r="T200" s="129">
        <f t="shared" si="47"/>
        <v>0</v>
      </c>
      <c r="U200" s="418">
        <f t="shared" si="39"/>
        <v>0</v>
      </c>
      <c r="V200" s="125"/>
    </row>
    <row r="201" spans="1:22" x14ac:dyDescent="0.25">
      <c r="A201" s="49">
        <f>+'A) Base RI'!A202</f>
        <v>5724</v>
      </c>
      <c r="B201" s="446" t="str">
        <f>+'A) Base RI'!B202</f>
        <v>Nyon</v>
      </c>
      <c r="C201" s="296">
        <f>+'D) Ecrêtage'!C201</f>
        <v>1461873.0345355188</v>
      </c>
      <c r="D201" s="421">
        <v>3187771</v>
      </c>
      <c r="E201" s="421">
        <f t="shared" si="36"/>
        <v>4694782</v>
      </c>
      <c r="F201" s="541">
        <f t="shared" si="40"/>
        <v>3.2114840954650168</v>
      </c>
      <c r="G201" s="421">
        <v>7882553</v>
      </c>
      <c r="H201" s="421">
        <v>4729208</v>
      </c>
      <c r="I201" s="419">
        <v>165643</v>
      </c>
      <c r="J201" s="296">
        <f t="shared" si="41"/>
        <v>12777404</v>
      </c>
      <c r="K201" s="276">
        <f t="shared" si="37"/>
        <v>11694984.276284151</v>
      </c>
      <c r="L201" s="10">
        <f t="shared" si="42"/>
        <v>1082419.7237158492</v>
      </c>
      <c r="M201" s="293">
        <f t="shared" si="43"/>
        <v>-811814.79278688692</v>
      </c>
      <c r="N201" s="10">
        <v>14832</v>
      </c>
      <c r="O201" s="10">
        <f t="shared" si="44"/>
        <v>250455</v>
      </c>
      <c r="P201" s="423">
        <v>265287</v>
      </c>
      <c r="Q201" s="10">
        <f t="shared" si="38"/>
        <v>1461873.0345355188</v>
      </c>
      <c r="R201" s="14">
        <f t="shared" si="45"/>
        <v>0</v>
      </c>
      <c r="S201" s="2">
        <f t="shared" si="46"/>
        <v>0</v>
      </c>
      <c r="T201" s="129">
        <f t="shared" si="47"/>
        <v>-811814.79278688692</v>
      </c>
      <c r="U201" s="418">
        <f t="shared" si="39"/>
        <v>-0.55532510252836353</v>
      </c>
      <c r="V201" s="125"/>
    </row>
    <row r="202" spans="1:22" x14ac:dyDescent="0.25">
      <c r="A202" s="49">
        <f>+'A) Base RI'!A203</f>
        <v>5725</v>
      </c>
      <c r="B202" s="446" t="str">
        <f>+'A) Base RI'!B203</f>
        <v>Prangins</v>
      </c>
      <c r="C202" s="296">
        <f>+'D) Ecrêtage'!C202</f>
        <v>355082.58820779232</v>
      </c>
      <c r="D202" s="421">
        <v>177262</v>
      </c>
      <c r="E202" s="421">
        <f t="shared" si="36"/>
        <v>520963</v>
      </c>
      <c r="F202" s="541">
        <f t="shared" si="40"/>
        <v>1.4671600841636747</v>
      </c>
      <c r="G202" s="421">
        <v>698225</v>
      </c>
      <c r="H202" s="421">
        <v>1019399</v>
      </c>
      <c r="I202" s="419">
        <v>86160</v>
      </c>
      <c r="J202" s="296">
        <f t="shared" si="41"/>
        <v>1803784</v>
      </c>
      <c r="K202" s="276">
        <f t="shared" si="37"/>
        <v>2840660.7056623385</v>
      </c>
      <c r="L202" s="10">
        <f t="shared" si="42"/>
        <v>0</v>
      </c>
      <c r="M202" s="293">
        <f t="shared" si="43"/>
        <v>0</v>
      </c>
      <c r="N202" s="10">
        <v>0</v>
      </c>
      <c r="O202" s="10">
        <f t="shared" si="44"/>
        <v>29051</v>
      </c>
      <c r="P202" s="423">
        <v>29051</v>
      </c>
      <c r="Q202" s="10">
        <f t="shared" si="38"/>
        <v>355082.58820779232</v>
      </c>
      <c r="R202" s="14">
        <f t="shared" si="45"/>
        <v>0</v>
      </c>
      <c r="S202" s="2">
        <f t="shared" si="46"/>
        <v>0</v>
      </c>
      <c r="T202" s="129">
        <f t="shared" si="47"/>
        <v>0</v>
      </c>
      <c r="U202" s="418">
        <f t="shared" si="39"/>
        <v>0</v>
      </c>
      <c r="V202" s="125"/>
    </row>
    <row r="203" spans="1:22" x14ac:dyDescent="0.25">
      <c r="A203" s="49">
        <f>+'A) Base RI'!A204</f>
        <v>5726</v>
      </c>
      <c r="B203" s="446" t="str">
        <f>+'A) Base RI'!B204</f>
        <v>La Rippe</v>
      </c>
      <c r="C203" s="296">
        <f>+'D) Ecrêtage'!C203</f>
        <v>70366.469687500008</v>
      </c>
      <c r="D203" s="421">
        <v>0</v>
      </c>
      <c r="E203" s="421">
        <f t="shared" si="36"/>
        <v>0</v>
      </c>
      <c r="F203" s="541">
        <f t="shared" si="40"/>
        <v>0</v>
      </c>
      <c r="G203" s="421">
        <v>0</v>
      </c>
      <c r="H203" s="421">
        <v>0</v>
      </c>
      <c r="I203" s="419">
        <v>0</v>
      </c>
      <c r="J203" s="296">
        <f t="shared" si="41"/>
        <v>0</v>
      </c>
      <c r="K203" s="276">
        <f t="shared" si="37"/>
        <v>562931.75750000007</v>
      </c>
      <c r="L203" s="10">
        <f t="shared" si="42"/>
        <v>0</v>
      </c>
      <c r="M203" s="293">
        <f t="shared" si="43"/>
        <v>0</v>
      </c>
      <c r="N203" s="10">
        <v>0</v>
      </c>
      <c r="O203" s="10">
        <f t="shared" si="44"/>
        <v>0</v>
      </c>
      <c r="P203" s="423">
        <v>0</v>
      </c>
      <c r="Q203" s="10">
        <f t="shared" si="38"/>
        <v>70366.469687500008</v>
      </c>
      <c r="R203" s="14">
        <f t="shared" si="45"/>
        <v>0</v>
      </c>
      <c r="S203" s="2">
        <f t="shared" si="46"/>
        <v>0</v>
      </c>
      <c r="T203" s="129">
        <f t="shared" si="47"/>
        <v>0</v>
      </c>
      <c r="U203" s="418">
        <f t="shared" si="39"/>
        <v>0</v>
      </c>
      <c r="V203" s="125"/>
    </row>
    <row r="204" spans="1:22" x14ac:dyDescent="0.25">
      <c r="A204" s="49">
        <f>+'A) Base RI'!A205</f>
        <v>5727</v>
      </c>
      <c r="B204" s="446" t="str">
        <f>+'A) Base RI'!B205</f>
        <v>Saint-Cergue</v>
      </c>
      <c r="C204" s="296">
        <f>+'D) Ecrêtage'!C204</f>
        <v>106173.30404040407</v>
      </c>
      <c r="D204" s="421">
        <v>128111</v>
      </c>
      <c r="E204" s="421">
        <f t="shared" si="36"/>
        <v>935689</v>
      </c>
      <c r="F204" s="541">
        <f t="shared" si="40"/>
        <v>8.8128462089107185</v>
      </c>
      <c r="G204" s="421">
        <v>1063800</v>
      </c>
      <c r="H204" s="421">
        <v>204643</v>
      </c>
      <c r="I204" s="419">
        <v>132142</v>
      </c>
      <c r="J204" s="296">
        <f t="shared" si="41"/>
        <v>1400585</v>
      </c>
      <c r="K204" s="276">
        <f t="shared" si="37"/>
        <v>849386.43232323253</v>
      </c>
      <c r="L204" s="10">
        <f t="shared" si="42"/>
        <v>551198.56767676747</v>
      </c>
      <c r="M204" s="293">
        <f t="shared" si="43"/>
        <v>-413398.92575757561</v>
      </c>
      <c r="N204" s="10">
        <v>0</v>
      </c>
      <c r="O204" s="10">
        <f t="shared" si="44"/>
        <v>183430</v>
      </c>
      <c r="P204" s="423">
        <v>183430</v>
      </c>
      <c r="Q204" s="10">
        <f t="shared" si="38"/>
        <v>106173.30404040407</v>
      </c>
      <c r="R204" s="14">
        <f t="shared" si="45"/>
        <v>77256.695959595934</v>
      </c>
      <c r="S204" s="2">
        <f t="shared" si="46"/>
        <v>-57942.521969696951</v>
      </c>
      <c r="T204" s="129">
        <f t="shared" si="47"/>
        <v>-471341.44772727258</v>
      </c>
      <c r="U204" s="418">
        <f t="shared" si="39"/>
        <v>-4.4393593284796378</v>
      </c>
      <c r="V204" s="125"/>
    </row>
    <row r="205" spans="1:22" x14ac:dyDescent="0.25">
      <c r="A205" s="49">
        <f>+'A) Base RI'!A206</f>
        <v>5728</v>
      </c>
      <c r="B205" s="446" t="str">
        <f>+'A) Base RI'!B206</f>
        <v>Signy-Avenex</v>
      </c>
      <c r="C205" s="296">
        <f>+'D) Ecrêtage'!C205</f>
        <v>56477.02620689656</v>
      </c>
      <c r="D205" s="421">
        <v>0</v>
      </c>
      <c r="E205" s="421">
        <f t="shared" si="36"/>
        <v>0</v>
      </c>
      <c r="F205" s="541">
        <f t="shared" si="40"/>
        <v>0</v>
      </c>
      <c r="G205" s="421">
        <v>0</v>
      </c>
      <c r="H205" s="421">
        <v>0</v>
      </c>
      <c r="I205" s="419">
        <v>0</v>
      </c>
      <c r="J205" s="296">
        <f t="shared" si="41"/>
        <v>0</v>
      </c>
      <c r="K205" s="276">
        <f t="shared" si="37"/>
        <v>451816.20965517248</v>
      </c>
      <c r="L205" s="10">
        <f t="shared" si="42"/>
        <v>0</v>
      </c>
      <c r="M205" s="293">
        <f t="shared" si="43"/>
        <v>0</v>
      </c>
      <c r="N205" s="10">
        <v>0</v>
      </c>
      <c r="O205" s="10">
        <f t="shared" si="44"/>
        <v>0</v>
      </c>
      <c r="P205" s="423">
        <v>0</v>
      </c>
      <c r="Q205" s="10">
        <f t="shared" si="38"/>
        <v>56477.02620689656</v>
      </c>
      <c r="R205" s="14">
        <f t="shared" si="45"/>
        <v>0</v>
      </c>
      <c r="S205" s="2">
        <f t="shared" si="46"/>
        <v>0</v>
      </c>
      <c r="T205" s="129">
        <f t="shared" si="47"/>
        <v>0</v>
      </c>
      <c r="U205" s="418">
        <f t="shared" si="39"/>
        <v>0</v>
      </c>
      <c r="V205" s="125"/>
    </row>
    <row r="206" spans="1:22" x14ac:dyDescent="0.25">
      <c r="A206" s="49">
        <f>+'A) Base RI'!A207</f>
        <v>5729</v>
      </c>
      <c r="B206" s="446" t="str">
        <f>+'A) Base RI'!B207</f>
        <v>Tannay</v>
      </c>
      <c r="C206" s="296">
        <f>+'D) Ecrêtage'!C206</f>
        <v>161688.04044077132</v>
      </c>
      <c r="D206" s="421">
        <v>0</v>
      </c>
      <c r="E206" s="421">
        <f t="shared" si="36"/>
        <v>0</v>
      </c>
      <c r="F206" s="541">
        <f t="shared" si="40"/>
        <v>0</v>
      </c>
      <c r="G206" s="421">
        <v>0</v>
      </c>
      <c r="H206" s="421">
        <v>0</v>
      </c>
      <c r="I206" s="419">
        <v>0</v>
      </c>
      <c r="J206" s="296">
        <f t="shared" si="41"/>
        <v>0</v>
      </c>
      <c r="K206" s="276">
        <f t="shared" si="37"/>
        <v>1293504.3235261706</v>
      </c>
      <c r="L206" s="10">
        <f t="shared" si="42"/>
        <v>0</v>
      </c>
      <c r="M206" s="293">
        <f t="shared" si="43"/>
        <v>0</v>
      </c>
      <c r="N206" s="10">
        <v>0</v>
      </c>
      <c r="O206" s="10">
        <f t="shared" si="44"/>
        <v>0</v>
      </c>
      <c r="P206" s="423">
        <v>0</v>
      </c>
      <c r="Q206" s="10">
        <f t="shared" si="38"/>
        <v>161688.04044077132</v>
      </c>
      <c r="R206" s="14">
        <f t="shared" si="45"/>
        <v>0</v>
      </c>
      <c r="S206" s="2">
        <f t="shared" si="46"/>
        <v>0</v>
      </c>
      <c r="T206" s="129">
        <f t="shared" si="47"/>
        <v>0</v>
      </c>
      <c r="U206" s="418">
        <f t="shared" si="39"/>
        <v>0</v>
      </c>
      <c r="V206" s="125"/>
    </row>
    <row r="207" spans="1:22" x14ac:dyDescent="0.25">
      <c r="A207" s="49">
        <f>+'A) Base RI'!A208</f>
        <v>5730</v>
      </c>
      <c r="B207" s="446" t="str">
        <f>+'A) Base RI'!B208</f>
        <v>Trélex</v>
      </c>
      <c r="C207" s="296">
        <f>+'D) Ecrêtage'!C207</f>
        <v>125085.64878878882</v>
      </c>
      <c r="D207" s="421">
        <v>61403</v>
      </c>
      <c r="E207" s="421">
        <f t="shared" si="36"/>
        <v>189605</v>
      </c>
      <c r="F207" s="541">
        <f t="shared" si="40"/>
        <v>1.515801387576877</v>
      </c>
      <c r="G207" s="421">
        <v>251008</v>
      </c>
      <c r="H207" s="421">
        <v>105244</v>
      </c>
      <c r="I207" s="419">
        <v>81927</v>
      </c>
      <c r="J207" s="296">
        <f t="shared" si="41"/>
        <v>438179</v>
      </c>
      <c r="K207" s="276">
        <f t="shared" si="37"/>
        <v>1000685.1903103106</v>
      </c>
      <c r="L207" s="10">
        <f t="shared" si="42"/>
        <v>0</v>
      </c>
      <c r="M207" s="293">
        <f t="shared" si="43"/>
        <v>0</v>
      </c>
      <c r="N207" s="10">
        <v>0</v>
      </c>
      <c r="O207" s="10">
        <f t="shared" si="44"/>
        <v>44683</v>
      </c>
      <c r="P207" s="423">
        <v>44683</v>
      </c>
      <c r="Q207" s="10">
        <f t="shared" si="38"/>
        <v>125085.64878878882</v>
      </c>
      <c r="R207" s="14">
        <f t="shared" si="45"/>
        <v>0</v>
      </c>
      <c r="S207" s="2">
        <f t="shared" si="46"/>
        <v>0</v>
      </c>
      <c r="T207" s="129">
        <f t="shared" si="47"/>
        <v>0</v>
      </c>
      <c r="U207" s="418">
        <f t="shared" si="39"/>
        <v>0</v>
      </c>
      <c r="V207" s="125"/>
    </row>
    <row r="208" spans="1:22" x14ac:dyDescent="0.25">
      <c r="A208" s="49">
        <f>+'A) Base RI'!A209</f>
        <v>5731</v>
      </c>
      <c r="B208" s="446" t="str">
        <f>+'A) Base RI'!B209</f>
        <v>Le Vaud</v>
      </c>
      <c r="C208" s="296">
        <f>+'D) Ecrêtage'!C208</f>
        <v>69596.613288288281</v>
      </c>
      <c r="D208" s="421">
        <v>83478</v>
      </c>
      <c r="E208" s="421">
        <f t="shared" si="36"/>
        <v>486239</v>
      </c>
      <c r="F208" s="541">
        <f t="shared" si="40"/>
        <v>6.986532490968556</v>
      </c>
      <c r="G208" s="421">
        <v>569717</v>
      </c>
      <c r="H208" s="421">
        <v>59694</v>
      </c>
      <c r="I208" s="419">
        <v>133641</v>
      </c>
      <c r="J208" s="296">
        <f t="shared" si="41"/>
        <v>763052</v>
      </c>
      <c r="K208" s="276">
        <f t="shared" si="37"/>
        <v>556772.90630630625</v>
      </c>
      <c r="L208" s="10">
        <f t="shared" si="42"/>
        <v>206279.09369369375</v>
      </c>
      <c r="M208" s="293">
        <f t="shared" si="43"/>
        <v>-154709.32027027031</v>
      </c>
      <c r="N208" s="10">
        <v>0</v>
      </c>
      <c r="O208" s="10">
        <f t="shared" si="44"/>
        <v>-44602</v>
      </c>
      <c r="P208" s="423">
        <v>-44602</v>
      </c>
      <c r="Q208" s="10">
        <f t="shared" si="38"/>
        <v>69596.613288288281</v>
      </c>
      <c r="R208" s="14">
        <f t="shared" si="45"/>
        <v>0</v>
      </c>
      <c r="S208" s="2">
        <f t="shared" si="46"/>
        <v>0</v>
      </c>
      <c r="T208" s="129">
        <f t="shared" si="47"/>
        <v>-154709.32027027031</v>
      </c>
      <c r="U208" s="418">
        <f t="shared" si="39"/>
        <v>-2.2229432289962419</v>
      </c>
      <c r="V208" s="125"/>
    </row>
    <row r="209" spans="1:22" x14ac:dyDescent="0.25">
      <c r="A209" s="49">
        <f>+'A) Base RI'!A210</f>
        <v>5732</v>
      </c>
      <c r="B209" s="446" t="str">
        <f>+'A) Base RI'!B210</f>
        <v>Vich</v>
      </c>
      <c r="C209" s="296">
        <f>+'D) Ecrêtage'!C209</f>
        <v>86538.031587301579</v>
      </c>
      <c r="D209" s="421">
        <v>100305</v>
      </c>
      <c r="E209" s="421">
        <f t="shared" si="36"/>
        <v>192917</v>
      </c>
      <c r="F209" s="541">
        <f t="shared" si="40"/>
        <v>2.2292741868687047</v>
      </c>
      <c r="G209" s="421">
        <v>293222</v>
      </c>
      <c r="H209" s="421">
        <v>56204</v>
      </c>
      <c r="I209" s="419">
        <v>116173</v>
      </c>
      <c r="J209" s="296">
        <f t="shared" si="41"/>
        <v>465599</v>
      </c>
      <c r="K209" s="276">
        <f t="shared" si="37"/>
        <v>692304.25269841263</v>
      </c>
      <c r="L209" s="10">
        <f t="shared" si="42"/>
        <v>0</v>
      </c>
      <c r="M209" s="293">
        <f t="shared" si="43"/>
        <v>0</v>
      </c>
      <c r="N209" s="10">
        <v>0</v>
      </c>
      <c r="O209" s="10">
        <f t="shared" si="44"/>
        <v>28689</v>
      </c>
      <c r="P209" s="423">
        <v>28689</v>
      </c>
      <c r="Q209" s="10">
        <f t="shared" si="38"/>
        <v>86538.031587301579</v>
      </c>
      <c r="R209" s="14">
        <f t="shared" si="45"/>
        <v>0</v>
      </c>
      <c r="S209" s="2">
        <f t="shared" si="46"/>
        <v>0</v>
      </c>
      <c r="T209" s="129">
        <f t="shared" si="47"/>
        <v>0</v>
      </c>
      <c r="U209" s="418">
        <f t="shared" si="39"/>
        <v>0</v>
      </c>
      <c r="V209" s="125"/>
    </row>
    <row r="210" spans="1:22" x14ac:dyDescent="0.25">
      <c r="A210" s="49">
        <f>+'A) Base RI'!A211</f>
        <v>5741</v>
      </c>
      <c r="B210" s="446" t="str">
        <f>+'A) Base RI'!B211</f>
        <v>L'Abergement</v>
      </c>
      <c r="C210" s="296">
        <f>+'D) Ecrêtage'!C210</f>
        <v>8987.3782921810707</v>
      </c>
      <c r="D210" s="421">
        <v>48647</v>
      </c>
      <c r="E210" s="421">
        <f t="shared" si="36"/>
        <v>121713</v>
      </c>
      <c r="F210" s="541">
        <f t="shared" si="40"/>
        <v>13.542659053963389</v>
      </c>
      <c r="G210" s="421">
        <v>170360</v>
      </c>
      <c r="H210" s="421">
        <v>11275</v>
      </c>
      <c r="I210" s="419">
        <v>26926</v>
      </c>
      <c r="J210" s="296">
        <f t="shared" si="41"/>
        <v>208561</v>
      </c>
      <c r="K210" s="276">
        <f t="shared" si="37"/>
        <v>71899.026337448566</v>
      </c>
      <c r="L210" s="10">
        <f t="shared" si="42"/>
        <v>136661.97366255143</v>
      </c>
      <c r="M210" s="293">
        <f t="shared" si="43"/>
        <v>-102496.48024691358</v>
      </c>
      <c r="N210" s="10">
        <v>0</v>
      </c>
      <c r="O210" s="10">
        <f t="shared" si="44"/>
        <v>17320</v>
      </c>
      <c r="P210" s="423">
        <v>17320</v>
      </c>
      <c r="Q210" s="10">
        <f t="shared" si="38"/>
        <v>8987.3782921810707</v>
      </c>
      <c r="R210" s="14">
        <f t="shared" si="45"/>
        <v>8332.6217078189293</v>
      </c>
      <c r="S210" s="2">
        <f t="shared" si="46"/>
        <v>-6249.466280864197</v>
      </c>
      <c r="T210" s="129">
        <f t="shared" si="47"/>
        <v>-108745.94652777778</v>
      </c>
      <c r="U210" s="418">
        <f t="shared" si="39"/>
        <v>-12.099851924825025</v>
      </c>
      <c r="V210" s="125"/>
    </row>
    <row r="211" spans="1:22" x14ac:dyDescent="0.25">
      <c r="A211" s="49">
        <f>+'A) Base RI'!A212</f>
        <v>5742</v>
      </c>
      <c r="B211" s="446" t="str">
        <f>+'A) Base RI'!B212</f>
        <v>Agiez</v>
      </c>
      <c r="C211" s="296">
        <f>+'D) Ecrêtage'!C211</f>
        <v>10160.069605263159</v>
      </c>
      <c r="D211" s="421">
        <v>0</v>
      </c>
      <c r="E211" s="421">
        <f t="shared" si="36"/>
        <v>76379</v>
      </c>
      <c r="F211" s="541">
        <f t="shared" si="40"/>
        <v>7.5175666080509771</v>
      </c>
      <c r="G211" s="421">
        <v>76379</v>
      </c>
      <c r="H211" s="421">
        <v>16604</v>
      </c>
      <c r="I211" s="419">
        <v>46299</v>
      </c>
      <c r="J211" s="296">
        <f t="shared" si="41"/>
        <v>139282</v>
      </c>
      <c r="K211" s="276">
        <f t="shared" si="37"/>
        <v>81280.556842105274</v>
      </c>
      <c r="L211" s="10">
        <f t="shared" si="42"/>
        <v>58001.443157894726</v>
      </c>
      <c r="M211" s="293">
        <f t="shared" si="43"/>
        <v>-43501.082368421048</v>
      </c>
      <c r="N211" s="10">
        <v>0</v>
      </c>
      <c r="O211" s="10">
        <f t="shared" si="44"/>
        <v>21330</v>
      </c>
      <c r="P211" s="423">
        <v>21330</v>
      </c>
      <c r="Q211" s="10">
        <f t="shared" si="38"/>
        <v>10160.069605263159</v>
      </c>
      <c r="R211" s="14">
        <f t="shared" si="45"/>
        <v>11169.930394736841</v>
      </c>
      <c r="S211" s="2">
        <f t="shared" si="46"/>
        <v>-8377.447796052631</v>
      </c>
      <c r="T211" s="129">
        <f t="shared" si="47"/>
        <v>-51878.530164473676</v>
      </c>
      <c r="U211" s="418">
        <f t="shared" si="39"/>
        <v>-5.1061195621730144</v>
      </c>
      <c r="V211" s="125"/>
    </row>
    <row r="212" spans="1:22" x14ac:dyDescent="0.25">
      <c r="A212" s="49">
        <f>+'A) Base RI'!A213</f>
        <v>5743</v>
      </c>
      <c r="B212" s="446" t="str">
        <f>+'A) Base RI'!B213</f>
        <v>Arnex-sur-Orbe</v>
      </c>
      <c r="C212" s="296">
        <f>+'D) Ecrêtage'!C212</f>
        <v>18533.117816901413</v>
      </c>
      <c r="D212" s="421">
        <v>52311</v>
      </c>
      <c r="E212" s="421">
        <f t="shared" si="36"/>
        <v>83626</v>
      </c>
      <c r="F212" s="541">
        <f t="shared" si="40"/>
        <v>4.5122467156463362</v>
      </c>
      <c r="G212" s="421">
        <v>135937</v>
      </c>
      <c r="H212" s="421">
        <v>70139</v>
      </c>
      <c r="I212" s="419">
        <v>76133</v>
      </c>
      <c r="J212" s="296">
        <f t="shared" si="41"/>
        <v>282209</v>
      </c>
      <c r="K212" s="276">
        <f t="shared" si="37"/>
        <v>148264.9425352113</v>
      </c>
      <c r="L212" s="10">
        <f t="shared" si="42"/>
        <v>133944.0574647887</v>
      </c>
      <c r="M212" s="293">
        <f t="shared" si="43"/>
        <v>-100458.04309859153</v>
      </c>
      <c r="N212" s="10">
        <v>0</v>
      </c>
      <c r="O212" s="10">
        <f t="shared" si="44"/>
        <v>7592</v>
      </c>
      <c r="P212" s="423">
        <v>7592</v>
      </c>
      <c r="Q212" s="10">
        <f t="shared" si="38"/>
        <v>18533.117816901413</v>
      </c>
      <c r="R212" s="14">
        <f t="shared" si="45"/>
        <v>0</v>
      </c>
      <c r="S212" s="2">
        <f t="shared" si="46"/>
        <v>0</v>
      </c>
      <c r="T212" s="129">
        <f t="shared" si="47"/>
        <v>-100458.04309859153</v>
      </c>
      <c r="U212" s="418">
        <f t="shared" si="39"/>
        <v>-5.4204610412058178</v>
      </c>
      <c r="V212" s="125"/>
    </row>
    <row r="213" spans="1:22" x14ac:dyDescent="0.25">
      <c r="A213" s="49">
        <f>+'A) Base RI'!A214</f>
        <v>5744</v>
      </c>
      <c r="B213" s="446" t="str">
        <f>+'A) Base RI'!B214</f>
        <v>Ballaigues</v>
      </c>
      <c r="C213" s="296">
        <f>+'D) Ecrêtage'!C213</f>
        <v>49245.2596923077</v>
      </c>
      <c r="D213" s="421">
        <v>201165</v>
      </c>
      <c r="E213" s="421">
        <f t="shared" si="36"/>
        <v>483060</v>
      </c>
      <c r="F213" s="541">
        <f t="shared" si="40"/>
        <v>9.809269014281508</v>
      </c>
      <c r="G213" s="421">
        <v>684225</v>
      </c>
      <c r="H213" s="421">
        <v>50342</v>
      </c>
      <c r="I213" s="419">
        <v>133444</v>
      </c>
      <c r="J213" s="296">
        <f t="shared" si="41"/>
        <v>868011</v>
      </c>
      <c r="K213" s="276">
        <f t="shared" si="37"/>
        <v>393962.0775384616</v>
      </c>
      <c r="L213" s="10">
        <f t="shared" si="42"/>
        <v>474048.9224615384</v>
      </c>
      <c r="M213" s="293">
        <f t="shared" si="43"/>
        <v>-355536.69184615382</v>
      </c>
      <c r="N213" s="10">
        <v>0</v>
      </c>
      <c r="O213" s="10">
        <f t="shared" si="44"/>
        <v>102658</v>
      </c>
      <c r="P213" s="423">
        <v>102658</v>
      </c>
      <c r="Q213" s="10">
        <f t="shared" si="38"/>
        <v>49245.2596923077</v>
      </c>
      <c r="R213" s="14">
        <f t="shared" si="45"/>
        <v>53412.7403076923</v>
      </c>
      <c r="S213" s="2">
        <f t="shared" si="46"/>
        <v>-40059.555230769227</v>
      </c>
      <c r="T213" s="129">
        <f t="shared" si="47"/>
        <v>-395596.24707692303</v>
      </c>
      <c r="U213" s="418">
        <f t="shared" si="39"/>
        <v>-8.0331843013656954</v>
      </c>
      <c r="V213" s="125"/>
    </row>
    <row r="214" spans="1:22" x14ac:dyDescent="0.25">
      <c r="A214" s="49">
        <f>+'A) Base RI'!A215</f>
        <v>5745</v>
      </c>
      <c r="B214" s="446" t="str">
        <f>+'A) Base RI'!B215</f>
        <v>Baulmes</v>
      </c>
      <c r="C214" s="296">
        <f>+'D) Ecrêtage'!C214</f>
        <v>28471.572156862745</v>
      </c>
      <c r="D214" s="421">
        <v>25126</v>
      </c>
      <c r="E214" s="421">
        <f t="shared" si="36"/>
        <v>245533</v>
      </c>
      <c r="F214" s="541">
        <f t="shared" si="40"/>
        <v>8.6237949435053274</v>
      </c>
      <c r="G214" s="421">
        <v>270659</v>
      </c>
      <c r="H214" s="421">
        <v>118258</v>
      </c>
      <c r="I214" s="419">
        <v>99257</v>
      </c>
      <c r="J214" s="296">
        <f t="shared" si="41"/>
        <v>488174</v>
      </c>
      <c r="K214" s="276">
        <f t="shared" si="37"/>
        <v>227772.57725490196</v>
      </c>
      <c r="L214" s="10">
        <f t="shared" si="42"/>
        <v>260401.42274509804</v>
      </c>
      <c r="M214" s="293">
        <f t="shared" si="43"/>
        <v>-195301.06705882354</v>
      </c>
      <c r="N214" s="10">
        <v>0</v>
      </c>
      <c r="O214" s="10">
        <f t="shared" si="44"/>
        <v>350664</v>
      </c>
      <c r="P214" s="423">
        <v>350664</v>
      </c>
      <c r="Q214" s="10">
        <f t="shared" si="38"/>
        <v>28471.572156862745</v>
      </c>
      <c r="R214" s="14">
        <f t="shared" si="45"/>
        <v>322192.42784313724</v>
      </c>
      <c r="S214" s="2">
        <f t="shared" si="46"/>
        <v>-241644.32088235294</v>
      </c>
      <c r="T214" s="129">
        <f t="shared" si="47"/>
        <v>-436945.38794117648</v>
      </c>
      <c r="U214" s="418">
        <f t="shared" si="39"/>
        <v>-15.346724990592268</v>
      </c>
      <c r="V214" s="125"/>
    </row>
    <row r="215" spans="1:22" x14ac:dyDescent="0.25">
      <c r="A215" s="49">
        <f>+'A) Base RI'!A216</f>
        <v>5746</v>
      </c>
      <c r="B215" s="446" t="str">
        <f>+'A) Base RI'!B216</f>
        <v>Bavois</v>
      </c>
      <c r="C215" s="296">
        <f>+'D) Ecrêtage'!C215</f>
        <v>27408.124908675796</v>
      </c>
      <c r="D215" s="421">
        <v>79205</v>
      </c>
      <c r="E215" s="421">
        <f t="shared" si="36"/>
        <v>129678</v>
      </c>
      <c r="F215" s="541">
        <f t="shared" si="40"/>
        <v>4.7313707315654998</v>
      </c>
      <c r="G215" s="421">
        <v>208883</v>
      </c>
      <c r="H215" s="421">
        <v>109448</v>
      </c>
      <c r="I215" s="419">
        <v>137690</v>
      </c>
      <c r="J215" s="296">
        <f t="shared" si="41"/>
        <v>456021</v>
      </c>
      <c r="K215" s="276">
        <f t="shared" si="37"/>
        <v>219264.99926940637</v>
      </c>
      <c r="L215" s="10">
        <f t="shared" si="42"/>
        <v>236756.00073059363</v>
      </c>
      <c r="M215" s="293">
        <f t="shared" si="43"/>
        <v>-177567.00054794521</v>
      </c>
      <c r="N215" s="10">
        <v>0</v>
      </c>
      <c r="O215" s="10">
        <f t="shared" si="44"/>
        <v>44755</v>
      </c>
      <c r="P215" s="423">
        <v>44755</v>
      </c>
      <c r="Q215" s="10">
        <f t="shared" si="38"/>
        <v>27408.124908675796</v>
      </c>
      <c r="R215" s="14">
        <f t="shared" si="45"/>
        <v>17346.875091324204</v>
      </c>
      <c r="S215" s="2">
        <f t="shared" si="46"/>
        <v>-13010.156318493153</v>
      </c>
      <c r="T215" s="129">
        <f t="shared" si="47"/>
        <v>-190577.15686643837</v>
      </c>
      <c r="U215" s="418">
        <f t="shared" si="39"/>
        <v>-6.9533088272708827</v>
      </c>
      <c r="V215" s="125"/>
    </row>
    <row r="216" spans="1:22" x14ac:dyDescent="0.25">
      <c r="A216" s="49">
        <f>+'A) Base RI'!A217</f>
        <v>5747</v>
      </c>
      <c r="B216" s="446" t="str">
        <f>+'A) Base RI'!B217</f>
        <v>Bofflens</v>
      </c>
      <c r="C216" s="296">
        <f>+'D) Ecrêtage'!C216</f>
        <v>5808.1759420289845</v>
      </c>
      <c r="D216" s="421">
        <v>27812</v>
      </c>
      <c r="E216" s="421">
        <f t="shared" si="36"/>
        <v>16379</v>
      </c>
      <c r="F216" s="541">
        <f t="shared" si="40"/>
        <v>2.8199903314702763</v>
      </c>
      <c r="G216" s="421">
        <v>44191</v>
      </c>
      <c r="H216" s="421">
        <v>9073</v>
      </c>
      <c r="I216" s="419">
        <v>24463</v>
      </c>
      <c r="J216" s="296">
        <f t="shared" si="41"/>
        <v>77727</v>
      </c>
      <c r="K216" s="276">
        <f t="shared" si="37"/>
        <v>46465.407536231876</v>
      </c>
      <c r="L216" s="10">
        <f t="shared" si="42"/>
        <v>31261.592463768124</v>
      </c>
      <c r="M216" s="293">
        <f t="shared" si="43"/>
        <v>-23446.194347826095</v>
      </c>
      <c r="N216" s="10">
        <v>0</v>
      </c>
      <c r="O216" s="10">
        <f t="shared" si="44"/>
        <v>4296</v>
      </c>
      <c r="P216" s="423">
        <v>4296</v>
      </c>
      <c r="Q216" s="10">
        <f t="shared" si="38"/>
        <v>5808.1759420289845</v>
      </c>
      <c r="R216" s="14">
        <f t="shared" si="45"/>
        <v>0</v>
      </c>
      <c r="S216" s="2">
        <f t="shared" si="46"/>
        <v>0</v>
      </c>
      <c r="T216" s="129">
        <f t="shared" si="47"/>
        <v>-23446.194347826095</v>
      </c>
      <c r="U216" s="418">
        <f t="shared" si="39"/>
        <v>-4.0367569064437774</v>
      </c>
      <c r="V216" s="125"/>
    </row>
    <row r="217" spans="1:22" x14ac:dyDescent="0.25">
      <c r="A217" s="49">
        <f>+'A) Base RI'!A218</f>
        <v>5748</v>
      </c>
      <c r="B217" s="446" t="str">
        <f>+'A) Base RI'!B218</f>
        <v>Bretonnières</v>
      </c>
      <c r="C217" s="296">
        <f>+'D) Ecrêtage'!C217</f>
        <v>6643.6153664302601</v>
      </c>
      <c r="D217" s="421">
        <v>43353</v>
      </c>
      <c r="E217" s="421">
        <f t="shared" si="36"/>
        <v>19537</v>
      </c>
      <c r="F217" s="541">
        <f t="shared" si="40"/>
        <v>2.9407181063971799</v>
      </c>
      <c r="G217" s="421">
        <v>62890</v>
      </c>
      <c r="H217" s="421">
        <v>29509</v>
      </c>
      <c r="I217" s="419">
        <v>37614</v>
      </c>
      <c r="J217" s="296">
        <f t="shared" si="41"/>
        <v>130013</v>
      </c>
      <c r="K217" s="276">
        <f t="shared" si="37"/>
        <v>53148.922931442081</v>
      </c>
      <c r="L217" s="10">
        <f t="shared" si="42"/>
        <v>76864.077068557919</v>
      </c>
      <c r="M217" s="293">
        <f t="shared" si="43"/>
        <v>-57648.057801418443</v>
      </c>
      <c r="N217" s="10">
        <v>0</v>
      </c>
      <c r="O217" s="10">
        <f t="shared" si="44"/>
        <v>4161</v>
      </c>
      <c r="P217" s="423">
        <v>4161</v>
      </c>
      <c r="Q217" s="10">
        <f t="shared" si="38"/>
        <v>6643.6153664302601</v>
      </c>
      <c r="R217" s="14">
        <f t="shared" si="45"/>
        <v>0</v>
      </c>
      <c r="S217" s="2">
        <f t="shared" si="46"/>
        <v>0</v>
      </c>
      <c r="T217" s="129">
        <f t="shared" si="47"/>
        <v>-57648.057801418443</v>
      </c>
      <c r="U217" s="418">
        <f t="shared" si="39"/>
        <v>-8.6772118224529056</v>
      </c>
      <c r="V217" s="125"/>
    </row>
    <row r="218" spans="1:22" x14ac:dyDescent="0.25">
      <c r="A218" s="49">
        <f>+'A) Base RI'!A219</f>
        <v>5749</v>
      </c>
      <c r="B218" s="446" t="str">
        <f>+'A) Base RI'!B219</f>
        <v>Chavornay</v>
      </c>
      <c r="C218" s="296">
        <f>+'D) Ecrêtage'!C218</f>
        <v>153338.61687943264</v>
      </c>
      <c r="D218" s="421">
        <v>340214</v>
      </c>
      <c r="E218" s="421">
        <f t="shared" si="36"/>
        <v>354234</v>
      </c>
      <c r="F218" s="541">
        <f t="shared" si="40"/>
        <v>2.3101421364621264</v>
      </c>
      <c r="G218" s="421">
        <v>694448</v>
      </c>
      <c r="H218" s="421">
        <v>575538</v>
      </c>
      <c r="I218" s="419">
        <v>755929</v>
      </c>
      <c r="J218" s="296">
        <f t="shared" si="41"/>
        <v>2025915</v>
      </c>
      <c r="K218" s="276">
        <f t="shared" si="37"/>
        <v>1226708.9350354611</v>
      </c>
      <c r="L218" s="10">
        <f t="shared" si="42"/>
        <v>799206.06496453891</v>
      </c>
      <c r="M218" s="293">
        <f t="shared" si="43"/>
        <v>-599404.54872340418</v>
      </c>
      <c r="N218" s="10">
        <v>2488</v>
      </c>
      <c r="O218" s="10">
        <f t="shared" si="44"/>
        <v>196804</v>
      </c>
      <c r="P218" s="423">
        <v>199292</v>
      </c>
      <c r="Q218" s="10">
        <f t="shared" si="38"/>
        <v>153338.61687943264</v>
      </c>
      <c r="R218" s="14">
        <f t="shared" si="45"/>
        <v>45953.383120567363</v>
      </c>
      <c r="S218" s="2">
        <f t="shared" si="46"/>
        <v>-34465.037340425522</v>
      </c>
      <c r="T218" s="129">
        <f t="shared" si="47"/>
        <v>-633869.58606382972</v>
      </c>
      <c r="U218" s="418">
        <f t="shared" si="39"/>
        <v>-4.1337896412762731</v>
      </c>
      <c r="V218" s="125"/>
    </row>
    <row r="219" spans="1:22" x14ac:dyDescent="0.25">
      <c r="A219" s="49">
        <f>+'A) Base RI'!A220</f>
        <v>5750</v>
      </c>
      <c r="B219" s="446" t="str">
        <f>+'A) Base RI'!B220</f>
        <v>Les Clées</v>
      </c>
      <c r="C219" s="296">
        <f>+'D) Ecrêtage'!C219</f>
        <v>4819.774166666667</v>
      </c>
      <c r="D219" s="421">
        <v>41206</v>
      </c>
      <c r="E219" s="421">
        <f t="shared" si="36"/>
        <v>22301</v>
      </c>
      <c r="F219" s="541">
        <f t="shared" si="40"/>
        <v>4.6269802751823255</v>
      </c>
      <c r="G219" s="421">
        <v>63507</v>
      </c>
      <c r="H219" s="421">
        <v>0</v>
      </c>
      <c r="I219" s="419">
        <v>17081</v>
      </c>
      <c r="J219" s="296">
        <f t="shared" si="41"/>
        <v>80588</v>
      </c>
      <c r="K219" s="276">
        <f t="shared" si="37"/>
        <v>38558.193333333336</v>
      </c>
      <c r="L219" s="10">
        <f t="shared" si="42"/>
        <v>42029.806666666664</v>
      </c>
      <c r="M219" s="293">
        <f t="shared" si="43"/>
        <v>-31522.354999999996</v>
      </c>
      <c r="N219" s="10">
        <v>0</v>
      </c>
      <c r="O219" s="10">
        <f t="shared" si="44"/>
        <v>23780</v>
      </c>
      <c r="P219" s="423">
        <v>23780</v>
      </c>
      <c r="Q219" s="10">
        <f t="shared" si="38"/>
        <v>4819.774166666667</v>
      </c>
      <c r="R219" s="14">
        <f t="shared" si="45"/>
        <v>18960.225833333334</v>
      </c>
      <c r="S219" s="2">
        <f t="shared" si="46"/>
        <v>-14220.169375000001</v>
      </c>
      <c r="T219" s="129">
        <f t="shared" si="47"/>
        <v>-45742.524374999994</v>
      </c>
      <c r="U219" s="418">
        <f t="shared" si="39"/>
        <v>-9.4905949518035833</v>
      </c>
      <c r="V219" s="125"/>
    </row>
    <row r="220" spans="1:22" x14ac:dyDescent="0.25">
      <c r="A220" s="49">
        <f>+'A) Base RI'!A221</f>
        <v>5752</v>
      </c>
      <c r="B220" s="446" t="str">
        <f>+'A) Base RI'!B221</f>
        <v>Croy</v>
      </c>
      <c r="C220" s="296">
        <f>+'D) Ecrêtage'!C220</f>
        <v>9670.9952316602321</v>
      </c>
      <c r="D220" s="421">
        <v>25940</v>
      </c>
      <c r="E220" s="421">
        <f t="shared" si="36"/>
        <v>-125383</v>
      </c>
      <c r="F220" s="541">
        <f t="shared" si="40"/>
        <v>-12.964849738476744</v>
      </c>
      <c r="G220" s="421">
        <v>-99443</v>
      </c>
      <c r="H220" s="421">
        <v>43713</v>
      </c>
      <c r="I220" s="419">
        <v>38066</v>
      </c>
      <c r="J220" s="296">
        <f t="shared" si="41"/>
        <v>-17664</v>
      </c>
      <c r="K220" s="276">
        <f t="shared" si="37"/>
        <v>77367.961853281857</v>
      </c>
      <c r="L220" s="10">
        <f t="shared" si="42"/>
        <v>0</v>
      </c>
      <c r="M220" s="293">
        <f t="shared" si="43"/>
        <v>0</v>
      </c>
      <c r="N220" s="10">
        <v>0</v>
      </c>
      <c r="O220" s="10">
        <f t="shared" si="44"/>
        <v>2879</v>
      </c>
      <c r="P220" s="423">
        <v>2879</v>
      </c>
      <c r="Q220" s="10">
        <f t="shared" si="38"/>
        <v>9670.9952316602321</v>
      </c>
      <c r="R220" s="14">
        <f t="shared" si="45"/>
        <v>0</v>
      </c>
      <c r="S220" s="2">
        <f t="shared" si="46"/>
        <v>0</v>
      </c>
      <c r="T220" s="129">
        <f t="shared" si="47"/>
        <v>0</v>
      </c>
      <c r="U220" s="418">
        <f t="shared" si="39"/>
        <v>0</v>
      </c>
      <c r="V220" s="125"/>
    </row>
    <row r="221" spans="1:22" x14ac:dyDescent="0.25">
      <c r="A221" s="49">
        <f>+'A) Base RI'!A222</f>
        <v>5754</v>
      </c>
      <c r="B221" s="446" t="str">
        <f>+'A) Base RI'!B222</f>
        <v>Juriens</v>
      </c>
      <c r="C221" s="296">
        <f>+'D) Ecrêtage'!C221</f>
        <v>9073.6935443037964</v>
      </c>
      <c r="D221" s="421">
        <v>29669</v>
      </c>
      <c r="E221" s="421">
        <f t="shared" si="36"/>
        <v>42246</v>
      </c>
      <c r="F221" s="541">
        <f t="shared" si="40"/>
        <v>4.6558768811980453</v>
      </c>
      <c r="G221" s="421">
        <v>71915</v>
      </c>
      <c r="H221" s="421">
        <v>14799</v>
      </c>
      <c r="I221" s="419">
        <v>36537</v>
      </c>
      <c r="J221" s="296">
        <f t="shared" si="41"/>
        <v>123251</v>
      </c>
      <c r="K221" s="276">
        <f t="shared" si="37"/>
        <v>72589.548354430372</v>
      </c>
      <c r="L221" s="10">
        <f t="shared" si="42"/>
        <v>50661.451645569628</v>
      </c>
      <c r="M221" s="293">
        <f t="shared" si="43"/>
        <v>-37996.088734177218</v>
      </c>
      <c r="N221" s="10">
        <v>0</v>
      </c>
      <c r="O221" s="10">
        <f t="shared" si="44"/>
        <v>10618</v>
      </c>
      <c r="P221" s="423">
        <v>10618</v>
      </c>
      <c r="Q221" s="10">
        <f t="shared" si="38"/>
        <v>9073.6935443037964</v>
      </c>
      <c r="R221" s="14">
        <f t="shared" si="45"/>
        <v>1544.3064556962036</v>
      </c>
      <c r="S221" s="2">
        <f t="shared" si="46"/>
        <v>-1158.2298417721527</v>
      </c>
      <c r="T221" s="129">
        <f t="shared" si="47"/>
        <v>-39154.318575949372</v>
      </c>
      <c r="U221" s="418">
        <f t="shared" si="39"/>
        <v>-4.3151466803206429</v>
      </c>
      <c r="V221" s="125"/>
    </row>
    <row r="222" spans="1:22" x14ac:dyDescent="0.25">
      <c r="A222" s="49">
        <f>+'A) Base RI'!A223</f>
        <v>5755</v>
      </c>
      <c r="B222" s="446" t="str">
        <f>+'A) Base RI'!B223</f>
        <v>Lignerolle</v>
      </c>
      <c r="C222" s="296">
        <f>+'D) Ecrêtage'!C222</f>
        <v>10746.718034576888</v>
      </c>
      <c r="D222" s="421">
        <v>18575</v>
      </c>
      <c r="E222" s="421">
        <f t="shared" si="36"/>
        <v>322022</v>
      </c>
      <c r="F222" s="541">
        <f t="shared" si="40"/>
        <v>29.964683074768921</v>
      </c>
      <c r="G222" s="421">
        <v>340597</v>
      </c>
      <c r="H222" s="421">
        <v>19159</v>
      </c>
      <c r="I222" s="419">
        <v>49667</v>
      </c>
      <c r="J222" s="296">
        <f t="shared" si="41"/>
        <v>409423</v>
      </c>
      <c r="K222" s="276">
        <f t="shared" si="37"/>
        <v>85973.744276615107</v>
      </c>
      <c r="L222" s="10">
        <f t="shared" si="42"/>
        <v>323449.25572338491</v>
      </c>
      <c r="M222" s="293">
        <f t="shared" si="43"/>
        <v>-242586.94179253868</v>
      </c>
      <c r="N222" s="10">
        <v>0</v>
      </c>
      <c r="O222" s="10">
        <f t="shared" si="44"/>
        <v>75028</v>
      </c>
      <c r="P222" s="423">
        <v>75028</v>
      </c>
      <c r="Q222" s="10">
        <f t="shared" si="38"/>
        <v>10746.718034576888</v>
      </c>
      <c r="R222" s="14">
        <f t="shared" si="45"/>
        <v>64281.281965423113</v>
      </c>
      <c r="S222" s="2">
        <f t="shared" si="46"/>
        <v>-48210.961474067335</v>
      </c>
      <c r="T222" s="129">
        <f t="shared" si="47"/>
        <v>-290797.90326660604</v>
      </c>
      <c r="U222" s="418">
        <f t="shared" si="39"/>
        <v>-27.059228904208904</v>
      </c>
      <c r="V222" s="125"/>
    </row>
    <row r="223" spans="1:22" x14ac:dyDescent="0.25">
      <c r="A223" s="49">
        <f>+'A) Base RI'!A224</f>
        <v>5756</v>
      </c>
      <c r="B223" s="446" t="str">
        <f>+'A) Base RI'!B224</f>
        <v>Montcherand</v>
      </c>
      <c r="C223" s="296">
        <f>+'D) Ecrêtage'!C223</f>
        <v>17739.52444444444</v>
      </c>
      <c r="D223" s="421">
        <v>59848</v>
      </c>
      <c r="E223" s="421">
        <f t="shared" si="36"/>
        <v>39149</v>
      </c>
      <c r="F223" s="541">
        <f t="shared" si="40"/>
        <v>2.2068799038330735</v>
      </c>
      <c r="G223" s="421">
        <v>98997</v>
      </c>
      <c r="H223" s="421">
        <v>22886</v>
      </c>
      <c r="I223" s="419">
        <v>66810</v>
      </c>
      <c r="J223" s="296">
        <f t="shared" si="41"/>
        <v>188693</v>
      </c>
      <c r="K223" s="276">
        <f t="shared" si="37"/>
        <v>141916.19555555552</v>
      </c>
      <c r="L223" s="10">
        <f t="shared" si="42"/>
        <v>46776.804444444482</v>
      </c>
      <c r="M223" s="293">
        <f t="shared" si="43"/>
        <v>-35082.603333333362</v>
      </c>
      <c r="N223" s="10">
        <v>0</v>
      </c>
      <c r="O223" s="10">
        <f t="shared" si="44"/>
        <v>15011</v>
      </c>
      <c r="P223" s="423">
        <v>15011</v>
      </c>
      <c r="Q223" s="10">
        <f t="shared" si="38"/>
        <v>17739.52444444444</v>
      </c>
      <c r="R223" s="14">
        <f t="shared" si="45"/>
        <v>0</v>
      </c>
      <c r="S223" s="2">
        <f t="shared" si="46"/>
        <v>0</v>
      </c>
      <c r="T223" s="129">
        <f t="shared" si="47"/>
        <v>-35082.603333333362</v>
      </c>
      <c r="U223" s="418">
        <f t="shared" si="39"/>
        <v>-1.9776518498679554</v>
      </c>
      <c r="V223" s="125"/>
    </row>
    <row r="224" spans="1:22" x14ac:dyDescent="0.25">
      <c r="A224" s="49">
        <f>+'A) Base RI'!A225</f>
        <v>5757</v>
      </c>
      <c r="B224" s="446" t="str">
        <f>+'A) Base RI'!B225</f>
        <v>Orbe</v>
      </c>
      <c r="C224" s="296">
        <f>+'D) Ecrêtage'!C224</f>
        <v>216184.82317880794</v>
      </c>
      <c r="D224" s="421">
        <v>726976</v>
      </c>
      <c r="E224" s="421">
        <f t="shared" si="36"/>
        <v>1804452</v>
      </c>
      <c r="F224" s="541">
        <f t="shared" si="40"/>
        <v>8.3468023955942794</v>
      </c>
      <c r="G224" s="421">
        <v>2531428</v>
      </c>
      <c r="H224" s="421">
        <v>976334</v>
      </c>
      <c r="I224" s="419">
        <v>876025</v>
      </c>
      <c r="J224" s="296">
        <f t="shared" si="41"/>
        <v>4383787</v>
      </c>
      <c r="K224" s="276">
        <f t="shared" si="37"/>
        <v>1729478.5854304635</v>
      </c>
      <c r="L224" s="10">
        <f t="shared" si="42"/>
        <v>2654308.4145695362</v>
      </c>
      <c r="M224" s="293">
        <f t="shared" si="43"/>
        <v>-1990731.3109271522</v>
      </c>
      <c r="N224" s="10">
        <v>0</v>
      </c>
      <c r="O224" s="10">
        <f t="shared" si="44"/>
        <v>127080</v>
      </c>
      <c r="P224" s="423">
        <v>127080</v>
      </c>
      <c r="Q224" s="10">
        <f t="shared" si="38"/>
        <v>216184.82317880794</v>
      </c>
      <c r="R224" s="14">
        <f t="shared" si="45"/>
        <v>0</v>
      </c>
      <c r="S224" s="2">
        <f t="shared" si="46"/>
        <v>0</v>
      </c>
      <c r="T224" s="129">
        <f t="shared" si="47"/>
        <v>-1990731.3109271522</v>
      </c>
      <c r="U224" s="418">
        <f t="shared" si="39"/>
        <v>-9.2084693164635549</v>
      </c>
      <c r="V224" s="125"/>
    </row>
    <row r="225" spans="1:22" x14ac:dyDescent="0.25">
      <c r="A225" s="49">
        <f>+'A) Base RI'!A226</f>
        <v>5758</v>
      </c>
      <c r="B225" s="446" t="str">
        <f>+'A) Base RI'!B226</f>
        <v>La Praz</v>
      </c>
      <c r="C225" s="296">
        <f>+'D) Ecrêtage'!C225</f>
        <v>4771.8661445783146</v>
      </c>
      <c r="D225" s="421">
        <v>26670</v>
      </c>
      <c r="E225" s="421">
        <f t="shared" si="36"/>
        <v>36609</v>
      </c>
      <c r="F225" s="541">
        <f t="shared" si="40"/>
        <v>7.6718413490274262</v>
      </c>
      <c r="G225" s="421">
        <v>63279</v>
      </c>
      <c r="H225" s="421">
        <v>7708</v>
      </c>
      <c r="I225" s="419">
        <v>20507</v>
      </c>
      <c r="J225" s="296">
        <f t="shared" si="41"/>
        <v>91494</v>
      </c>
      <c r="K225" s="276">
        <f t="shared" si="37"/>
        <v>38174.929156626516</v>
      </c>
      <c r="L225" s="10">
        <f t="shared" si="42"/>
        <v>53319.070843373484</v>
      </c>
      <c r="M225" s="293">
        <f t="shared" si="43"/>
        <v>-39989.303132530113</v>
      </c>
      <c r="N225" s="10">
        <v>0</v>
      </c>
      <c r="O225" s="10">
        <f t="shared" si="44"/>
        <v>556</v>
      </c>
      <c r="P225" s="423">
        <v>556</v>
      </c>
      <c r="Q225" s="10">
        <f t="shared" si="38"/>
        <v>4771.8661445783146</v>
      </c>
      <c r="R225" s="14">
        <f t="shared" si="45"/>
        <v>0</v>
      </c>
      <c r="S225" s="2">
        <f t="shared" si="46"/>
        <v>0</v>
      </c>
      <c r="T225" s="129">
        <f t="shared" si="47"/>
        <v>-39989.303132530113</v>
      </c>
      <c r="U225" s="418">
        <f t="shared" si="39"/>
        <v>-8.3802231497974944</v>
      </c>
      <c r="V225" s="125"/>
    </row>
    <row r="226" spans="1:22" x14ac:dyDescent="0.25">
      <c r="A226" s="49">
        <f>+'A) Base RI'!A227</f>
        <v>5759</v>
      </c>
      <c r="B226" s="446" t="str">
        <f>+'A) Base RI'!B227</f>
        <v>Premier</v>
      </c>
      <c r="C226" s="296">
        <f>+'D) Ecrêtage'!C226</f>
        <v>5900.0572327044019</v>
      </c>
      <c r="D226" s="421">
        <v>47488</v>
      </c>
      <c r="E226" s="421">
        <f t="shared" si="36"/>
        <v>38579</v>
      </c>
      <c r="F226" s="541">
        <f t="shared" si="40"/>
        <v>6.5387501304485802</v>
      </c>
      <c r="G226" s="421">
        <v>86067</v>
      </c>
      <c r="H226" s="421">
        <v>9602</v>
      </c>
      <c r="I226" s="419">
        <v>32553</v>
      </c>
      <c r="J226" s="296">
        <f t="shared" si="41"/>
        <v>128222</v>
      </c>
      <c r="K226" s="276">
        <f t="shared" si="37"/>
        <v>47200.457861635216</v>
      </c>
      <c r="L226" s="10">
        <f t="shared" si="42"/>
        <v>81021.542138364777</v>
      </c>
      <c r="M226" s="293">
        <f t="shared" si="43"/>
        <v>-60766.156603773583</v>
      </c>
      <c r="N226" s="10">
        <v>0</v>
      </c>
      <c r="O226" s="10">
        <f t="shared" si="44"/>
        <v>22007</v>
      </c>
      <c r="P226" s="423">
        <v>22007</v>
      </c>
      <c r="Q226" s="10">
        <f t="shared" si="38"/>
        <v>5900.0572327044019</v>
      </c>
      <c r="R226" s="14">
        <f t="shared" si="45"/>
        <v>16106.942767295597</v>
      </c>
      <c r="S226" s="2">
        <f t="shared" si="46"/>
        <v>-12080.207075471699</v>
      </c>
      <c r="T226" s="129">
        <f t="shared" si="47"/>
        <v>-72846.363679245289</v>
      </c>
      <c r="U226" s="418">
        <f t="shared" si="39"/>
        <v>-12.346721532708724</v>
      </c>
      <c r="V226" s="125"/>
    </row>
    <row r="227" spans="1:22" x14ac:dyDescent="0.25">
      <c r="A227" s="49">
        <f>+'A) Base RI'!A228</f>
        <v>5760</v>
      </c>
      <c r="B227" s="446" t="str">
        <f>+'A) Base RI'!B228</f>
        <v>Rances</v>
      </c>
      <c r="C227" s="296">
        <f>+'D) Ecrêtage'!C227</f>
        <v>14481.892461873636</v>
      </c>
      <c r="D227" s="421">
        <v>4833</v>
      </c>
      <c r="E227" s="421">
        <f t="shared" si="36"/>
        <v>101787</v>
      </c>
      <c r="F227" s="541">
        <f t="shared" si="40"/>
        <v>7.0285703521120482</v>
      </c>
      <c r="G227" s="421">
        <v>106620</v>
      </c>
      <c r="H227" s="421">
        <v>33891</v>
      </c>
      <c r="I227" s="419">
        <v>53851</v>
      </c>
      <c r="J227" s="296">
        <f t="shared" si="41"/>
        <v>194362</v>
      </c>
      <c r="K227" s="276">
        <f t="shared" si="37"/>
        <v>115855.13969498909</v>
      </c>
      <c r="L227" s="10">
        <f t="shared" si="42"/>
        <v>78506.860305010909</v>
      </c>
      <c r="M227" s="293">
        <f t="shared" si="43"/>
        <v>-58880.145228758178</v>
      </c>
      <c r="N227" s="10">
        <v>0</v>
      </c>
      <c r="O227" s="10">
        <f t="shared" si="44"/>
        <v>106000</v>
      </c>
      <c r="P227" s="423">
        <v>106000</v>
      </c>
      <c r="Q227" s="10">
        <f t="shared" si="38"/>
        <v>14481.892461873636</v>
      </c>
      <c r="R227" s="14">
        <f t="shared" si="45"/>
        <v>91518.107538126365</v>
      </c>
      <c r="S227" s="2">
        <f t="shared" si="46"/>
        <v>-68638.580653594778</v>
      </c>
      <c r="T227" s="129">
        <f t="shared" si="47"/>
        <v>-127518.72588235296</v>
      </c>
      <c r="U227" s="418">
        <f t="shared" si="39"/>
        <v>-8.8053910231739732</v>
      </c>
      <c r="V227" s="125"/>
    </row>
    <row r="228" spans="1:22" x14ac:dyDescent="0.25">
      <c r="A228" s="49">
        <f>+'A) Base RI'!A229</f>
        <v>5761</v>
      </c>
      <c r="B228" s="446" t="str">
        <f>+'A) Base RI'!B229</f>
        <v>Romainmôtier-Envy</v>
      </c>
      <c r="C228" s="296">
        <f>+'D) Ecrêtage'!C228</f>
        <v>12913.984792368126</v>
      </c>
      <c r="D228" s="421">
        <v>5677</v>
      </c>
      <c r="E228" s="421">
        <f t="shared" si="36"/>
        <v>187182</v>
      </c>
      <c r="F228" s="541">
        <f t="shared" si="40"/>
        <v>14.494519159618365</v>
      </c>
      <c r="G228" s="421">
        <v>192859</v>
      </c>
      <c r="H228" s="421">
        <v>46246</v>
      </c>
      <c r="I228" s="419">
        <v>57615</v>
      </c>
      <c r="J228" s="296">
        <f t="shared" si="41"/>
        <v>296720</v>
      </c>
      <c r="K228" s="276">
        <f t="shared" si="37"/>
        <v>103311.87833894501</v>
      </c>
      <c r="L228" s="10">
        <f t="shared" si="42"/>
        <v>193408.12166105499</v>
      </c>
      <c r="M228" s="293">
        <f t="shared" si="43"/>
        <v>-145056.09124579123</v>
      </c>
      <c r="N228" s="10">
        <v>0</v>
      </c>
      <c r="O228" s="10">
        <f t="shared" si="44"/>
        <v>47754</v>
      </c>
      <c r="P228" s="423">
        <v>47754</v>
      </c>
      <c r="Q228" s="10">
        <f t="shared" si="38"/>
        <v>12913.984792368126</v>
      </c>
      <c r="R228" s="14">
        <f t="shared" si="45"/>
        <v>34840.015207631877</v>
      </c>
      <c r="S228" s="2">
        <f t="shared" si="46"/>
        <v>-26130.011405723908</v>
      </c>
      <c r="T228" s="129">
        <f t="shared" si="47"/>
        <v>-171186.10265151513</v>
      </c>
      <c r="U228" s="418">
        <f t="shared" si="39"/>
        <v>-13.255869927358304</v>
      </c>
      <c r="V228" s="125"/>
    </row>
    <row r="229" spans="1:22" x14ac:dyDescent="0.25">
      <c r="A229" s="49">
        <f>+'A) Base RI'!A230</f>
        <v>5762</v>
      </c>
      <c r="B229" s="446" t="str">
        <f>+'A) Base RI'!B230</f>
        <v>Sergey</v>
      </c>
      <c r="C229" s="296">
        <f>+'D) Ecrêtage'!C229</f>
        <v>3849.6283333333336</v>
      </c>
      <c r="D229" s="421">
        <v>7741</v>
      </c>
      <c r="E229" s="421">
        <f t="shared" si="36"/>
        <v>32323</v>
      </c>
      <c r="F229" s="541">
        <f t="shared" si="40"/>
        <v>8.3963949766579198</v>
      </c>
      <c r="G229" s="421">
        <v>40064</v>
      </c>
      <c r="H229" s="421">
        <v>6386</v>
      </c>
      <c r="I229" s="419">
        <v>17559</v>
      </c>
      <c r="J229" s="296">
        <f t="shared" si="41"/>
        <v>64009</v>
      </c>
      <c r="K229" s="276">
        <f t="shared" si="37"/>
        <v>30797.026666666668</v>
      </c>
      <c r="L229" s="10">
        <f t="shared" si="42"/>
        <v>33211.973333333328</v>
      </c>
      <c r="M229" s="293">
        <f t="shared" si="43"/>
        <v>-24908.979999999996</v>
      </c>
      <c r="N229" s="10">
        <v>0</v>
      </c>
      <c r="O229" s="10">
        <f t="shared" si="44"/>
        <v>5886</v>
      </c>
      <c r="P229" s="423">
        <v>5886</v>
      </c>
      <c r="Q229" s="10">
        <f t="shared" si="38"/>
        <v>3849.6283333333336</v>
      </c>
      <c r="R229" s="14">
        <f t="shared" si="45"/>
        <v>2036.3716666666664</v>
      </c>
      <c r="S229" s="2">
        <f t="shared" si="46"/>
        <v>-1527.2787499999999</v>
      </c>
      <c r="T229" s="129">
        <f t="shared" si="47"/>
        <v>-26436.258749999997</v>
      </c>
      <c r="U229" s="418">
        <f t="shared" si="39"/>
        <v>-6.8672236540583773</v>
      </c>
      <c r="V229" s="125"/>
    </row>
    <row r="230" spans="1:22" x14ac:dyDescent="0.25">
      <c r="A230" s="49">
        <f>+'A) Base RI'!A231</f>
        <v>5763</v>
      </c>
      <c r="B230" s="446" t="str">
        <f>+'A) Base RI'!B231</f>
        <v>Valeyres-sous-Rances</v>
      </c>
      <c r="C230" s="296">
        <f>+'D) Ecrêtage'!C230</f>
        <v>22663.97352941176</v>
      </c>
      <c r="D230" s="421">
        <v>21893</v>
      </c>
      <c r="E230" s="421">
        <f t="shared" si="36"/>
        <v>113801</v>
      </c>
      <c r="F230" s="541">
        <f t="shared" si="40"/>
        <v>5.0212289496507232</v>
      </c>
      <c r="G230" s="421">
        <v>135694</v>
      </c>
      <c r="H230" s="421">
        <v>40234</v>
      </c>
      <c r="I230" s="419">
        <v>77747</v>
      </c>
      <c r="J230" s="296">
        <f t="shared" si="41"/>
        <v>253675</v>
      </c>
      <c r="K230" s="276">
        <f t="shared" si="37"/>
        <v>181311.78823529408</v>
      </c>
      <c r="L230" s="10">
        <f t="shared" si="42"/>
        <v>72363.21176470592</v>
      </c>
      <c r="M230" s="293">
        <f t="shared" si="43"/>
        <v>-54272.40882352944</v>
      </c>
      <c r="N230" s="10">
        <v>0</v>
      </c>
      <c r="O230" s="10">
        <f t="shared" si="44"/>
        <v>45576</v>
      </c>
      <c r="P230" s="423">
        <v>45576</v>
      </c>
      <c r="Q230" s="10">
        <f t="shared" si="38"/>
        <v>22663.97352941176</v>
      </c>
      <c r="R230" s="14">
        <f t="shared" si="45"/>
        <v>22912.02647058824</v>
      </c>
      <c r="S230" s="2">
        <f t="shared" si="46"/>
        <v>-17184.019852941179</v>
      </c>
      <c r="T230" s="129">
        <f t="shared" si="47"/>
        <v>-71456.428676470619</v>
      </c>
      <c r="U230" s="418">
        <f t="shared" si="39"/>
        <v>-3.1528641075996378</v>
      </c>
      <c r="V230" s="125"/>
    </row>
    <row r="231" spans="1:22" x14ac:dyDescent="0.25">
      <c r="A231" s="49">
        <f>+'A) Base RI'!A232</f>
        <v>5764</v>
      </c>
      <c r="B231" s="446" t="str">
        <f>+'A) Base RI'!B232</f>
        <v>Vallorbe</v>
      </c>
      <c r="C231" s="296">
        <f>+'D) Ecrêtage'!C231</f>
        <v>83682.382797202779</v>
      </c>
      <c r="D231" s="421">
        <v>454011</v>
      </c>
      <c r="E231" s="421">
        <f t="shared" si="36"/>
        <v>1539811</v>
      </c>
      <c r="F231" s="541">
        <f t="shared" si="40"/>
        <v>18.400659117601879</v>
      </c>
      <c r="G231" s="421">
        <v>1993822</v>
      </c>
      <c r="H231" s="421">
        <v>426561</v>
      </c>
      <c r="I231" s="419">
        <v>484460</v>
      </c>
      <c r="J231" s="296">
        <f t="shared" si="41"/>
        <v>2904843</v>
      </c>
      <c r="K231" s="276">
        <f t="shared" si="37"/>
        <v>669459.06237762223</v>
      </c>
      <c r="L231" s="10">
        <f t="shared" si="42"/>
        <v>2235383.9376223776</v>
      </c>
      <c r="M231" s="293">
        <f t="shared" si="43"/>
        <v>-1676537.9532167832</v>
      </c>
      <c r="N231" s="10">
        <v>0</v>
      </c>
      <c r="O231" s="10">
        <f t="shared" si="44"/>
        <v>728541</v>
      </c>
      <c r="P231" s="423">
        <v>728541</v>
      </c>
      <c r="Q231" s="10">
        <f t="shared" si="38"/>
        <v>83682.382797202779</v>
      </c>
      <c r="R231" s="14">
        <f t="shared" si="45"/>
        <v>644858.61720279721</v>
      </c>
      <c r="S231" s="2">
        <f t="shared" si="46"/>
        <v>-483643.9629020979</v>
      </c>
      <c r="T231" s="129">
        <f t="shared" si="47"/>
        <v>-2160181.9161188812</v>
      </c>
      <c r="U231" s="418">
        <f t="shared" si="39"/>
        <v>-25.814058394511786</v>
      </c>
      <c r="V231" s="125"/>
    </row>
    <row r="232" spans="1:22" x14ac:dyDescent="0.25">
      <c r="A232" s="49">
        <f>+'A) Base RI'!A233</f>
        <v>5765</v>
      </c>
      <c r="B232" s="446" t="str">
        <f>+'A) Base RI'!B233</f>
        <v>Vaulion</v>
      </c>
      <c r="C232" s="296">
        <f>+'D) Ecrêtage'!C232</f>
        <v>10279.479012345679</v>
      </c>
      <c r="D232" s="421">
        <v>40628</v>
      </c>
      <c r="E232" s="421">
        <f t="shared" si="36"/>
        <v>135262</v>
      </c>
      <c r="F232" s="541">
        <f t="shared" si="40"/>
        <v>13.158448967846525</v>
      </c>
      <c r="G232" s="421">
        <v>175890</v>
      </c>
      <c r="H232" s="421">
        <v>22286</v>
      </c>
      <c r="I232" s="419">
        <v>60773</v>
      </c>
      <c r="J232" s="296">
        <f t="shared" si="41"/>
        <v>258949</v>
      </c>
      <c r="K232" s="276">
        <f t="shared" si="37"/>
        <v>82235.83209876543</v>
      </c>
      <c r="L232" s="10">
        <f t="shared" si="42"/>
        <v>176713.16790123458</v>
      </c>
      <c r="M232" s="293">
        <f t="shared" si="43"/>
        <v>-132534.87592592594</v>
      </c>
      <c r="N232" s="10">
        <v>0</v>
      </c>
      <c r="O232" s="10">
        <f t="shared" si="44"/>
        <v>5276</v>
      </c>
      <c r="P232" s="423">
        <v>5276</v>
      </c>
      <c r="Q232" s="10">
        <f t="shared" si="38"/>
        <v>10279.479012345679</v>
      </c>
      <c r="R232" s="14">
        <f t="shared" si="45"/>
        <v>0</v>
      </c>
      <c r="S232" s="2">
        <f t="shared" si="46"/>
        <v>0</v>
      </c>
      <c r="T232" s="129">
        <f t="shared" si="47"/>
        <v>-132534.87592592594</v>
      </c>
      <c r="U232" s="418">
        <f t="shared" si="39"/>
        <v>-12.893151079617093</v>
      </c>
      <c r="V232" s="125"/>
    </row>
    <row r="233" spans="1:22" x14ac:dyDescent="0.25">
      <c r="A233" s="49">
        <f>+'A) Base RI'!A234</f>
        <v>5766</v>
      </c>
      <c r="B233" s="446" t="str">
        <f>+'A) Base RI'!B234</f>
        <v>Vuiteboeuf</v>
      </c>
      <c r="C233" s="296">
        <f>+'D) Ecrêtage'!C233</f>
        <v>15554.101904761903</v>
      </c>
      <c r="D233" s="421">
        <v>14687</v>
      </c>
      <c r="E233" s="421">
        <f t="shared" si="36"/>
        <v>54376</v>
      </c>
      <c r="F233" s="541">
        <f t="shared" si="40"/>
        <v>3.4959266907819817</v>
      </c>
      <c r="G233" s="421">
        <v>69063</v>
      </c>
      <c r="H233" s="421">
        <v>64304</v>
      </c>
      <c r="I233" s="419">
        <v>58723</v>
      </c>
      <c r="J233" s="296">
        <f t="shared" si="41"/>
        <v>192090</v>
      </c>
      <c r="K233" s="276">
        <f t="shared" si="37"/>
        <v>124432.81523809522</v>
      </c>
      <c r="L233" s="10">
        <f t="shared" si="42"/>
        <v>67657.184761904777</v>
      </c>
      <c r="M233" s="293">
        <f t="shared" si="43"/>
        <v>-50742.888571428586</v>
      </c>
      <c r="N233" s="10">
        <v>0</v>
      </c>
      <c r="O233" s="10">
        <f t="shared" si="44"/>
        <v>28970</v>
      </c>
      <c r="P233" s="423">
        <v>28970</v>
      </c>
      <c r="Q233" s="10">
        <f t="shared" si="38"/>
        <v>15554.101904761903</v>
      </c>
      <c r="R233" s="14">
        <f t="shared" si="45"/>
        <v>13415.898095238097</v>
      </c>
      <c r="S233" s="2">
        <f t="shared" si="46"/>
        <v>-10061.923571428573</v>
      </c>
      <c r="T233" s="129">
        <f t="shared" si="47"/>
        <v>-60804.812142857161</v>
      </c>
      <c r="U233" s="418">
        <f t="shared" si="39"/>
        <v>-3.9092460956708606</v>
      </c>
      <c r="V233" s="125"/>
    </row>
    <row r="234" spans="1:22" x14ac:dyDescent="0.25">
      <c r="A234" s="49">
        <f>+'A) Base RI'!A235</f>
        <v>5785</v>
      </c>
      <c r="B234" s="446" t="str">
        <f>+'A) Base RI'!B235</f>
        <v>Corcelles-le-Jorat</v>
      </c>
      <c r="C234" s="296">
        <f>+'D) Ecrêtage'!C234</f>
        <v>14579.940909090908</v>
      </c>
      <c r="D234" s="421">
        <v>837</v>
      </c>
      <c r="E234" s="421">
        <f t="shared" si="36"/>
        <v>94272</v>
      </c>
      <c r="F234" s="541">
        <f t="shared" si="40"/>
        <v>6.465869826757622</v>
      </c>
      <c r="G234" s="421">
        <v>95109</v>
      </c>
      <c r="H234" s="421">
        <v>14640</v>
      </c>
      <c r="I234" s="419">
        <v>66259</v>
      </c>
      <c r="J234" s="296">
        <f t="shared" si="41"/>
        <v>176008</v>
      </c>
      <c r="K234" s="276">
        <f t="shared" si="37"/>
        <v>116639.52727272727</v>
      </c>
      <c r="L234" s="10">
        <f t="shared" si="42"/>
        <v>59368.472727272732</v>
      </c>
      <c r="M234" s="293">
        <f t="shared" si="43"/>
        <v>-44526.354545454553</v>
      </c>
      <c r="N234" s="10">
        <v>0</v>
      </c>
      <c r="O234" s="10">
        <f t="shared" si="44"/>
        <v>37621</v>
      </c>
      <c r="P234" s="423">
        <v>37621</v>
      </c>
      <c r="Q234" s="10">
        <f t="shared" si="38"/>
        <v>14579.940909090908</v>
      </c>
      <c r="R234" s="14">
        <f t="shared" si="45"/>
        <v>23041.05909090909</v>
      </c>
      <c r="S234" s="2">
        <f t="shared" si="46"/>
        <v>-17280.794318181819</v>
      </c>
      <c r="T234" s="129">
        <f t="shared" si="47"/>
        <v>-61807.148863636372</v>
      </c>
      <c r="U234" s="418">
        <f t="shared" si="39"/>
        <v>-4.2391906283446099</v>
      </c>
      <c r="V234" s="125"/>
    </row>
    <row r="235" spans="1:22" x14ac:dyDescent="0.25">
      <c r="A235" s="49">
        <f>+'A) Base RI'!A236</f>
        <v>5788</v>
      </c>
      <c r="B235" s="446" t="str">
        <f>+'A) Base RI'!B236</f>
        <v>Essertes</v>
      </c>
      <c r="C235" s="296">
        <f>+'D) Ecrêtage'!C235</f>
        <v>13314.951048951047</v>
      </c>
      <c r="D235" s="421">
        <v>13001</v>
      </c>
      <c r="E235" s="421">
        <f t="shared" si="36"/>
        <v>73260</v>
      </c>
      <c r="F235" s="541">
        <f t="shared" si="40"/>
        <v>5.5020855676199751</v>
      </c>
      <c r="G235" s="421">
        <v>86261</v>
      </c>
      <c r="H235" s="421">
        <v>18940</v>
      </c>
      <c r="I235" s="419">
        <v>51583</v>
      </c>
      <c r="J235" s="296">
        <f t="shared" si="41"/>
        <v>156784</v>
      </c>
      <c r="K235" s="276">
        <f t="shared" si="37"/>
        <v>106519.60839160837</v>
      </c>
      <c r="L235" s="10">
        <f t="shared" si="42"/>
        <v>50264.391608391627</v>
      </c>
      <c r="M235" s="293">
        <f t="shared" si="43"/>
        <v>-37698.29370629372</v>
      </c>
      <c r="N235" s="10">
        <v>0</v>
      </c>
      <c r="O235" s="10">
        <f t="shared" si="44"/>
        <v>-2893</v>
      </c>
      <c r="P235" s="423">
        <v>-2893</v>
      </c>
      <c r="Q235" s="10">
        <f t="shared" si="38"/>
        <v>13314.951048951047</v>
      </c>
      <c r="R235" s="14">
        <f t="shared" si="45"/>
        <v>0</v>
      </c>
      <c r="S235" s="2">
        <f t="shared" si="46"/>
        <v>0</v>
      </c>
      <c r="T235" s="129">
        <f t="shared" si="47"/>
        <v>-37698.29370629372</v>
      </c>
      <c r="U235" s="418">
        <f t="shared" si="39"/>
        <v>-2.8312754262257385</v>
      </c>
      <c r="V235" s="125"/>
    </row>
    <row r="236" spans="1:22" x14ac:dyDescent="0.25">
      <c r="A236" s="49">
        <f>+'A) Base RI'!A237</f>
        <v>5790</v>
      </c>
      <c r="B236" s="446" t="str">
        <f>+'A) Base RI'!B237</f>
        <v>Maracon</v>
      </c>
      <c r="C236" s="296">
        <f>+'D) Ecrêtage'!C236</f>
        <v>15172.050604026846</v>
      </c>
      <c r="D236" s="421">
        <v>29025</v>
      </c>
      <c r="E236" s="421">
        <f t="shared" si="36"/>
        <v>147401</v>
      </c>
      <c r="F236" s="541">
        <f t="shared" si="40"/>
        <v>9.7152984686775294</v>
      </c>
      <c r="G236" s="421">
        <v>176426</v>
      </c>
      <c r="H236" s="421">
        <v>17464</v>
      </c>
      <c r="I236" s="419">
        <v>71977</v>
      </c>
      <c r="J236" s="296">
        <f t="shared" si="41"/>
        <v>265867</v>
      </c>
      <c r="K236" s="276">
        <f t="shared" si="37"/>
        <v>121376.40483221477</v>
      </c>
      <c r="L236" s="10">
        <f t="shared" si="42"/>
        <v>144490.59516778524</v>
      </c>
      <c r="M236" s="293">
        <f t="shared" si="43"/>
        <v>-108367.94637583893</v>
      </c>
      <c r="N236" s="10">
        <v>0</v>
      </c>
      <c r="O236" s="10">
        <f t="shared" si="44"/>
        <v>7815</v>
      </c>
      <c r="P236" s="423">
        <v>7815</v>
      </c>
      <c r="Q236" s="10">
        <f t="shared" si="38"/>
        <v>15172.050604026846</v>
      </c>
      <c r="R236" s="14">
        <f t="shared" si="45"/>
        <v>0</v>
      </c>
      <c r="S236" s="2">
        <f t="shared" si="46"/>
        <v>0</v>
      </c>
      <c r="T236" s="129">
        <f t="shared" si="47"/>
        <v>-108367.94637583893</v>
      </c>
      <c r="U236" s="418">
        <f t="shared" si="39"/>
        <v>-7.1426038051228726</v>
      </c>
      <c r="V236" s="125"/>
    </row>
    <row r="237" spans="1:22" x14ac:dyDescent="0.25">
      <c r="A237" s="49">
        <f>+'A) Base RI'!A238</f>
        <v>5792</v>
      </c>
      <c r="B237" s="446" t="str">
        <f>+'A) Base RI'!B238</f>
        <v>Montpreveyres</v>
      </c>
      <c r="C237" s="296">
        <f>+'D) Ecrêtage'!C237</f>
        <v>20145.836291390729</v>
      </c>
      <c r="D237" s="421">
        <v>61999</v>
      </c>
      <c r="E237" s="421">
        <f t="shared" si="36"/>
        <v>172200</v>
      </c>
      <c r="F237" s="541">
        <f t="shared" si="40"/>
        <v>8.5476719610587342</v>
      </c>
      <c r="G237" s="421">
        <v>234199</v>
      </c>
      <c r="H237" s="421">
        <v>31795</v>
      </c>
      <c r="I237" s="419">
        <v>89812</v>
      </c>
      <c r="J237" s="296">
        <f t="shared" si="41"/>
        <v>355806</v>
      </c>
      <c r="K237" s="276">
        <f t="shared" si="37"/>
        <v>161166.69033112584</v>
      </c>
      <c r="L237" s="10">
        <f t="shared" si="42"/>
        <v>194639.30966887416</v>
      </c>
      <c r="M237" s="293">
        <f t="shared" si="43"/>
        <v>-145979.48225165563</v>
      </c>
      <c r="N237" s="10">
        <v>0</v>
      </c>
      <c r="O237" s="10">
        <f t="shared" si="44"/>
        <v>-11349</v>
      </c>
      <c r="P237" s="423">
        <v>-11349</v>
      </c>
      <c r="Q237" s="10">
        <f t="shared" si="38"/>
        <v>20145.836291390729</v>
      </c>
      <c r="R237" s="14">
        <f t="shared" si="45"/>
        <v>0</v>
      </c>
      <c r="S237" s="2">
        <f t="shared" si="46"/>
        <v>0</v>
      </c>
      <c r="T237" s="129">
        <f t="shared" si="47"/>
        <v>-145979.48225165563</v>
      </c>
      <c r="U237" s="418">
        <f t="shared" si="39"/>
        <v>-7.2461366279462709</v>
      </c>
      <c r="V237" s="125"/>
    </row>
    <row r="238" spans="1:22" x14ac:dyDescent="0.25">
      <c r="A238" s="49">
        <f>+'A) Base RI'!A239</f>
        <v>5798</v>
      </c>
      <c r="B238" s="446" t="str">
        <f>+'A) Base RI'!B239</f>
        <v>Ropraz</v>
      </c>
      <c r="C238" s="296">
        <f>+'D) Ecrêtage'!C238</f>
        <v>17444.805161290325</v>
      </c>
      <c r="D238" s="421">
        <v>13392</v>
      </c>
      <c r="E238" s="421">
        <f t="shared" si="36"/>
        <v>93359</v>
      </c>
      <c r="F238" s="541">
        <f t="shared" si="40"/>
        <v>5.3516791467044733</v>
      </c>
      <c r="G238" s="421">
        <v>106751</v>
      </c>
      <c r="H238" s="421">
        <v>17139</v>
      </c>
      <c r="I238" s="419">
        <v>84653</v>
      </c>
      <c r="J238" s="296">
        <f t="shared" si="41"/>
        <v>208543</v>
      </c>
      <c r="K238" s="276">
        <f t="shared" si="37"/>
        <v>139558.4412903226</v>
      </c>
      <c r="L238" s="10">
        <f t="shared" si="42"/>
        <v>68984.558709677396</v>
      </c>
      <c r="M238" s="293">
        <f t="shared" si="43"/>
        <v>-51738.419032258047</v>
      </c>
      <c r="N238" s="10">
        <v>0</v>
      </c>
      <c r="O238" s="10">
        <f t="shared" si="44"/>
        <v>-4834</v>
      </c>
      <c r="P238" s="423">
        <v>-4834</v>
      </c>
      <c r="Q238" s="10">
        <f t="shared" si="38"/>
        <v>17444.805161290325</v>
      </c>
      <c r="R238" s="14">
        <f t="shared" si="45"/>
        <v>0</v>
      </c>
      <c r="S238" s="2">
        <f t="shared" si="46"/>
        <v>0</v>
      </c>
      <c r="T238" s="129">
        <f t="shared" si="47"/>
        <v>-51738.419032258047</v>
      </c>
      <c r="U238" s="418">
        <f t="shared" si="39"/>
        <v>-2.9658353047739716</v>
      </c>
      <c r="V238" s="125"/>
    </row>
    <row r="239" spans="1:22" x14ac:dyDescent="0.25">
      <c r="A239" s="49">
        <f>+'A) Base RI'!A240</f>
        <v>5799</v>
      </c>
      <c r="B239" s="446" t="str">
        <f>+'A) Base RI'!B240</f>
        <v>Servion</v>
      </c>
      <c r="C239" s="296">
        <f>+'D) Ecrêtage'!C239</f>
        <v>71744.263478260895</v>
      </c>
      <c r="D239" s="421">
        <v>238569</v>
      </c>
      <c r="E239" s="421">
        <f t="shared" si="36"/>
        <v>369001</v>
      </c>
      <c r="F239" s="541">
        <f t="shared" si="40"/>
        <v>5.1432822933893574</v>
      </c>
      <c r="G239" s="421">
        <v>607570</v>
      </c>
      <c r="H239" s="421">
        <v>101081</v>
      </c>
      <c r="I239" s="419">
        <v>315474</v>
      </c>
      <c r="J239" s="296">
        <f t="shared" si="41"/>
        <v>1024125</v>
      </c>
      <c r="K239" s="276">
        <f t="shared" si="37"/>
        <v>573954.10782608716</v>
      </c>
      <c r="L239" s="10">
        <f t="shared" si="42"/>
        <v>450170.89217391284</v>
      </c>
      <c r="M239" s="293">
        <f t="shared" si="43"/>
        <v>-337628.16913043463</v>
      </c>
      <c r="N239" s="10">
        <v>0</v>
      </c>
      <c r="O239" s="10">
        <f t="shared" si="44"/>
        <v>55862</v>
      </c>
      <c r="P239" s="423">
        <v>55862</v>
      </c>
      <c r="Q239" s="10">
        <f t="shared" si="38"/>
        <v>71744.263478260895</v>
      </c>
      <c r="R239" s="14">
        <f t="shared" si="45"/>
        <v>0</v>
      </c>
      <c r="S239" s="2">
        <f t="shared" si="46"/>
        <v>0</v>
      </c>
      <c r="T239" s="129">
        <f t="shared" si="47"/>
        <v>-337628.16913043463</v>
      </c>
      <c r="U239" s="418">
        <f t="shared" si="39"/>
        <v>-4.7059953334490467</v>
      </c>
      <c r="V239" s="125"/>
    </row>
    <row r="240" spans="1:22" x14ac:dyDescent="0.25">
      <c r="A240" s="49">
        <f>+'A) Base RI'!A241</f>
        <v>5803</v>
      </c>
      <c r="B240" s="446" t="str">
        <f>+'A) Base RI'!B241</f>
        <v>Vulliens</v>
      </c>
      <c r="C240" s="296">
        <f>+'D) Ecrêtage'!C240</f>
        <v>17996.188026315795</v>
      </c>
      <c r="D240" s="421">
        <v>19052</v>
      </c>
      <c r="E240" s="421">
        <f t="shared" si="36"/>
        <v>81481</v>
      </c>
      <c r="F240" s="541">
        <f t="shared" si="40"/>
        <v>4.5276810778399552</v>
      </c>
      <c r="G240" s="421">
        <v>100533</v>
      </c>
      <c r="H240" s="421">
        <v>20255</v>
      </c>
      <c r="I240" s="419">
        <v>101465</v>
      </c>
      <c r="J240" s="296">
        <f t="shared" si="41"/>
        <v>222253</v>
      </c>
      <c r="K240" s="276">
        <f t="shared" si="37"/>
        <v>143969.50421052636</v>
      </c>
      <c r="L240" s="10">
        <f t="shared" si="42"/>
        <v>78283.495789473644</v>
      </c>
      <c r="M240" s="293">
        <f t="shared" si="43"/>
        <v>-58712.621842105233</v>
      </c>
      <c r="N240" s="10">
        <v>0</v>
      </c>
      <c r="O240" s="10">
        <f t="shared" si="44"/>
        <v>6057</v>
      </c>
      <c r="P240" s="423">
        <v>6057</v>
      </c>
      <c r="Q240" s="10">
        <f t="shared" si="38"/>
        <v>17996.188026315795</v>
      </c>
      <c r="R240" s="14">
        <f t="shared" si="45"/>
        <v>0</v>
      </c>
      <c r="S240" s="2">
        <f t="shared" si="46"/>
        <v>0</v>
      </c>
      <c r="T240" s="129">
        <f t="shared" si="47"/>
        <v>-58712.621842105233</v>
      </c>
      <c r="U240" s="418">
        <f t="shared" si="39"/>
        <v>-3.2625032454789795</v>
      </c>
      <c r="V240" s="125"/>
    </row>
    <row r="241" spans="1:22" x14ac:dyDescent="0.25">
      <c r="A241" s="49">
        <f>+'A) Base RI'!A242</f>
        <v>5804</v>
      </c>
      <c r="B241" s="446" t="str">
        <f>+'A) Base RI'!B242</f>
        <v>Jorat-Menthue</v>
      </c>
      <c r="C241" s="296">
        <f>+'D) Ecrêtage'!C241</f>
        <v>46854.424539007086</v>
      </c>
      <c r="D241" s="421">
        <v>60028</v>
      </c>
      <c r="E241" s="421">
        <f t="shared" si="36"/>
        <v>687863</v>
      </c>
      <c r="F241" s="541">
        <f t="shared" si="40"/>
        <v>14.680854727547505</v>
      </c>
      <c r="G241" s="421">
        <v>747891</v>
      </c>
      <c r="H241" s="421">
        <v>52001</v>
      </c>
      <c r="I241" s="419">
        <v>140880</v>
      </c>
      <c r="J241" s="296">
        <f t="shared" si="41"/>
        <v>940772</v>
      </c>
      <c r="K241" s="276">
        <f t="shared" si="37"/>
        <v>374835.39631205669</v>
      </c>
      <c r="L241" s="10">
        <f t="shared" si="42"/>
        <v>565936.60368794331</v>
      </c>
      <c r="M241" s="293">
        <f t="shared" si="43"/>
        <v>-424452.45276595745</v>
      </c>
      <c r="N241" s="10">
        <v>0</v>
      </c>
      <c r="O241" s="10">
        <f t="shared" si="44"/>
        <v>189436</v>
      </c>
      <c r="P241" s="423">
        <v>189436</v>
      </c>
      <c r="Q241" s="10">
        <f t="shared" si="38"/>
        <v>46854.424539007086</v>
      </c>
      <c r="R241" s="14">
        <f t="shared" si="45"/>
        <v>142581.57546099293</v>
      </c>
      <c r="S241" s="2">
        <f t="shared" si="46"/>
        <v>-106936.1815957447</v>
      </c>
      <c r="T241" s="129">
        <f t="shared" si="47"/>
        <v>-531388.63436170213</v>
      </c>
      <c r="U241" s="418">
        <f t="shared" si="39"/>
        <v>-11.341269038942357</v>
      </c>
      <c r="V241" s="125"/>
    </row>
    <row r="242" spans="1:22" x14ac:dyDescent="0.25">
      <c r="A242" s="49">
        <f>+'A) Base RI'!A243</f>
        <v>5805</v>
      </c>
      <c r="B242" s="446" t="str">
        <f>+'A) Base RI'!B243</f>
        <v>Oron</v>
      </c>
      <c r="C242" s="296">
        <f>+'D) Ecrêtage'!C242</f>
        <v>162115.58504611329</v>
      </c>
      <c r="D242" s="421">
        <v>319698</v>
      </c>
      <c r="E242" s="421">
        <f t="shared" si="36"/>
        <v>1000206</v>
      </c>
      <c r="F242" s="541">
        <f t="shared" si="40"/>
        <v>6.1697090980826701</v>
      </c>
      <c r="G242" s="421">
        <v>1319904</v>
      </c>
      <c r="H242" s="421">
        <v>459557</v>
      </c>
      <c r="I242" s="419">
        <v>765755</v>
      </c>
      <c r="J242" s="296">
        <f t="shared" si="41"/>
        <v>2545216</v>
      </c>
      <c r="K242" s="276">
        <f t="shared" si="37"/>
        <v>1296924.6803689064</v>
      </c>
      <c r="L242" s="10">
        <f t="shared" si="42"/>
        <v>1248291.3196310936</v>
      </c>
      <c r="M242" s="293">
        <f t="shared" si="43"/>
        <v>-936218.48972332024</v>
      </c>
      <c r="N242" s="10">
        <v>0</v>
      </c>
      <c r="O242" s="10">
        <f t="shared" si="44"/>
        <v>29030</v>
      </c>
      <c r="P242" s="423">
        <v>29030</v>
      </c>
      <c r="Q242" s="10">
        <f t="shared" si="38"/>
        <v>162115.58504611329</v>
      </c>
      <c r="R242" s="14">
        <f t="shared" si="45"/>
        <v>0</v>
      </c>
      <c r="S242" s="2">
        <f t="shared" si="46"/>
        <v>0</v>
      </c>
      <c r="T242" s="129">
        <f t="shared" si="47"/>
        <v>-936218.48972332024</v>
      </c>
      <c r="U242" s="418">
        <f t="shared" si="39"/>
        <v>-5.7750060825861729</v>
      </c>
      <c r="V242" s="125"/>
    </row>
    <row r="243" spans="1:22" x14ac:dyDescent="0.25">
      <c r="A243" s="49">
        <f>+'A) Base RI'!A244</f>
        <v>5806</v>
      </c>
      <c r="B243" s="446" t="str">
        <f>+'A) Base RI'!B244</f>
        <v>Jorat-Mézières</v>
      </c>
      <c r="C243" s="296">
        <f>+'D) Ecrêtage'!C243</f>
        <v>102077.74465753423</v>
      </c>
      <c r="D243" s="421">
        <v>276506</v>
      </c>
      <c r="E243" s="421">
        <f t="shared" si="36"/>
        <v>471667</v>
      </c>
      <c r="F243" s="541">
        <f t="shared" si="40"/>
        <v>4.6206643924434205</v>
      </c>
      <c r="G243" s="421">
        <v>748173</v>
      </c>
      <c r="H243" s="421">
        <v>144416</v>
      </c>
      <c r="I243" s="419">
        <v>470536</v>
      </c>
      <c r="J243" s="296">
        <f t="shared" si="41"/>
        <v>1363125</v>
      </c>
      <c r="K243" s="276">
        <f t="shared" si="37"/>
        <v>816621.95726027386</v>
      </c>
      <c r="L243" s="10">
        <f t="shared" si="42"/>
        <v>546503.04273972614</v>
      </c>
      <c r="M243" s="293">
        <f t="shared" si="43"/>
        <v>-409877.2820547946</v>
      </c>
      <c r="N243" s="10">
        <v>0</v>
      </c>
      <c r="O243" s="10">
        <f t="shared" si="44"/>
        <v>61641</v>
      </c>
      <c r="P243" s="423">
        <v>61641</v>
      </c>
      <c r="Q243" s="10">
        <f t="shared" si="38"/>
        <v>102077.74465753423</v>
      </c>
      <c r="R243" s="14">
        <f t="shared" si="45"/>
        <v>0</v>
      </c>
      <c r="S243" s="2">
        <f t="shared" si="46"/>
        <v>0</v>
      </c>
      <c r="T243" s="129">
        <f t="shared" si="47"/>
        <v>-409877.2820547946</v>
      </c>
      <c r="U243" s="418">
        <f t="shared" si="39"/>
        <v>-4.0153442205243906</v>
      </c>
      <c r="V243" s="125"/>
    </row>
    <row r="244" spans="1:22" x14ac:dyDescent="0.25">
      <c r="A244" s="49">
        <f>+'A) Base RI'!A245</f>
        <v>5812</v>
      </c>
      <c r="B244" s="446" t="str">
        <f>+'A) Base RI'!B245</f>
        <v>Champtauroz</v>
      </c>
      <c r="C244" s="296">
        <f>+'D) Ecrêtage'!C244</f>
        <v>3349.1505194805191</v>
      </c>
      <c r="D244" s="421">
        <v>14747</v>
      </c>
      <c r="E244" s="421">
        <f t="shared" si="36"/>
        <v>16238</v>
      </c>
      <c r="F244" s="541">
        <f t="shared" si="40"/>
        <v>4.8483936166949722</v>
      </c>
      <c r="G244" s="421">
        <v>30985</v>
      </c>
      <c r="H244" s="421">
        <v>5243</v>
      </c>
      <c r="I244" s="419">
        <v>17677</v>
      </c>
      <c r="J244" s="296">
        <f t="shared" si="41"/>
        <v>53905</v>
      </c>
      <c r="K244" s="276">
        <f t="shared" si="37"/>
        <v>26793.204155844152</v>
      </c>
      <c r="L244" s="10">
        <f t="shared" si="42"/>
        <v>27111.795844155848</v>
      </c>
      <c r="M244" s="293">
        <f t="shared" si="43"/>
        <v>-20333.846883116887</v>
      </c>
      <c r="N244" s="10">
        <v>67</v>
      </c>
      <c r="O244" s="10">
        <f t="shared" si="44"/>
        <v>1029</v>
      </c>
      <c r="P244" s="423">
        <v>1096</v>
      </c>
      <c r="Q244" s="10">
        <f t="shared" si="38"/>
        <v>3349.1505194805191</v>
      </c>
      <c r="R244" s="14">
        <f t="shared" si="45"/>
        <v>0</v>
      </c>
      <c r="S244" s="2">
        <f t="shared" si="46"/>
        <v>0</v>
      </c>
      <c r="T244" s="129">
        <f t="shared" si="47"/>
        <v>-20333.846883116887</v>
      </c>
      <c r="U244" s="418">
        <f t="shared" si="39"/>
        <v>-6.0713445886782162</v>
      </c>
      <c r="V244" s="125"/>
    </row>
    <row r="245" spans="1:22" x14ac:dyDescent="0.25">
      <c r="A245" s="49">
        <f>+'A) Base RI'!A246</f>
        <v>5813</v>
      </c>
      <c r="B245" s="446" t="str">
        <f>+'A) Base RI'!B246</f>
        <v>Chevroux</v>
      </c>
      <c r="C245" s="296">
        <f>+'D) Ecrêtage'!C245</f>
        <v>15276.905328467155</v>
      </c>
      <c r="D245" s="421">
        <v>191705</v>
      </c>
      <c r="E245" s="421">
        <f t="shared" si="36"/>
        <v>321972</v>
      </c>
      <c r="F245" s="541">
        <f t="shared" si="40"/>
        <v>21.075734455199758</v>
      </c>
      <c r="G245" s="421">
        <v>513677</v>
      </c>
      <c r="H245" s="421">
        <v>27035</v>
      </c>
      <c r="I245" s="419">
        <v>40745</v>
      </c>
      <c r="J245" s="296">
        <f t="shared" si="41"/>
        <v>581457</v>
      </c>
      <c r="K245" s="276">
        <f t="shared" si="37"/>
        <v>122215.24262773724</v>
      </c>
      <c r="L245" s="10">
        <f t="shared" si="42"/>
        <v>459241.75737226277</v>
      </c>
      <c r="M245" s="293">
        <f t="shared" si="43"/>
        <v>-344431.31802919705</v>
      </c>
      <c r="N245" s="10">
        <v>0</v>
      </c>
      <c r="O245" s="10">
        <f t="shared" si="44"/>
        <v>6159</v>
      </c>
      <c r="P245" s="423">
        <v>6159</v>
      </c>
      <c r="Q245" s="10">
        <f t="shared" si="38"/>
        <v>15276.905328467155</v>
      </c>
      <c r="R245" s="14">
        <f t="shared" si="45"/>
        <v>0</v>
      </c>
      <c r="S245" s="2">
        <f t="shared" si="46"/>
        <v>0</v>
      </c>
      <c r="T245" s="129">
        <f t="shared" si="47"/>
        <v>-344431.31802919705</v>
      </c>
      <c r="U245" s="418">
        <f t="shared" si="39"/>
        <v>-22.545882861981209</v>
      </c>
      <c r="V245" s="125"/>
    </row>
    <row r="246" spans="1:22" x14ac:dyDescent="0.25">
      <c r="A246" s="49">
        <f>+'A) Base RI'!A247</f>
        <v>5816</v>
      </c>
      <c r="B246" s="446" t="str">
        <f>+'A) Base RI'!B247</f>
        <v>Corcelles-près-Payerne</v>
      </c>
      <c r="C246" s="296">
        <f>+'D) Ecrêtage'!C246</f>
        <v>65651.255161626686</v>
      </c>
      <c r="D246" s="421">
        <v>136743</v>
      </c>
      <c r="E246" s="421">
        <f t="shared" si="36"/>
        <v>431706</v>
      </c>
      <c r="F246" s="541">
        <f t="shared" si="40"/>
        <v>6.5757463271217578</v>
      </c>
      <c r="G246" s="421">
        <v>568449</v>
      </c>
      <c r="H246" s="421">
        <v>244040</v>
      </c>
      <c r="I246" s="419">
        <v>215447</v>
      </c>
      <c r="J246" s="296">
        <f t="shared" si="41"/>
        <v>1027936</v>
      </c>
      <c r="K246" s="276">
        <f t="shared" si="37"/>
        <v>525210.04129301349</v>
      </c>
      <c r="L246" s="10">
        <f t="shared" si="42"/>
        <v>502725.95870698651</v>
      </c>
      <c r="M246" s="293">
        <f t="shared" si="43"/>
        <v>-377044.46903023985</v>
      </c>
      <c r="N246" s="10">
        <v>0</v>
      </c>
      <c r="O246" s="10">
        <f t="shared" si="44"/>
        <v>8787</v>
      </c>
      <c r="P246" s="423">
        <v>8787</v>
      </c>
      <c r="Q246" s="10">
        <f t="shared" si="38"/>
        <v>65651.255161626686</v>
      </c>
      <c r="R246" s="14">
        <f t="shared" si="45"/>
        <v>0</v>
      </c>
      <c r="S246" s="2">
        <f t="shared" si="46"/>
        <v>0</v>
      </c>
      <c r="T246" s="129">
        <f t="shared" si="47"/>
        <v>-377044.46903023985</v>
      </c>
      <c r="U246" s="418">
        <f t="shared" si="39"/>
        <v>-5.7431418196345962</v>
      </c>
      <c r="V246" s="125"/>
    </row>
    <row r="247" spans="1:22" x14ac:dyDescent="0.25">
      <c r="A247" s="49">
        <f>+'A) Base RI'!A248</f>
        <v>5817</v>
      </c>
      <c r="B247" s="446" t="str">
        <f>+'A) Base RI'!B248</f>
        <v>Grandcour</v>
      </c>
      <c r="C247" s="296">
        <f>+'D) Ecrêtage'!C247</f>
        <v>24623.103809523807</v>
      </c>
      <c r="D247" s="421">
        <v>103007</v>
      </c>
      <c r="E247" s="421">
        <f t="shared" si="36"/>
        <v>149156</v>
      </c>
      <c r="F247" s="541">
        <f t="shared" si="40"/>
        <v>6.0575628951500802</v>
      </c>
      <c r="G247" s="421">
        <v>252163</v>
      </c>
      <c r="H247" s="421">
        <v>35209</v>
      </c>
      <c r="I247" s="419">
        <v>83732</v>
      </c>
      <c r="J247" s="296">
        <f t="shared" si="41"/>
        <v>371104</v>
      </c>
      <c r="K247" s="276">
        <f t="shared" si="37"/>
        <v>196984.83047619046</v>
      </c>
      <c r="L247" s="10">
        <f t="shared" si="42"/>
        <v>174119.16952380954</v>
      </c>
      <c r="M247" s="293">
        <f t="shared" si="43"/>
        <v>-130589.37714285715</v>
      </c>
      <c r="N247" s="10">
        <v>0</v>
      </c>
      <c r="O247" s="10">
        <f t="shared" si="44"/>
        <v>61296</v>
      </c>
      <c r="P247" s="423">
        <v>61296</v>
      </c>
      <c r="Q247" s="10">
        <f t="shared" si="38"/>
        <v>24623.103809523807</v>
      </c>
      <c r="R247" s="14">
        <f t="shared" si="45"/>
        <v>36672.896190476196</v>
      </c>
      <c r="S247" s="2">
        <f t="shared" si="46"/>
        <v>-27504.672142857147</v>
      </c>
      <c r="T247" s="129">
        <f t="shared" si="47"/>
        <v>-158094.04928571428</v>
      </c>
      <c r="U247" s="418">
        <f t="shared" si="39"/>
        <v>-6.4205573151409991</v>
      </c>
      <c r="V247" s="125"/>
    </row>
    <row r="248" spans="1:22" x14ac:dyDescent="0.25">
      <c r="A248" s="49">
        <f>+'A) Base RI'!A249</f>
        <v>5819</v>
      </c>
      <c r="B248" s="446" t="str">
        <f>+'A) Base RI'!B249</f>
        <v>Henniez</v>
      </c>
      <c r="C248" s="296">
        <f>+'D) Ecrêtage'!C248</f>
        <v>10062.980434782607</v>
      </c>
      <c r="D248" s="421">
        <v>55024</v>
      </c>
      <c r="E248" s="421">
        <f t="shared" si="36"/>
        <v>99827</v>
      </c>
      <c r="F248" s="541">
        <f t="shared" si="40"/>
        <v>9.9202220104640979</v>
      </c>
      <c r="G248" s="421">
        <v>154851</v>
      </c>
      <c r="H248" s="421">
        <v>36046</v>
      </c>
      <c r="I248" s="419">
        <v>66655</v>
      </c>
      <c r="J248" s="296">
        <f t="shared" si="41"/>
        <v>257552</v>
      </c>
      <c r="K248" s="276">
        <f t="shared" si="37"/>
        <v>80503.843478260853</v>
      </c>
      <c r="L248" s="10">
        <f t="shared" si="42"/>
        <v>177048.15652173915</v>
      </c>
      <c r="M248" s="293">
        <f t="shared" si="43"/>
        <v>-132786.11739130435</v>
      </c>
      <c r="N248" s="10">
        <v>0</v>
      </c>
      <c r="O248" s="10">
        <f t="shared" si="44"/>
        <v>0</v>
      </c>
      <c r="P248" s="423">
        <v>0</v>
      </c>
      <c r="Q248" s="10">
        <f t="shared" si="38"/>
        <v>10062.980434782607</v>
      </c>
      <c r="R248" s="14">
        <f t="shared" si="45"/>
        <v>0</v>
      </c>
      <c r="S248" s="2">
        <f t="shared" si="46"/>
        <v>0</v>
      </c>
      <c r="T248" s="129">
        <f t="shared" si="47"/>
        <v>-132786.11739130435</v>
      </c>
      <c r="U248" s="418">
        <f t="shared" si="39"/>
        <v>-13.195505869447013</v>
      </c>
      <c r="V248" s="125"/>
    </row>
    <row r="249" spans="1:22" x14ac:dyDescent="0.25">
      <c r="A249" s="49">
        <f>+'A) Base RI'!A250</f>
        <v>5821</v>
      </c>
      <c r="B249" s="446" t="str">
        <f>+'A) Base RI'!B250</f>
        <v>Missy</v>
      </c>
      <c r="C249" s="296">
        <f>+'D) Ecrêtage'!C249</f>
        <v>8044.6855555555558</v>
      </c>
      <c r="D249" s="421">
        <v>24788</v>
      </c>
      <c r="E249" s="421">
        <f t="shared" si="36"/>
        <v>32300</v>
      </c>
      <c r="F249" s="541">
        <f t="shared" si="40"/>
        <v>4.0150730288884988</v>
      </c>
      <c r="G249" s="421">
        <v>57088</v>
      </c>
      <c r="H249" s="421">
        <v>13999</v>
      </c>
      <c r="I249" s="419">
        <v>29322</v>
      </c>
      <c r="J249" s="296">
        <f t="shared" si="41"/>
        <v>100409</v>
      </c>
      <c r="K249" s="276">
        <f t="shared" si="37"/>
        <v>64357.484444444446</v>
      </c>
      <c r="L249" s="10">
        <f t="shared" si="42"/>
        <v>36051.515555555554</v>
      </c>
      <c r="M249" s="293">
        <f t="shared" si="43"/>
        <v>-27038.636666666665</v>
      </c>
      <c r="N249" s="10">
        <v>0</v>
      </c>
      <c r="O249" s="10">
        <f t="shared" si="44"/>
        <v>0</v>
      </c>
      <c r="P249" s="423">
        <v>0</v>
      </c>
      <c r="Q249" s="10">
        <f t="shared" si="38"/>
        <v>8044.6855555555558</v>
      </c>
      <c r="R249" s="14">
        <f t="shared" si="45"/>
        <v>0</v>
      </c>
      <c r="S249" s="2">
        <f t="shared" si="46"/>
        <v>0</v>
      </c>
      <c r="T249" s="129">
        <f t="shared" si="47"/>
        <v>-27038.636666666665</v>
      </c>
      <c r="U249" s="418">
        <f t="shared" si="39"/>
        <v>-3.3610557528869642</v>
      </c>
      <c r="V249" s="125"/>
    </row>
    <row r="250" spans="1:22" x14ac:dyDescent="0.25">
      <c r="A250" s="49">
        <f>+'A) Base RI'!A251</f>
        <v>5822</v>
      </c>
      <c r="B250" s="446" t="str">
        <f>+'A) Base RI'!B251</f>
        <v>Payerne</v>
      </c>
      <c r="C250" s="296">
        <f>+'D) Ecrêtage'!C250</f>
        <v>239984.44424657538</v>
      </c>
      <c r="D250" s="421">
        <v>436992</v>
      </c>
      <c r="E250" s="421">
        <f t="shared" si="36"/>
        <v>1653635</v>
      </c>
      <c r="F250" s="541">
        <f t="shared" si="40"/>
        <v>6.8905924514880201</v>
      </c>
      <c r="G250" s="421">
        <v>2090627</v>
      </c>
      <c r="H250" s="421">
        <v>1277118</v>
      </c>
      <c r="I250" s="419">
        <v>712804</v>
      </c>
      <c r="J250" s="296">
        <f t="shared" si="41"/>
        <v>4080549</v>
      </c>
      <c r="K250" s="276">
        <f t="shared" si="37"/>
        <v>1919875.5539726031</v>
      </c>
      <c r="L250" s="10">
        <f t="shared" si="42"/>
        <v>2160673.4460273972</v>
      </c>
      <c r="M250" s="293">
        <f t="shared" si="43"/>
        <v>-1620505.0845205479</v>
      </c>
      <c r="N250" s="10">
        <v>0</v>
      </c>
      <c r="O250" s="10">
        <f t="shared" si="44"/>
        <v>128143</v>
      </c>
      <c r="P250" s="423">
        <v>128143</v>
      </c>
      <c r="Q250" s="10">
        <f t="shared" si="38"/>
        <v>239984.44424657538</v>
      </c>
      <c r="R250" s="14">
        <f t="shared" si="45"/>
        <v>0</v>
      </c>
      <c r="S250" s="2">
        <f t="shared" si="46"/>
        <v>0</v>
      </c>
      <c r="T250" s="129">
        <f t="shared" si="47"/>
        <v>-1620505.0845205479</v>
      </c>
      <c r="U250" s="418">
        <f t="shared" si="39"/>
        <v>-6.7525421891743003</v>
      </c>
      <c r="V250" s="125"/>
    </row>
    <row r="251" spans="1:22" x14ac:dyDescent="0.25">
      <c r="A251" s="49">
        <f>+'A) Base RI'!A252</f>
        <v>5827</v>
      </c>
      <c r="B251" s="446" t="str">
        <f>+'A) Base RI'!B252</f>
        <v>Trey</v>
      </c>
      <c r="C251" s="296">
        <f>+'D) Ecrêtage'!C251</f>
        <v>7747.4438461538457</v>
      </c>
      <c r="D251" s="421">
        <v>49149</v>
      </c>
      <c r="E251" s="421">
        <f t="shared" si="36"/>
        <v>32975</v>
      </c>
      <c r="F251" s="541">
        <f t="shared" si="40"/>
        <v>4.2562425304147462</v>
      </c>
      <c r="G251" s="421">
        <v>82124</v>
      </c>
      <c r="H251" s="421">
        <v>10996</v>
      </c>
      <c r="I251" s="419">
        <v>14291</v>
      </c>
      <c r="J251" s="296">
        <f t="shared" si="41"/>
        <v>107411</v>
      </c>
      <c r="K251" s="276">
        <f t="shared" si="37"/>
        <v>61979.550769230766</v>
      </c>
      <c r="L251" s="10">
        <f t="shared" si="42"/>
        <v>45431.449230769234</v>
      </c>
      <c r="M251" s="293">
        <f t="shared" si="43"/>
        <v>-34073.586923076924</v>
      </c>
      <c r="N251" s="10">
        <v>0</v>
      </c>
      <c r="O251" s="10">
        <f t="shared" si="44"/>
        <v>7205</v>
      </c>
      <c r="P251" s="423">
        <v>7205</v>
      </c>
      <c r="Q251" s="10">
        <f t="shared" si="38"/>
        <v>7747.4438461538457</v>
      </c>
      <c r="R251" s="14">
        <f t="shared" si="45"/>
        <v>0</v>
      </c>
      <c r="S251" s="2">
        <f t="shared" si="46"/>
        <v>0</v>
      </c>
      <c r="T251" s="129">
        <f t="shared" si="47"/>
        <v>-34073.586923076924</v>
      </c>
      <c r="U251" s="418">
        <f t="shared" si="39"/>
        <v>-4.3980424511230858</v>
      </c>
      <c r="V251" s="125"/>
    </row>
    <row r="252" spans="1:22" x14ac:dyDescent="0.25">
      <c r="A252" s="49">
        <f>+'A) Base RI'!A253</f>
        <v>5828</v>
      </c>
      <c r="B252" s="446" t="str">
        <f>+'A) Base RI'!B253</f>
        <v>Treytorrens (Payerne)</v>
      </c>
      <c r="C252" s="296">
        <f>+'D) Ecrêtage'!C252</f>
        <v>2899.2203232323236</v>
      </c>
      <c r="D252" s="421">
        <v>19628</v>
      </c>
      <c r="E252" s="421">
        <f t="shared" si="36"/>
        <v>14965</v>
      </c>
      <c r="F252" s="541">
        <f t="shared" si="40"/>
        <v>5.1617325803358094</v>
      </c>
      <c r="G252" s="421">
        <v>34593</v>
      </c>
      <c r="H252" s="421">
        <v>4151</v>
      </c>
      <c r="I252" s="419">
        <v>14541</v>
      </c>
      <c r="J252" s="296">
        <f t="shared" si="41"/>
        <v>53285</v>
      </c>
      <c r="K252" s="276">
        <f t="shared" si="37"/>
        <v>23193.762585858589</v>
      </c>
      <c r="L252" s="10">
        <f t="shared" si="42"/>
        <v>30091.237414141411</v>
      </c>
      <c r="M252" s="293">
        <f t="shared" si="43"/>
        <v>-22568.428060606057</v>
      </c>
      <c r="N252" s="10">
        <v>0</v>
      </c>
      <c r="O252" s="10">
        <f t="shared" si="44"/>
        <v>2704</v>
      </c>
      <c r="P252" s="423">
        <v>2704</v>
      </c>
      <c r="Q252" s="10">
        <f t="shared" si="38"/>
        <v>2899.2203232323236</v>
      </c>
      <c r="R252" s="14">
        <f t="shared" si="45"/>
        <v>0</v>
      </c>
      <c r="S252" s="2">
        <f t="shared" si="46"/>
        <v>0</v>
      </c>
      <c r="T252" s="129">
        <f t="shared" si="47"/>
        <v>-22568.428060606057</v>
      </c>
      <c r="U252" s="418">
        <f t="shared" si="39"/>
        <v>-7.7843094157965371</v>
      </c>
      <c r="V252" s="125"/>
    </row>
    <row r="253" spans="1:22" x14ac:dyDescent="0.25">
      <c r="A253" s="49">
        <f>+'A) Base RI'!A254</f>
        <v>5830</v>
      </c>
      <c r="B253" s="446" t="str">
        <f>+'A) Base RI'!B254</f>
        <v>Villarzel</v>
      </c>
      <c r="C253" s="296">
        <f>+'D) Ecrêtage'!C253</f>
        <v>12409.986933333334</v>
      </c>
      <c r="D253" s="421">
        <v>60315</v>
      </c>
      <c r="E253" s="421">
        <f t="shared" si="36"/>
        <v>90602</v>
      </c>
      <c r="F253" s="541">
        <f t="shared" si="40"/>
        <v>7.3007329086416872</v>
      </c>
      <c r="G253" s="421">
        <v>150917</v>
      </c>
      <c r="H253" s="421">
        <v>26052</v>
      </c>
      <c r="I253" s="419">
        <v>79469</v>
      </c>
      <c r="J253" s="296">
        <f t="shared" si="41"/>
        <v>256438</v>
      </c>
      <c r="K253" s="276">
        <f t="shared" si="37"/>
        <v>99279.895466666669</v>
      </c>
      <c r="L253" s="10">
        <f t="shared" si="42"/>
        <v>157158.10453333333</v>
      </c>
      <c r="M253" s="293">
        <f t="shared" si="43"/>
        <v>-117868.5784</v>
      </c>
      <c r="N253" s="10">
        <v>20867</v>
      </c>
      <c r="O253" s="10">
        <f t="shared" si="44"/>
        <v>8985</v>
      </c>
      <c r="P253" s="423">
        <v>29852</v>
      </c>
      <c r="Q253" s="10">
        <f t="shared" si="38"/>
        <v>12409.986933333334</v>
      </c>
      <c r="R253" s="14">
        <f t="shared" si="45"/>
        <v>17442.013066666666</v>
      </c>
      <c r="S253" s="2">
        <f t="shared" si="46"/>
        <v>-13081.5098</v>
      </c>
      <c r="T253" s="129">
        <f t="shared" si="47"/>
        <v>-130950.0882</v>
      </c>
      <c r="U253" s="418">
        <f t="shared" si="39"/>
        <v>-10.551992431858805</v>
      </c>
      <c r="V253" s="125"/>
    </row>
    <row r="254" spans="1:22" x14ac:dyDescent="0.25">
      <c r="A254" s="49">
        <f>+'A) Base RI'!A255</f>
        <v>5831</v>
      </c>
      <c r="B254" s="446" t="str">
        <f>+'A) Base RI'!B255</f>
        <v>Valbroye</v>
      </c>
      <c r="C254" s="296">
        <f>+'D) Ecrêtage'!C254</f>
        <v>81068.822458628842</v>
      </c>
      <c r="D254" s="421">
        <v>473131</v>
      </c>
      <c r="E254" s="421">
        <f t="shared" si="36"/>
        <v>647184</v>
      </c>
      <c r="F254" s="541">
        <f t="shared" si="40"/>
        <v>7.9831429688061881</v>
      </c>
      <c r="G254" s="421">
        <v>1120315</v>
      </c>
      <c r="H254" s="421">
        <v>307029</v>
      </c>
      <c r="I254" s="419">
        <v>517081</v>
      </c>
      <c r="J254" s="296">
        <f t="shared" si="41"/>
        <v>1944425</v>
      </c>
      <c r="K254" s="276">
        <f t="shared" si="37"/>
        <v>648550.57966903073</v>
      </c>
      <c r="L254" s="10">
        <f t="shared" si="42"/>
        <v>1295874.4203309692</v>
      </c>
      <c r="M254" s="293">
        <f t="shared" si="43"/>
        <v>-971905.81524822686</v>
      </c>
      <c r="N254" s="10">
        <v>0</v>
      </c>
      <c r="O254" s="10">
        <f t="shared" si="44"/>
        <v>34150</v>
      </c>
      <c r="P254" s="423">
        <v>34150</v>
      </c>
      <c r="Q254" s="10">
        <f t="shared" si="38"/>
        <v>81068.822458628842</v>
      </c>
      <c r="R254" s="14">
        <f t="shared" si="45"/>
        <v>0</v>
      </c>
      <c r="S254" s="2">
        <f t="shared" si="46"/>
        <v>0</v>
      </c>
      <c r="T254" s="129">
        <f t="shared" si="47"/>
        <v>-971905.81524822686</v>
      </c>
      <c r="U254" s="418">
        <f t="shared" si="39"/>
        <v>-11.98865094832494</v>
      </c>
      <c r="V254" s="125"/>
    </row>
    <row r="255" spans="1:22" x14ac:dyDescent="0.25">
      <c r="A255" s="49">
        <f>+'A) Base RI'!A256</f>
        <v>5841</v>
      </c>
      <c r="B255" s="446" t="str">
        <f>+'A) Base RI'!B256</f>
        <v>Château-d'Oex</v>
      </c>
      <c r="C255" s="296">
        <f>+'D) Ecrêtage'!C255</f>
        <v>110857.63779141105</v>
      </c>
      <c r="D255" s="421">
        <v>586432</v>
      </c>
      <c r="E255" s="421">
        <f t="shared" si="36"/>
        <v>2647873</v>
      </c>
      <c r="F255" s="541">
        <f t="shared" si="40"/>
        <v>23.885345680756966</v>
      </c>
      <c r="G255" s="421">
        <v>3234305</v>
      </c>
      <c r="H255" s="421">
        <v>380879</v>
      </c>
      <c r="I255" s="419">
        <v>476972</v>
      </c>
      <c r="J255" s="296">
        <f t="shared" si="41"/>
        <v>4092156</v>
      </c>
      <c r="K255" s="276">
        <f t="shared" si="37"/>
        <v>886861.10233128839</v>
      </c>
      <c r="L255" s="10">
        <f t="shared" si="42"/>
        <v>3205294.8976687118</v>
      </c>
      <c r="M255" s="293">
        <f t="shared" si="43"/>
        <v>-2403971.1732515339</v>
      </c>
      <c r="N255" s="10">
        <v>16791</v>
      </c>
      <c r="O255" s="10">
        <f t="shared" si="44"/>
        <v>38461</v>
      </c>
      <c r="P255" s="423">
        <v>55252</v>
      </c>
      <c r="Q255" s="10">
        <f t="shared" si="38"/>
        <v>110857.63779141105</v>
      </c>
      <c r="R255" s="14">
        <f t="shared" si="45"/>
        <v>0</v>
      </c>
      <c r="S255" s="2">
        <f t="shared" si="46"/>
        <v>0</v>
      </c>
      <c r="T255" s="129">
        <f t="shared" si="47"/>
        <v>-2403971.1732515339</v>
      </c>
      <c r="U255" s="418">
        <f t="shared" si="39"/>
        <v>-21.685210159130659</v>
      </c>
      <c r="V255" s="125"/>
    </row>
    <row r="256" spans="1:22" x14ac:dyDescent="0.25">
      <c r="A256" s="49">
        <f>+'A) Base RI'!A257</f>
        <v>5842</v>
      </c>
      <c r="B256" s="446" t="str">
        <f>+'A) Base RI'!B257</f>
        <v>Rossinière</v>
      </c>
      <c r="C256" s="296">
        <f>+'D) Ecrêtage'!C256</f>
        <v>14944.680411522633</v>
      </c>
      <c r="D256" s="421">
        <v>20891</v>
      </c>
      <c r="E256" s="421">
        <f t="shared" si="36"/>
        <v>368717</v>
      </c>
      <c r="F256" s="541">
        <f t="shared" si="40"/>
        <v>24.672123447732758</v>
      </c>
      <c r="G256" s="421">
        <v>389608</v>
      </c>
      <c r="H256" s="421">
        <v>58538</v>
      </c>
      <c r="I256" s="419">
        <v>110000</v>
      </c>
      <c r="J256" s="296">
        <f t="shared" si="41"/>
        <v>558146</v>
      </c>
      <c r="K256" s="276">
        <f t="shared" si="37"/>
        <v>119557.44329218107</v>
      </c>
      <c r="L256" s="10">
        <f t="shared" si="42"/>
        <v>438588.55670781893</v>
      </c>
      <c r="M256" s="293">
        <f t="shared" si="43"/>
        <v>-328941.41753086419</v>
      </c>
      <c r="N256" s="10">
        <v>0</v>
      </c>
      <c r="O256" s="10">
        <f t="shared" si="44"/>
        <v>24905</v>
      </c>
      <c r="P256" s="423">
        <v>24905</v>
      </c>
      <c r="Q256" s="10">
        <f t="shared" si="38"/>
        <v>14944.680411522633</v>
      </c>
      <c r="R256" s="14">
        <f t="shared" si="45"/>
        <v>9960.3195884773668</v>
      </c>
      <c r="S256" s="2">
        <f t="shared" si="46"/>
        <v>-7470.2396913580251</v>
      </c>
      <c r="T256" s="129">
        <f t="shared" si="47"/>
        <v>-336411.65722222219</v>
      </c>
      <c r="U256" s="418">
        <f t="shared" si="39"/>
        <v>-22.510461780289553</v>
      </c>
      <c r="V256" s="125"/>
    </row>
    <row r="257" spans="1:22" x14ac:dyDescent="0.25">
      <c r="A257" s="49">
        <f>+'A) Base RI'!A258</f>
        <v>5843</v>
      </c>
      <c r="B257" s="446" t="str">
        <f>+'A) Base RI'!B258</f>
        <v>Rougemont</v>
      </c>
      <c r="C257" s="296">
        <f>+'D) Ecrêtage'!C257</f>
        <v>97088.109459459462</v>
      </c>
      <c r="D257" s="421">
        <v>85500</v>
      </c>
      <c r="E257" s="421">
        <f t="shared" si="36"/>
        <v>261504</v>
      </c>
      <c r="F257" s="541">
        <f t="shared" si="40"/>
        <v>2.6934709250796027</v>
      </c>
      <c r="G257" s="421">
        <v>347004</v>
      </c>
      <c r="H257" s="421">
        <v>94075</v>
      </c>
      <c r="I257" s="419">
        <v>108680</v>
      </c>
      <c r="J257" s="296">
        <f t="shared" si="41"/>
        <v>549759</v>
      </c>
      <c r="K257" s="276">
        <f t="shared" si="37"/>
        <v>776704.87567567569</v>
      </c>
      <c r="L257" s="10">
        <f t="shared" si="42"/>
        <v>0</v>
      </c>
      <c r="M257" s="293">
        <f t="shared" si="43"/>
        <v>0</v>
      </c>
      <c r="N257" s="10">
        <v>0</v>
      </c>
      <c r="O257" s="10">
        <f t="shared" si="44"/>
        <v>27452</v>
      </c>
      <c r="P257" s="423">
        <v>27452</v>
      </c>
      <c r="Q257" s="10">
        <f t="shared" si="38"/>
        <v>97088.109459459462</v>
      </c>
      <c r="R257" s="14">
        <f t="shared" si="45"/>
        <v>0</v>
      </c>
      <c r="S257" s="2">
        <f t="shared" si="46"/>
        <v>0</v>
      </c>
      <c r="T257" s="129">
        <f t="shared" si="47"/>
        <v>0</v>
      </c>
      <c r="U257" s="418">
        <f t="shared" si="39"/>
        <v>0</v>
      </c>
      <c r="V257" s="125"/>
    </row>
    <row r="258" spans="1:22" x14ac:dyDescent="0.25">
      <c r="A258" s="49">
        <f>+'A) Base RI'!A259</f>
        <v>5851</v>
      </c>
      <c r="B258" s="446" t="str">
        <f>+'A) Base RI'!B259</f>
        <v>Allaman</v>
      </c>
      <c r="C258" s="296">
        <f>+'D) Ecrêtage'!C258</f>
        <v>24875.935818181821</v>
      </c>
      <c r="D258" s="421">
        <v>0</v>
      </c>
      <c r="E258" s="421">
        <f t="shared" si="36"/>
        <v>153590</v>
      </c>
      <c r="F258" s="541">
        <f t="shared" si="40"/>
        <v>6.1742400817637213</v>
      </c>
      <c r="G258" s="421">
        <v>153590</v>
      </c>
      <c r="H258" s="421">
        <v>32265</v>
      </c>
      <c r="I258" s="419">
        <v>36450</v>
      </c>
      <c r="J258" s="296">
        <f t="shared" si="41"/>
        <v>222305</v>
      </c>
      <c r="K258" s="276">
        <f t="shared" si="37"/>
        <v>199007.48654545457</v>
      </c>
      <c r="L258" s="10">
        <f t="shared" si="42"/>
        <v>23297.513454545435</v>
      </c>
      <c r="M258" s="293">
        <f t="shared" si="43"/>
        <v>-17473.135090909076</v>
      </c>
      <c r="N258" s="10">
        <v>0</v>
      </c>
      <c r="O258" s="10">
        <f t="shared" si="44"/>
        <v>6434</v>
      </c>
      <c r="P258" s="423">
        <v>6434</v>
      </c>
      <c r="Q258" s="10">
        <f t="shared" si="38"/>
        <v>24875.935818181821</v>
      </c>
      <c r="R258" s="14">
        <f t="shared" si="45"/>
        <v>0</v>
      </c>
      <c r="S258" s="2">
        <f t="shared" si="46"/>
        <v>0</v>
      </c>
      <c r="T258" s="129">
        <f t="shared" si="47"/>
        <v>-17473.135090909076</v>
      </c>
      <c r="U258" s="418">
        <f t="shared" si="39"/>
        <v>-0.70241116630225275</v>
      </c>
      <c r="V258" s="125"/>
    </row>
    <row r="259" spans="1:22" x14ac:dyDescent="0.25">
      <c r="A259" s="49">
        <f>+'A) Base RI'!A260</f>
        <v>5852</v>
      </c>
      <c r="B259" s="446" t="str">
        <f>+'A) Base RI'!B260</f>
        <v>Bursinel</v>
      </c>
      <c r="C259" s="296">
        <f>+'D) Ecrêtage'!C259</f>
        <v>34636.657688172039</v>
      </c>
      <c r="D259" s="421">
        <v>0</v>
      </c>
      <c r="E259" s="421">
        <f t="shared" si="36"/>
        <v>0</v>
      </c>
      <c r="F259" s="541">
        <f t="shared" si="40"/>
        <v>0</v>
      </c>
      <c r="G259" s="421">
        <v>0</v>
      </c>
      <c r="H259" s="421">
        <v>0</v>
      </c>
      <c r="I259" s="419">
        <v>0</v>
      </c>
      <c r="J259" s="296">
        <f t="shared" si="41"/>
        <v>0</v>
      </c>
      <c r="K259" s="276">
        <f t="shared" si="37"/>
        <v>277093.26150537631</v>
      </c>
      <c r="L259" s="10">
        <f t="shared" si="42"/>
        <v>0</v>
      </c>
      <c r="M259" s="293">
        <f t="shared" si="43"/>
        <v>0</v>
      </c>
      <c r="N259" s="10">
        <v>0</v>
      </c>
      <c r="O259" s="10">
        <f t="shared" si="44"/>
        <v>0</v>
      </c>
      <c r="P259" s="423">
        <v>0</v>
      </c>
      <c r="Q259" s="10">
        <f t="shared" si="38"/>
        <v>34636.657688172039</v>
      </c>
      <c r="R259" s="14">
        <f t="shared" si="45"/>
        <v>0</v>
      </c>
      <c r="S259" s="2">
        <f t="shared" si="46"/>
        <v>0</v>
      </c>
      <c r="T259" s="129">
        <f t="shared" si="47"/>
        <v>0</v>
      </c>
      <c r="U259" s="418">
        <f t="shared" si="39"/>
        <v>0</v>
      </c>
      <c r="V259" s="125"/>
    </row>
    <row r="260" spans="1:22" x14ac:dyDescent="0.25">
      <c r="A260" s="49">
        <f>+'A) Base RI'!A261</f>
        <v>5853</v>
      </c>
      <c r="B260" s="446" t="str">
        <f>+'A) Base RI'!B261</f>
        <v>Bursins</v>
      </c>
      <c r="C260" s="296">
        <f>+'D) Ecrêtage'!C260</f>
        <v>44486.311690140843</v>
      </c>
      <c r="D260" s="421">
        <v>52008</v>
      </c>
      <c r="E260" s="421">
        <f t="shared" si="36"/>
        <v>117796</v>
      </c>
      <c r="F260" s="541">
        <f t="shared" si="40"/>
        <v>2.6479156289800088</v>
      </c>
      <c r="G260" s="421">
        <v>169804</v>
      </c>
      <c r="H260" s="421">
        <v>45505</v>
      </c>
      <c r="I260" s="419">
        <v>0</v>
      </c>
      <c r="J260" s="296">
        <f t="shared" si="41"/>
        <v>215309</v>
      </c>
      <c r="K260" s="276">
        <f t="shared" si="37"/>
        <v>355890.49352112674</v>
      </c>
      <c r="L260" s="10">
        <f t="shared" si="42"/>
        <v>0</v>
      </c>
      <c r="M260" s="293">
        <f t="shared" si="43"/>
        <v>0</v>
      </c>
      <c r="N260" s="10">
        <v>0</v>
      </c>
      <c r="O260" s="10">
        <f t="shared" si="44"/>
        <v>54009</v>
      </c>
      <c r="P260" s="423">
        <v>54009</v>
      </c>
      <c r="Q260" s="10">
        <f t="shared" si="38"/>
        <v>44486.311690140843</v>
      </c>
      <c r="R260" s="14">
        <f t="shared" si="45"/>
        <v>9522.688309859157</v>
      </c>
      <c r="S260" s="2">
        <f t="shared" si="46"/>
        <v>-7142.0162323943678</v>
      </c>
      <c r="T260" s="129">
        <f t="shared" si="47"/>
        <v>-7142.0162323943678</v>
      </c>
      <c r="U260" s="418">
        <f t="shared" si="39"/>
        <v>-0.16054413056628378</v>
      </c>
      <c r="V260" s="125"/>
    </row>
    <row r="261" spans="1:22" x14ac:dyDescent="0.25">
      <c r="A261" s="49">
        <f>+'A) Base RI'!A262</f>
        <v>5854</v>
      </c>
      <c r="B261" s="446" t="str">
        <f>+'A) Base RI'!B262</f>
        <v>Burtigny</v>
      </c>
      <c r="C261" s="296">
        <f>+'D) Ecrêtage'!C261</f>
        <v>15255.967208333332</v>
      </c>
      <c r="D261" s="421">
        <v>0</v>
      </c>
      <c r="E261" s="421">
        <f t="shared" si="36"/>
        <v>156504</v>
      </c>
      <c r="F261" s="541">
        <f t="shared" si="40"/>
        <v>10.258543287541425</v>
      </c>
      <c r="G261" s="421">
        <v>156504</v>
      </c>
      <c r="H261" s="421">
        <v>11770</v>
      </c>
      <c r="I261" s="419">
        <v>38821</v>
      </c>
      <c r="J261" s="296">
        <f t="shared" si="41"/>
        <v>207095</v>
      </c>
      <c r="K261" s="276">
        <f t="shared" si="37"/>
        <v>122047.73766666665</v>
      </c>
      <c r="L261" s="10">
        <f t="shared" si="42"/>
        <v>85047.262333333347</v>
      </c>
      <c r="M261" s="293">
        <f t="shared" si="43"/>
        <v>-63785.44675000001</v>
      </c>
      <c r="N261" s="10">
        <v>0</v>
      </c>
      <c r="O261" s="10">
        <f t="shared" si="44"/>
        <v>37430</v>
      </c>
      <c r="P261" s="423">
        <v>37430</v>
      </c>
      <c r="Q261" s="10">
        <f t="shared" si="38"/>
        <v>15255.967208333332</v>
      </c>
      <c r="R261" s="14">
        <f t="shared" si="45"/>
        <v>22174.032791666668</v>
      </c>
      <c r="S261" s="2">
        <f t="shared" si="46"/>
        <v>-16630.52459375</v>
      </c>
      <c r="T261" s="129">
        <f t="shared" si="47"/>
        <v>-80415.971343750018</v>
      </c>
      <c r="U261" s="418">
        <f t="shared" si="39"/>
        <v>-5.2711159014437357</v>
      </c>
      <c r="V261" s="125"/>
    </row>
    <row r="262" spans="1:22" x14ac:dyDescent="0.25">
      <c r="A262" s="49">
        <f>+'A) Base RI'!A263</f>
        <v>5855</v>
      </c>
      <c r="B262" s="446" t="str">
        <f>+'A) Base RI'!B263</f>
        <v>Dully</v>
      </c>
      <c r="C262" s="296">
        <f>+'D) Ecrêtage'!C262</f>
        <v>93684.152857142864</v>
      </c>
      <c r="D262" s="421">
        <v>0</v>
      </c>
      <c r="E262" s="421">
        <f t="shared" ref="E262:E313" si="48">+G262-D262</f>
        <v>0</v>
      </c>
      <c r="F262" s="541">
        <f t="shared" si="40"/>
        <v>0</v>
      </c>
      <c r="G262" s="421">
        <v>0</v>
      </c>
      <c r="H262" s="421">
        <v>0</v>
      </c>
      <c r="I262" s="419">
        <v>0</v>
      </c>
      <c r="J262" s="296">
        <f t="shared" si="41"/>
        <v>0</v>
      </c>
      <c r="K262" s="276">
        <f t="shared" ref="K262:K313" si="49">+C262*$L$5</f>
        <v>749473.22285714292</v>
      </c>
      <c r="L262" s="10">
        <f t="shared" si="42"/>
        <v>0</v>
      </c>
      <c r="M262" s="293">
        <f t="shared" si="43"/>
        <v>0</v>
      </c>
      <c r="N262" s="10">
        <v>0</v>
      </c>
      <c r="O262" s="10">
        <f t="shared" si="44"/>
        <v>0</v>
      </c>
      <c r="P262" s="423">
        <v>0</v>
      </c>
      <c r="Q262" s="10">
        <f t="shared" ref="Q262:Q313" si="50">C262*R$5</f>
        <v>93684.152857142864</v>
      </c>
      <c r="R262" s="14">
        <f t="shared" si="45"/>
        <v>0</v>
      </c>
      <c r="S262" s="2">
        <f t="shared" si="46"/>
        <v>0</v>
      </c>
      <c r="T262" s="129">
        <f t="shared" si="47"/>
        <v>0</v>
      </c>
      <c r="U262" s="418">
        <f t="shared" ref="U262:U313" si="51">+T262/C262</f>
        <v>0</v>
      </c>
      <c r="V262" s="125"/>
    </row>
    <row r="263" spans="1:22" x14ac:dyDescent="0.25">
      <c r="A263" s="49">
        <f>+'A) Base RI'!A264</f>
        <v>5856</v>
      </c>
      <c r="B263" s="446" t="str">
        <f>+'A) Base RI'!B264</f>
        <v>Essertines-sur-Rolle</v>
      </c>
      <c r="C263" s="296">
        <f>+'D) Ecrêtage'!C263</f>
        <v>42060.670213996527</v>
      </c>
      <c r="D263" s="421">
        <v>41869</v>
      </c>
      <c r="E263" s="421">
        <f t="shared" si="48"/>
        <v>104173</v>
      </c>
      <c r="F263" s="541">
        <f t="shared" ref="F263:F313" si="52">+E263/C263</f>
        <v>2.4767318131163387</v>
      </c>
      <c r="G263" s="421">
        <v>146042</v>
      </c>
      <c r="H263" s="421">
        <v>23208</v>
      </c>
      <c r="I263" s="419">
        <v>46314</v>
      </c>
      <c r="J263" s="296">
        <f t="shared" ref="J263:J313" si="53">+G263+H263+I263</f>
        <v>215564</v>
      </c>
      <c r="K263" s="276">
        <f t="shared" si="49"/>
        <v>336485.36171197222</v>
      </c>
      <c r="L263" s="10">
        <f t="shared" ref="L263:L313" si="54">IF(J263&gt;K263,J263-K263,0)</f>
        <v>0</v>
      </c>
      <c r="M263" s="293">
        <f t="shared" ref="M263:M313" si="55">-L263*M$5</f>
        <v>0</v>
      </c>
      <c r="N263" s="10">
        <v>0</v>
      </c>
      <c r="O263" s="10">
        <f t="shared" ref="O263:O313" si="56">+P263-N263</f>
        <v>8770</v>
      </c>
      <c r="P263" s="423">
        <v>8770</v>
      </c>
      <c r="Q263" s="10">
        <f t="shared" si="50"/>
        <v>42060.670213996527</v>
      </c>
      <c r="R263" s="14">
        <f t="shared" ref="R263:R313" si="57">IF(P263&gt;Q263,P263-Q263,0)</f>
        <v>0</v>
      </c>
      <c r="S263" s="2">
        <f t="shared" ref="S263:S313" si="58">-R263*S$5</f>
        <v>0</v>
      </c>
      <c r="T263" s="129">
        <f t="shared" ref="T263:T313" si="59">S263+M263</f>
        <v>0</v>
      </c>
      <c r="U263" s="418">
        <f t="shared" si="51"/>
        <v>0</v>
      </c>
      <c r="V263" s="125"/>
    </row>
    <row r="264" spans="1:22" x14ac:dyDescent="0.25">
      <c r="A264" s="49">
        <f>+'A) Base RI'!A265</f>
        <v>5857</v>
      </c>
      <c r="B264" s="446" t="str">
        <f>+'A) Base RI'!B265</f>
        <v>Gilly</v>
      </c>
      <c r="C264" s="296">
        <f>+'D) Ecrêtage'!C264</f>
        <v>88866.553953488372</v>
      </c>
      <c r="D264" s="421">
        <v>0</v>
      </c>
      <c r="E264" s="421">
        <f t="shared" si="48"/>
        <v>0</v>
      </c>
      <c r="F264" s="541">
        <f t="shared" si="52"/>
        <v>0</v>
      </c>
      <c r="G264" s="421">
        <v>0</v>
      </c>
      <c r="H264" s="421">
        <v>0</v>
      </c>
      <c r="I264" s="419">
        <v>0</v>
      </c>
      <c r="J264" s="296">
        <f t="shared" si="53"/>
        <v>0</v>
      </c>
      <c r="K264" s="276">
        <f t="shared" si="49"/>
        <v>710932.43162790698</v>
      </c>
      <c r="L264" s="10">
        <f t="shared" si="54"/>
        <v>0</v>
      </c>
      <c r="M264" s="293">
        <f t="shared" si="55"/>
        <v>0</v>
      </c>
      <c r="N264" s="10">
        <v>0</v>
      </c>
      <c r="O264" s="10">
        <f t="shared" si="56"/>
        <v>0</v>
      </c>
      <c r="P264" s="423">
        <v>0</v>
      </c>
      <c r="Q264" s="10">
        <f t="shared" si="50"/>
        <v>88866.553953488372</v>
      </c>
      <c r="R264" s="14">
        <f t="shared" si="57"/>
        <v>0</v>
      </c>
      <c r="S264" s="2">
        <f t="shared" si="58"/>
        <v>0</v>
      </c>
      <c r="T264" s="129">
        <f t="shared" si="59"/>
        <v>0</v>
      </c>
      <c r="U264" s="418">
        <f t="shared" si="51"/>
        <v>0</v>
      </c>
      <c r="V264" s="125"/>
    </row>
    <row r="265" spans="1:22" x14ac:dyDescent="0.25">
      <c r="A265" s="49">
        <f>+'A) Base RI'!A266</f>
        <v>5858</v>
      </c>
      <c r="B265" s="446" t="str">
        <f>+'A) Base RI'!B266</f>
        <v>Luins</v>
      </c>
      <c r="C265" s="296">
        <f>+'D) Ecrêtage'!C265</f>
        <v>38253.397207977199</v>
      </c>
      <c r="D265" s="421">
        <v>0</v>
      </c>
      <c r="E265" s="421">
        <f t="shared" si="48"/>
        <v>0</v>
      </c>
      <c r="F265" s="541">
        <f t="shared" si="52"/>
        <v>0</v>
      </c>
      <c r="G265" s="421">
        <v>0</v>
      </c>
      <c r="H265" s="421">
        <v>0</v>
      </c>
      <c r="I265" s="419">
        <v>0</v>
      </c>
      <c r="J265" s="296">
        <f t="shared" si="53"/>
        <v>0</v>
      </c>
      <c r="K265" s="276">
        <f t="shared" si="49"/>
        <v>306027.17766381759</v>
      </c>
      <c r="L265" s="10">
        <f t="shared" si="54"/>
        <v>0</v>
      </c>
      <c r="M265" s="293">
        <f t="shared" si="55"/>
        <v>0</v>
      </c>
      <c r="N265" s="10">
        <v>0</v>
      </c>
      <c r="O265" s="10">
        <f t="shared" si="56"/>
        <v>0</v>
      </c>
      <c r="P265" s="423">
        <v>0</v>
      </c>
      <c r="Q265" s="10">
        <f t="shared" si="50"/>
        <v>38253.397207977199</v>
      </c>
      <c r="R265" s="14">
        <f t="shared" si="57"/>
        <v>0</v>
      </c>
      <c r="S265" s="2">
        <f t="shared" si="58"/>
        <v>0</v>
      </c>
      <c r="T265" s="129">
        <f t="shared" si="59"/>
        <v>0</v>
      </c>
      <c r="U265" s="418">
        <f t="shared" si="51"/>
        <v>0</v>
      </c>
      <c r="V265" s="125"/>
    </row>
    <row r="266" spans="1:22" x14ac:dyDescent="0.25">
      <c r="A266" s="49">
        <f>+'A) Base RI'!A267</f>
        <v>5859</v>
      </c>
      <c r="B266" s="446" t="str">
        <f>+'A) Base RI'!B267</f>
        <v>Mont-sur-Rolle</v>
      </c>
      <c r="C266" s="296">
        <f>+'D) Ecrêtage'!C266</f>
        <v>160910.93779527559</v>
      </c>
      <c r="D266" s="421">
        <v>48141</v>
      </c>
      <c r="E266" s="421">
        <f t="shared" si="48"/>
        <v>290684</v>
      </c>
      <c r="F266" s="541">
        <f t="shared" si="52"/>
        <v>1.8064899998894581</v>
      </c>
      <c r="G266" s="421">
        <v>338825</v>
      </c>
      <c r="H266" s="421">
        <v>116972</v>
      </c>
      <c r="I266" s="419">
        <v>238695</v>
      </c>
      <c r="J266" s="296">
        <f t="shared" si="53"/>
        <v>694492</v>
      </c>
      <c r="K266" s="276">
        <f t="shared" si="49"/>
        <v>1287287.5023622047</v>
      </c>
      <c r="L266" s="10">
        <f t="shared" si="54"/>
        <v>0</v>
      </c>
      <c r="M266" s="293">
        <f t="shared" si="55"/>
        <v>0</v>
      </c>
      <c r="N266" s="10">
        <v>0</v>
      </c>
      <c r="O266" s="10">
        <f t="shared" si="56"/>
        <v>0</v>
      </c>
      <c r="P266" s="423">
        <v>0</v>
      </c>
      <c r="Q266" s="10">
        <f t="shared" si="50"/>
        <v>160910.93779527559</v>
      </c>
      <c r="R266" s="14">
        <f t="shared" si="57"/>
        <v>0</v>
      </c>
      <c r="S266" s="2">
        <f t="shared" si="58"/>
        <v>0</v>
      </c>
      <c r="T266" s="129">
        <f t="shared" si="59"/>
        <v>0</v>
      </c>
      <c r="U266" s="418">
        <f t="shared" si="51"/>
        <v>0</v>
      </c>
      <c r="V266" s="125"/>
    </row>
    <row r="267" spans="1:22" x14ac:dyDescent="0.25">
      <c r="A267" s="49">
        <f>+'A) Base RI'!A268</f>
        <v>5860</v>
      </c>
      <c r="B267" s="446" t="str">
        <f>+'A) Base RI'!B268</f>
        <v>Perroy</v>
      </c>
      <c r="C267" s="296">
        <f>+'D) Ecrêtage'!C267</f>
        <v>124242.10120973046</v>
      </c>
      <c r="D267" s="421">
        <v>122176</v>
      </c>
      <c r="E267" s="421">
        <f t="shared" si="48"/>
        <v>87415</v>
      </c>
      <c r="F267" s="541">
        <f t="shared" si="52"/>
        <v>0.70358597567853898</v>
      </c>
      <c r="G267" s="421">
        <v>209591</v>
      </c>
      <c r="H267" s="421">
        <v>66510</v>
      </c>
      <c r="I267" s="419">
        <v>126589</v>
      </c>
      <c r="J267" s="296">
        <f t="shared" si="53"/>
        <v>402690</v>
      </c>
      <c r="K267" s="276">
        <f t="shared" si="49"/>
        <v>993936.8096778437</v>
      </c>
      <c r="L267" s="10">
        <f t="shared" si="54"/>
        <v>0</v>
      </c>
      <c r="M267" s="293">
        <f t="shared" si="55"/>
        <v>0</v>
      </c>
      <c r="N267" s="10">
        <v>0</v>
      </c>
      <c r="O267" s="10">
        <f t="shared" si="56"/>
        <v>5792</v>
      </c>
      <c r="P267" s="423">
        <v>5792</v>
      </c>
      <c r="Q267" s="10">
        <f t="shared" si="50"/>
        <v>124242.10120973046</v>
      </c>
      <c r="R267" s="14">
        <f t="shared" si="57"/>
        <v>0</v>
      </c>
      <c r="S267" s="2">
        <f t="shared" si="58"/>
        <v>0</v>
      </c>
      <c r="T267" s="129">
        <f t="shared" si="59"/>
        <v>0</v>
      </c>
      <c r="U267" s="418">
        <f t="shared" si="51"/>
        <v>0</v>
      </c>
      <c r="V267" s="125"/>
    </row>
    <row r="268" spans="1:22" x14ac:dyDescent="0.25">
      <c r="A268" s="49">
        <f>+'A) Base RI'!A269</f>
        <v>5861</v>
      </c>
      <c r="B268" s="446" t="str">
        <f>+'A) Base RI'!B269</f>
        <v>Rolle</v>
      </c>
      <c r="C268" s="296">
        <f>+'D) Ecrêtage'!C268</f>
        <v>638128.58403361356</v>
      </c>
      <c r="D268" s="421">
        <v>0</v>
      </c>
      <c r="E268" s="421">
        <f t="shared" si="48"/>
        <v>0</v>
      </c>
      <c r="F268" s="541">
        <f t="shared" si="52"/>
        <v>0</v>
      </c>
      <c r="G268" s="421">
        <v>0</v>
      </c>
      <c r="H268" s="421">
        <v>0</v>
      </c>
      <c r="I268" s="419">
        <v>0</v>
      </c>
      <c r="J268" s="296">
        <f t="shared" si="53"/>
        <v>0</v>
      </c>
      <c r="K268" s="276">
        <f t="shared" si="49"/>
        <v>5105028.6722689085</v>
      </c>
      <c r="L268" s="10">
        <f t="shared" si="54"/>
        <v>0</v>
      </c>
      <c r="M268" s="293">
        <f t="shared" si="55"/>
        <v>0</v>
      </c>
      <c r="N268" s="10">
        <v>0</v>
      </c>
      <c r="O268" s="10">
        <f t="shared" si="56"/>
        <v>0</v>
      </c>
      <c r="P268" s="423">
        <v>0</v>
      </c>
      <c r="Q268" s="10">
        <f t="shared" si="50"/>
        <v>638128.58403361356</v>
      </c>
      <c r="R268" s="14">
        <f t="shared" si="57"/>
        <v>0</v>
      </c>
      <c r="S268" s="2">
        <f t="shared" si="58"/>
        <v>0</v>
      </c>
      <c r="T268" s="129">
        <f t="shared" si="59"/>
        <v>0</v>
      </c>
      <c r="U268" s="418">
        <f t="shared" si="51"/>
        <v>0</v>
      </c>
      <c r="V268" s="125"/>
    </row>
    <row r="269" spans="1:22" x14ac:dyDescent="0.25">
      <c r="A269" s="49">
        <f>+'A) Base RI'!A270</f>
        <v>5862</v>
      </c>
      <c r="B269" s="446" t="str">
        <f>+'A) Base RI'!B270</f>
        <v>Tartegnin</v>
      </c>
      <c r="C269" s="296">
        <f>+'D) Ecrêtage'!C269</f>
        <v>7891.022278481013</v>
      </c>
      <c r="D269" s="421">
        <v>0</v>
      </c>
      <c r="E269" s="421">
        <f t="shared" si="48"/>
        <v>29967</v>
      </c>
      <c r="F269" s="541">
        <f t="shared" si="52"/>
        <v>3.7976068172714013</v>
      </c>
      <c r="G269" s="421">
        <v>29967</v>
      </c>
      <c r="H269" s="421">
        <v>12785</v>
      </c>
      <c r="I269" s="419">
        <v>19683</v>
      </c>
      <c r="J269" s="296">
        <f t="shared" si="53"/>
        <v>62435</v>
      </c>
      <c r="K269" s="276">
        <f t="shared" si="49"/>
        <v>63128.178227848104</v>
      </c>
      <c r="L269" s="10">
        <f t="shared" si="54"/>
        <v>0</v>
      </c>
      <c r="M269" s="293">
        <f t="shared" si="55"/>
        <v>0</v>
      </c>
      <c r="N269" s="10">
        <v>0</v>
      </c>
      <c r="O269" s="10">
        <f t="shared" si="56"/>
        <v>6317</v>
      </c>
      <c r="P269" s="423">
        <v>6317</v>
      </c>
      <c r="Q269" s="10">
        <f t="shared" si="50"/>
        <v>7891.022278481013</v>
      </c>
      <c r="R269" s="14">
        <f t="shared" si="57"/>
        <v>0</v>
      </c>
      <c r="S269" s="2">
        <f t="shared" si="58"/>
        <v>0</v>
      </c>
      <c r="T269" s="129">
        <f t="shared" si="59"/>
        <v>0</v>
      </c>
      <c r="U269" s="418">
        <f t="shared" si="51"/>
        <v>0</v>
      </c>
      <c r="V269" s="125"/>
    </row>
    <row r="270" spans="1:22" x14ac:dyDescent="0.25">
      <c r="A270" s="49">
        <f>+'A) Base RI'!A271</f>
        <v>5863</v>
      </c>
      <c r="B270" s="446" t="str">
        <f>+'A) Base RI'!B271</f>
        <v>Vinzel</v>
      </c>
      <c r="C270" s="296">
        <f>+'D) Ecrêtage'!C270</f>
        <v>21424.128507462683</v>
      </c>
      <c r="D270" s="421">
        <v>0</v>
      </c>
      <c r="E270" s="421">
        <f t="shared" si="48"/>
        <v>0</v>
      </c>
      <c r="F270" s="541">
        <f t="shared" si="52"/>
        <v>0</v>
      </c>
      <c r="G270" s="421">
        <v>0</v>
      </c>
      <c r="H270" s="421">
        <v>0</v>
      </c>
      <c r="I270" s="419">
        <v>0</v>
      </c>
      <c r="J270" s="296">
        <f t="shared" si="53"/>
        <v>0</v>
      </c>
      <c r="K270" s="276">
        <f t="shared" si="49"/>
        <v>171393.02805970146</v>
      </c>
      <c r="L270" s="10">
        <f t="shared" si="54"/>
        <v>0</v>
      </c>
      <c r="M270" s="293">
        <f t="shared" si="55"/>
        <v>0</v>
      </c>
      <c r="N270" s="10">
        <v>0</v>
      </c>
      <c r="O270" s="10">
        <f t="shared" si="56"/>
        <v>0</v>
      </c>
      <c r="P270" s="423">
        <v>0</v>
      </c>
      <c r="Q270" s="10">
        <f t="shared" si="50"/>
        <v>21424.128507462683</v>
      </c>
      <c r="R270" s="14">
        <f t="shared" si="57"/>
        <v>0</v>
      </c>
      <c r="S270" s="2">
        <f t="shared" si="58"/>
        <v>0</v>
      </c>
      <c r="T270" s="129">
        <f t="shared" si="59"/>
        <v>0</v>
      </c>
      <c r="U270" s="418">
        <f t="shared" si="51"/>
        <v>0</v>
      </c>
      <c r="V270" s="125"/>
    </row>
    <row r="271" spans="1:22" x14ac:dyDescent="0.25">
      <c r="A271" s="49">
        <f>+'A) Base RI'!A272</f>
        <v>5871</v>
      </c>
      <c r="B271" s="446" t="str">
        <f>+'A) Base RI'!B272</f>
        <v>L'Abbaye</v>
      </c>
      <c r="C271" s="296">
        <f>+'D) Ecrêtage'!C271</f>
        <v>52137.53921442369</v>
      </c>
      <c r="D271" s="421">
        <v>139647</v>
      </c>
      <c r="E271" s="421">
        <f t="shared" si="48"/>
        <v>462145</v>
      </c>
      <c r="F271" s="541">
        <f t="shared" si="52"/>
        <v>8.8639588090139281</v>
      </c>
      <c r="G271" s="421">
        <v>601792</v>
      </c>
      <c r="H271" s="421">
        <v>162190</v>
      </c>
      <c r="I271" s="419">
        <v>208632</v>
      </c>
      <c r="J271" s="296">
        <f t="shared" si="53"/>
        <v>972614</v>
      </c>
      <c r="K271" s="276">
        <f t="shared" si="49"/>
        <v>417100.31371538952</v>
      </c>
      <c r="L271" s="10">
        <f t="shared" si="54"/>
        <v>555513.68628461054</v>
      </c>
      <c r="M271" s="293">
        <f t="shared" si="55"/>
        <v>-416635.2647134579</v>
      </c>
      <c r="N271" s="10">
        <v>0</v>
      </c>
      <c r="O271" s="10">
        <f t="shared" si="56"/>
        <v>-20924</v>
      </c>
      <c r="P271" s="423">
        <v>-20924</v>
      </c>
      <c r="Q271" s="10">
        <f t="shared" si="50"/>
        <v>52137.53921442369</v>
      </c>
      <c r="R271" s="14">
        <f t="shared" si="57"/>
        <v>0</v>
      </c>
      <c r="S271" s="2">
        <f t="shared" si="58"/>
        <v>0</v>
      </c>
      <c r="T271" s="129">
        <f t="shared" si="59"/>
        <v>-416635.2647134579</v>
      </c>
      <c r="U271" s="418">
        <f t="shared" si="51"/>
        <v>-7.9910803423226584</v>
      </c>
      <c r="V271" s="125"/>
    </row>
    <row r="272" spans="1:22" x14ac:dyDescent="0.25">
      <c r="A272" s="49">
        <f>+'A) Base RI'!A273</f>
        <v>5872</v>
      </c>
      <c r="B272" s="446" t="str">
        <f>+'A) Base RI'!B273</f>
        <v>Le Chenit</v>
      </c>
      <c r="C272" s="296">
        <f>+'D) Ecrêtage'!C272</f>
        <v>199146.55575459031</v>
      </c>
      <c r="D272" s="421">
        <v>491048</v>
      </c>
      <c r="E272" s="421">
        <f t="shared" si="48"/>
        <v>2107411</v>
      </c>
      <c r="F272" s="541">
        <f t="shared" si="52"/>
        <v>10.582211638131353</v>
      </c>
      <c r="G272" s="421">
        <v>2598459</v>
      </c>
      <c r="H272" s="421">
        <v>506500</v>
      </c>
      <c r="I272" s="419">
        <v>656352</v>
      </c>
      <c r="J272" s="296">
        <f t="shared" si="53"/>
        <v>3761311</v>
      </c>
      <c r="K272" s="276">
        <f t="shared" si="49"/>
        <v>1593172.4460367225</v>
      </c>
      <c r="L272" s="10">
        <f t="shared" si="54"/>
        <v>2168138.5539632775</v>
      </c>
      <c r="M272" s="293">
        <f t="shared" si="55"/>
        <v>-1626103.9154724581</v>
      </c>
      <c r="N272" s="10">
        <v>0</v>
      </c>
      <c r="O272" s="10">
        <f t="shared" si="56"/>
        <v>318668</v>
      </c>
      <c r="P272" s="423">
        <v>318668</v>
      </c>
      <c r="Q272" s="10">
        <f t="shared" si="50"/>
        <v>199146.55575459031</v>
      </c>
      <c r="R272" s="14">
        <f t="shared" si="57"/>
        <v>119521.44424540969</v>
      </c>
      <c r="S272" s="2">
        <f t="shared" si="58"/>
        <v>-89641.083184057265</v>
      </c>
      <c r="T272" s="129">
        <f t="shared" si="59"/>
        <v>-1715744.9986565155</v>
      </c>
      <c r="U272" s="418">
        <f t="shared" si="51"/>
        <v>-8.6154891916425616</v>
      </c>
      <c r="V272" s="125"/>
    </row>
    <row r="273" spans="1:22" x14ac:dyDescent="0.25">
      <c r="A273" s="49">
        <f>+'A) Base RI'!A274</f>
        <v>5873</v>
      </c>
      <c r="B273" s="446" t="str">
        <f>+'A) Base RI'!B274</f>
        <v>Le Lieu</v>
      </c>
      <c r="C273" s="296">
        <f>+'D) Ecrêtage'!C273</f>
        <v>31475.129392857143</v>
      </c>
      <c r="D273" s="421">
        <v>16464</v>
      </c>
      <c r="E273" s="421">
        <f t="shared" si="48"/>
        <v>811373</v>
      </c>
      <c r="F273" s="541">
        <f t="shared" si="52"/>
        <v>25.778226035954919</v>
      </c>
      <c r="G273" s="421">
        <v>827837</v>
      </c>
      <c r="H273" s="421">
        <v>97777</v>
      </c>
      <c r="I273" s="419">
        <v>121370</v>
      </c>
      <c r="J273" s="296">
        <f t="shared" si="53"/>
        <v>1046984</v>
      </c>
      <c r="K273" s="276">
        <f t="shared" si="49"/>
        <v>251801.03514285714</v>
      </c>
      <c r="L273" s="10">
        <f t="shared" si="54"/>
        <v>795182.96485714288</v>
      </c>
      <c r="M273" s="293">
        <f t="shared" si="55"/>
        <v>-596387.22364285716</v>
      </c>
      <c r="N273" s="10">
        <v>0</v>
      </c>
      <c r="O273" s="10">
        <f t="shared" si="56"/>
        <v>174111</v>
      </c>
      <c r="P273" s="423">
        <v>174111</v>
      </c>
      <c r="Q273" s="10">
        <f t="shared" si="50"/>
        <v>31475.129392857143</v>
      </c>
      <c r="R273" s="14">
        <f t="shared" si="57"/>
        <v>142635.87060714286</v>
      </c>
      <c r="S273" s="2">
        <f t="shared" si="58"/>
        <v>-106976.90295535715</v>
      </c>
      <c r="T273" s="129">
        <f t="shared" si="59"/>
        <v>-703364.12659821426</v>
      </c>
      <c r="U273" s="418">
        <f t="shared" si="51"/>
        <v>-22.34666354565752</v>
      </c>
      <c r="V273" s="125"/>
    </row>
    <row r="274" spans="1:22" x14ac:dyDescent="0.25">
      <c r="A274" s="49">
        <f>+'A) Base RI'!A275</f>
        <v>5881</v>
      </c>
      <c r="B274" s="446" t="str">
        <f>+'A) Base RI'!B275</f>
        <v>Blonay</v>
      </c>
      <c r="C274" s="296">
        <f>+'D) Ecrêtage'!C274</f>
        <v>371401.9382481752</v>
      </c>
      <c r="D274" s="421">
        <v>528862</v>
      </c>
      <c r="E274" s="421">
        <f t="shared" si="48"/>
        <v>2040910</v>
      </c>
      <c r="F274" s="541">
        <f t="shared" si="52"/>
        <v>5.4951517206036753</v>
      </c>
      <c r="G274" s="421">
        <v>2569772</v>
      </c>
      <c r="H274" s="421">
        <v>1126088</v>
      </c>
      <c r="I274" s="419">
        <v>412818</v>
      </c>
      <c r="J274" s="296">
        <f t="shared" si="53"/>
        <v>4108678</v>
      </c>
      <c r="K274" s="276">
        <f t="shared" si="49"/>
        <v>2971215.5059854016</v>
      </c>
      <c r="L274" s="10">
        <f t="shared" si="54"/>
        <v>1137462.4940145984</v>
      </c>
      <c r="M274" s="293">
        <f t="shared" si="55"/>
        <v>-853096.87051094882</v>
      </c>
      <c r="N274" s="10">
        <v>42133</v>
      </c>
      <c r="O274" s="10">
        <f t="shared" si="56"/>
        <v>474072</v>
      </c>
      <c r="P274" s="423">
        <v>516205</v>
      </c>
      <c r="Q274" s="10">
        <f t="shared" si="50"/>
        <v>371401.9382481752</v>
      </c>
      <c r="R274" s="14">
        <f t="shared" si="57"/>
        <v>144803.0617518248</v>
      </c>
      <c r="S274" s="2">
        <f t="shared" si="58"/>
        <v>-108602.2963138686</v>
      </c>
      <c r="T274" s="129">
        <f t="shared" si="59"/>
        <v>-961699.16682481742</v>
      </c>
      <c r="U274" s="418">
        <f t="shared" si="51"/>
        <v>-2.5893757349812176</v>
      </c>
      <c r="V274" s="125"/>
    </row>
    <row r="275" spans="1:22" x14ac:dyDescent="0.25">
      <c r="A275" s="49">
        <f>+'A) Base RI'!A276</f>
        <v>5882</v>
      </c>
      <c r="B275" s="446" t="str">
        <f>+'A) Base RI'!B276</f>
        <v>Chardonne</v>
      </c>
      <c r="C275" s="296">
        <f>+'D) Ecrêtage'!C275</f>
        <v>186949.52411764706</v>
      </c>
      <c r="D275" s="421">
        <v>348094</v>
      </c>
      <c r="E275" s="421">
        <f t="shared" si="48"/>
        <v>1059451</v>
      </c>
      <c r="F275" s="541">
        <f t="shared" si="52"/>
        <v>5.6670430427696035</v>
      </c>
      <c r="G275" s="421">
        <v>1407545</v>
      </c>
      <c r="H275" s="421">
        <v>337166</v>
      </c>
      <c r="I275" s="419">
        <v>172688</v>
      </c>
      <c r="J275" s="296">
        <f t="shared" si="53"/>
        <v>1917399</v>
      </c>
      <c r="K275" s="276">
        <f t="shared" si="49"/>
        <v>1495596.1929411765</v>
      </c>
      <c r="L275" s="10">
        <f t="shared" si="54"/>
        <v>421802.80705882353</v>
      </c>
      <c r="M275" s="293">
        <f t="shared" si="55"/>
        <v>-316352.10529411765</v>
      </c>
      <c r="N275" s="10">
        <v>0</v>
      </c>
      <c r="O275" s="10">
        <f t="shared" si="56"/>
        <v>-24074</v>
      </c>
      <c r="P275" s="423">
        <v>-24074</v>
      </c>
      <c r="Q275" s="10">
        <f t="shared" si="50"/>
        <v>186949.52411764706</v>
      </c>
      <c r="R275" s="14">
        <f t="shared" si="57"/>
        <v>0</v>
      </c>
      <c r="S275" s="2">
        <f t="shared" si="58"/>
        <v>0</v>
      </c>
      <c r="T275" s="129">
        <f t="shared" si="59"/>
        <v>-316352.10529411765</v>
      </c>
      <c r="U275" s="418">
        <f t="shared" si="51"/>
        <v>-1.692179248849212</v>
      </c>
      <c r="V275" s="125"/>
    </row>
    <row r="276" spans="1:22" x14ac:dyDescent="0.25">
      <c r="A276" s="49">
        <f>+'A) Base RI'!A277</f>
        <v>5883</v>
      </c>
      <c r="B276" s="446" t="str">
        <f>+'A) Base RI'!B277</f>
        <v>Corseaux</v>
      </c>
      <c r="C276" s="296">
        <f>+'D) Ecrêtage'!C276</f>
        <v>193095.30118518518</v>
      </c>
      <c r="D276" s="421">
        <v>187601</v>
      </c>
      <c r="E276" s="421">
        <f t="shared" si="48"/>
        <v>344098</v>
      </c>
      <c r="F276" s="541">
        <f t="shared" si="52"/>
        <v>1.7820112550019946</v>
      </c>
      <c r="G276" s="421">
        <v>531699</v>
      </c>
      <c r="H276" s="421">
        <v>580740</v>
      </c>
      <c r="I276" s="419">
        <v>122420</v>
      </c>
      <c r="J276" s="296">
        <f t="shared" si="53"/>
        <v>1234859</v>
      </c>
      <c r="K276" s="276">
        <f t="shared" si="49"/>
        <v>1544762.4094814814</v>
      </c>
      <c r="L276" s="10">
        <f t="shared" si="54"/>
        <v>0</v>
      </c>
      <c r="M276" s="293">
        <f t="shared" si="55"/>
        <v>0</v>
      </c>
      <c r="N276" s="10">
        <v>0</v>
      </c>
      <c r="O276" s="10">
        <f t="shared" si="56"/>
        <v>1736</v>
      </c>
      <c r="P276" s="423">
        <v>1736</v>
      </c>
      <c r="Q276" s="10">
        <f t="shared" si="50"/>
        <v>193095.30118518518</v>
      </c>
      <c r="R276" s="14">
        <f t="shared" si="57"/>
        <v>0</v>
      </c>
      <c r="S276" s="2">
        <f t="shared" si="58"/>
        <v>0</v>
      </c>
      <c r="T276" s="129">
        <f t="shared" si="59"/>
        <v>0</v>
      </c>
      <c r="U276" s="418">
        <f t="shared" si="51"/>
        <v>0</v>
      </c>
      <c r="V276" s="125"/>
    </row>
    <row r="277" spans="1:22" x14ac:dyDescent="0.25">
      <c r="A277" s="49">
        <f>+'A) Base RI'!A278</f>
        <v>5884</v>
      </c>
      <c r="B277" s="446" t="str">
        <f>+'A) Base RI'!B278</f>
        <v>Corsier-sur-Vevey</v>
      </c>
      <c r="C277" s="296">
        <f>+'D) Ecrêtage'!C277</f>
        <v>148896.79012919901</v>
      </c>
      <c r="D277" s="421">
        <v>1057249</v>
      </c>
      <c r="E277" s="421">
        <f t="shared" si="48"/>
        <v>743827</v>
      </c>
      <c r="F277" s="541">
        <f t="shared" si="52"/>
        <v>4.9955878790575339</v>
      </c>
      <c r="G277" s="421">
        <v>1801076</v>
      </c>
      <c r="H277" s="421">
        <v>991658</v>
      </c>
      <c r="I277" s="419">
        <v>217699</v>
      </c>
      <c r="J277" s="296">
        <f t="shared" si="53"/>
        <v>3010433</v>
      </c>
      <c r="K277" s="276">
        <f t="shared" si="49"/>
        <v>1191174.3210335921</v>
      </c>
      <c r="L277" s="10">
        <f t="shared" si="54"/>
        <v>1819258.6789664079</v>
      </c>
      <c r="M277" s="293">
        <f t="shared" si="55"/>
        <v>-1364444.009224806</v>
      </c>
      <c r="N277" s="10">
        <v>0</v>
      </c>
      <c r="O277" s="10">
        <f t="shared" si="56"/>
        <v>22593</v>
      </c>
      <c r="P277" s="423">
        <v>22593</v>
      </c>
      <c r="Q277" s="10">
        <f t="shared" si="50"/>
        <v>148896.79012919901</v>
      </c>
      <c r="R277" s="14">
        <f t="shared" si="57"/>
        <v>0</v>
      </c>
      <c r="S277" s="2">
        <f t="shared" si="58"/>
        <v>0</v>
      </c>
      <c r="T277" s="129">
        <f t="shared" si="59"/>
        <v>-1364444.009224806</v>
      </c>
      <c r="U277" s="418">
        <f t="shared" si="51"/>
        <v>-9.1636898823733297</v>
      </c>
      <c r="V277" s="125"/>
    </row>
    <row r="278" spans="1:22" x14ac:dyDescent="0.25">
      <c r="A278" s="49">
        <f>+'A) Base RI'!A279</f>
        <v>5885</v>
      </c>
      <c r="B278" s="446" t="str">
        <f>+'A) Base RI'!B279</f>
        <v>Jongny</v>
      </c>
      <c r="C278" s="296">
        <f>+'D) Ecrêtage'!C278</f>
        <v>97076.940527577928</v>
      </c>
      <c r="D278" s="421">
        <v>51394</v>
      </c>
      <c r="E278" s="421">
        <f t="shared" si="48"/>
        <v>568727</v>
      </c>
      <c r="F278" s="541">
        <f t="shared" si="52"/>
        <v>5.85851796429899</v>
      </c>
      <c r="G278" s="421">
        <v>620121</v>
      </c>
      <c r="H278" s="421">
        <v>146359</v>
      </c>
      <c r="I278" s="419">
        <v>110999</v>
      </c>
      <c r="J278" s="296">
        <f t="shared" si="53"/>
        <v>877479</v>
      </c>
      <c r="K278" s="276">
        <f t="shared" si="49"/>
        <v>776615.52422062343</v>
      </c>
      <c r="L278" s="10">
        <f t="shared" si="54"/>
        <v>100863.47577937657</v>
      </c>
      <c r="M278" s="293">
        <f t="shared" si="55"/>
        <v>-75647.606834532431</v>
      </c>
      <c r="N278" s="10">
        <v>0</v>
      </c>
      <c r="O278" s="10">
        <f t="shared" si="56"/>
        <v>-5807</v>
      </c>
      <c r="P278" s="423">
        <v>-5807</v>
      </c>
      <c r="Q278" s="10">
        <f t="shared" si="50"/>
        <v>97076.940527577928</v>
      </c>
      <c r="R278" s="14">
        <f t="shared" si="57"/>
        <v>0</v>
      </c>
      <c r="S278" s="2">
        <f t="shared" si="58"/>
        <v>0</v>
      </c>
      <c r="T278" s="129">
        <f t="shared" si="59"/>
        <v>-75647.606834532431</v>
      </c>
      <c r="U278" s="418">
        <f t="shared" si="51"/>
        <v>-0.77925413000672616</v>
      </c>
      <c r="V278" s="125"/>
    </row>
    <row r="279" spans="1:22" x14ac:dyDescent="0.25">
      <c r="A279" s="49">
        <f>+'A) Base RI'!A280</f>
        <v>5886</v>
      </c>
      <c r="B279" s="446" t="str">
        <f>+'A) Base RI'!B280</f>
        <v>Montreux</v>
      </c>
      <c r="C279" s="296">
        <f>+'D) Ecrêtage'!C279</f>
        <v>1223405.0430769229</v>
      </c>
      <c r="D279" s="421">
        <v>1480662</v>
      </c>
      <c r="E279" s="421">
        <f t="shared" si="48"/>
        <v>8238654</v>
      </c>
      <c r="F279" s="541">
        <f t="shared" si="52"/>
        <v>6.7341998029363905</v>
      </c>
      <c r="G279" s="421">
        <v>9719316</v>
      </c>
      <c r="H279" s="421">
        <v>7533725</v>
      </c>
      <c r="I279" s="419">
        <v>302706.75</v>
      </c>
      <c r="J279" s="296">
        <f t="shared" si="53"/>
        <v>17555747.75</v>
      </c>
      <c r="K279" s="276">
        <f t="shared" si="49"/>
        <v>9787240.3446153831</v>
      </c>
      <c r="L279" s="10">
        <f t="shared" si="54"/>
        <v>7768507.4053846169</v>
      </c>
      <c r="M279" s="293">
        <f t="shared" si="55"/>
        <v>-5826380.5540384632</v>
      </c>
      <c r="N279" s="10">
        <v>8493</v>
      </c>
      <c r="O279" s="10">
        <f t="shared" si="56"/>
        <v>1615952</v>
      </c>
      <c r="P279" s="423">
        <v>1624445</v>
      </c>
      <c r="Q279" s="10">
        <f t="shared" si="50"/>
        <v>1223405.0430769229</v>
      </c>
      <c r="R279" s="14">
        <f t="shared" si="57"/>
        <v>401039.95692307712</v>
      </c>
      <c r="S279" s="2">
        <f t="shared" si="58"/>
        <v>-300779.96769230784</v>
      </c>
      <c r="T279" s="129">
        <f t="shared" si="59"/>
        <v>-6127160.5217307713</v>
      </c>
      <c r="U279" s="418">
        <f t="shared" si="51"/>
        <v>-5.0082845059398036</v>
      </c>
      <c r="V279" s="125"/>
    </row>
    <row r="280" spans="1:22" x14ac:dyDescent="0.25">
      <c r="A280" s="49">
        <f>+'A) Base RI'!A281</f>
        <v>5888</v>
      </c>
      <c r="B280" s="446" t="str">
        <f>+'A) Base RI'!B281</f>
        <v>Saint-Légier-La Chiésaz</v>
      </c>
      <c r="C280" s="296">
        <f>+'D) Ecrêtage'!C280</f>
        <v>334017.18953771284</v>
      </c>
      <c r="D280" s="421">
        <v>510310</v>
      </c>
      <c r="E280" s="421">
        <f t="shared" si="48"/>
        <v>2630213</v>
      </c>
      <c r="F280" s="541">
        <f t="shared" si="52"/>
        <v>7.8744839558714714</v>
      </c>
      <c r="G280" s="421">
        <v>3140523</v>
      </c>
      <c r="H280" s="421">
        <v>1218840</v>
      </c>
      <c r="I280" s="419">
        <v>334606</v>
      </c>
      <c r="J280" s="296">
        <f t="shared" si="53"/>
        <v>4693969</v>
      </c>
      <c r="K280" s="276">
        <f t="shared" si="49"/>
        <v>2672137.5163017027</v>
      </c>
      <c r="L280" s="10">
        <f t="shared" si="54"/>
        <v>2021831.4836982973</v>
      </c>
      <c r="M280" s="293">
        <f t="shared" si="55"/>
        <v>-1516373.612773723</v>
      </c>
      <c r="N280" s="10">
        <v>12134</v>
      </c>
      <c r="O280" s="10">
        <f t="shared" si="56"/>
        <v>619794</v>
      </c>
      <c r="P280" s="423">
        <v>631928</v>
      </c>
      <c r="Q280" s="10">
        <f t="shared" si="50"/>
        <v>334017.18953771284</v>
      </c>
      <c r="R280" s="14">
        <f t="shared" si="57"/>
        <v>297910.81046228716</v>
      </c>
      <c r="S280" s="2">
        <f t="shared" si="58"/>
        <v>-223433.10784671537</v>
      </c>
      <c r="T280" s="129">
        <f t="shared" si="59"/>
        <v>-1739806.7206204385</v>
      </c>
      <c r="U280" s="418">
        <f t="shared" si="51"/>
        <v>-5.2087340864952774</v>
      </c>
      <c r="V280" s="125"/>
    </row>
    <row r="281" spans="1:22" x14ac:dyDescent="0.25">
      <c r="A281" s="49">
        <f>+'A) Base RI'!A282</f>
        <v>5889</v>
      </c>
      <c r="B281" s="446" t="str">
        <f>+'A) Base RI'!B282</f>
        <v>La Tour-de-Peilz</v>
      </c>
      <c r="C281" s="296">
        <f>+'D) Ecrêtage'!C281</f>
        <v>740535.59942708339</v>
      </c>
      <c r="D281" s="421">
        <v>482522</v>
      </c>
      <c r="E281" s="421">
        <f t="shared" si="48"/>
        <v>2218576</v>
      </c>
      <c r="F281" s="541">
        <f t="shared" si="52"/>
        <v>2.9959072888817295</v>
      </c>
      <c r="G281" s="421">
        <v>2701098</v>
      </c>
      <c r="H281" s="421">
        <v>3438847</v>
      </c>
      <c r="I281" s="419">
        <v>470</v>
      </c>
      <c r="J281" s="296">
        <f t="shared" si="53"/>
        <v>6140415</v>
      </c>
      <c r="K281" s="276">
        <f t="shared" si="49"/>
        <v>5924284.7954166671</v>
      </c>
      <c r="L281" s="10">
        <f t="shared" si="54"/>
        <v>216130.20458333287</v>
      </c>
      <c r="M281" s="293">
        <f t="shared" si="55"/>
        <v>-162097.65343749966</v>
      </c>
      <c r="N281" s="10">
        <v>0</v>
      </c>
      <c r="O281" s="10">
        <f t="shared" si="56"/>
        <v>56792</v>
      </c>
      <c r="P281" s="423">
        <v>56792</v>
      </c>
      <c r="Q281" s="10">
        <f t="shared" si="50"/>
        <v>740535.59942708339</v>
      </c>
      <c r="R281" s="14">
        <f t="shared" si="57"/>
        <v>0</v>
      </c>
      <c r="S281" s="2">
        <f t="shared" si="58"/>
        <v>0</v>
      </c>
      <c r="T281" s="129">
        <f t="shared" si="59"/>
        <v>-162097.65343749966</v>
      </c>
      <c r="U281" s="418">
        <f t="shared" si="51"/>
        <v>-0.21889245238568783</v>
      </c>
      <c r="V281" s="125"/>
    </row>
    <row r="282" spans="1:22" x14ac:dyDescent="0.25">
      <c r="A282" s="49">
        <f>+'A) Base RI'!A283</f>
        <v>5890</v>
      </c>
      <c r="B282" s="446" t="str">
        <f>+'A) Base RI'!B283</f>
        <v>Vevey</v>
      </c>
      <c r="C282" s="296">
        <f>+'D) Ecrêtage'!C282</f>
        <v>969776.79771812086</v>
      </c>
      <c r="D282" s="421">
        <v>1165091</v>
      </c>
      <c r="E282" s="421">
        <f t="shared" si="48"/>
        <v>5638720</v>
      </c>
      <c r="F282" s="541">
        <f t="shared" si="52"/>
        <v>5.8144513389760153</v>
      </c>
      <c r="G282" s="421">
        <v>6803811</v>
      </c>
      <c r="H282" s="421">
        <v>5756426</v>
      </c>
      <c r="I282" s="419">
        <v>73545</v>
      </c>
      <c r="J282" s="296">
        <f t="shared" si="53"/>
        <v>12633782</v>
      </c>
      <c r="K282" s="276">
        <f t="shared" si="49"/>
        <v>7758214.3817449668</v>
      </c>
      <c r="L282" s="10">
        <f t="shared" si="54"/>
        <v>4875567.6182550332</v>
      </c>
      <c r="M282" s="293">
        <f t="shared" si="55"/>
        <v>-3656675.7136912746</v>
      </c>
      <c r="N282" s="10">
        <v>0</v>
      </c>
      <c r="O282" s="10">
        <f t="shared" si="56"/>
        <v>100000</v>
      </c>
      <c r="P282" s="423">
        <v>100000</v>
      </c>
      <c r="Q282" s="10">
        <f t="shared" si="50"/>
        <v>969776.79771812086</v>
      </c>
      <c r="R282" s="14">
        <f t="shared" si="57"/>
        <v>0</v>
      </c>
      <c r="S282" s="2">
        <f t="shared" si="58"/>
        <v>0</v>
      </c>
      <c r="T282" s="129">
        <f t="shared" si="59"/>
        <v>-3656675.7136912746</v>
      </c>
      <c r="U282" s="418">
        <f t="shared" si="51"/>
        <v>-3.7706364209737862</v>
      </c>
      <c r="V282" s="125"/>
    </row>
    <row r="283" spans="1:22" x14ac:dyDescent="0.25">
      <c r="A283" s="49">
        <f>+'A) Base RI'!A284</f>
        <v>5891</v>
      </c>
      <c r="B283" s="446" t="str">
        <f>+'A) Base RI'!B284</f>
        <v>Veytaux</v>
      </c>
      <c r="C283" s="296">
        <f>+'D) Ecrêtage'!C283</f>
        <v>39123.353381294961</v>
      </c>
      <c r="D283" s="421">
        <v>0</v>
      </c>
      <c r="E283" s="421">
        <f t="shared" si="48"/>
        <v>203288</v>
      </c>
      <c r="F283" s="541">
        <f t="shared" si="52"/>
        <v>5.1960781075886207</v>
      </c>
      <c r="G283" s="421">
        <v>203288</v>
      </c>
      <c r="H283" s="421">
        <v>473483</v>
      </c>
      <c r="I283" s="419">
        <v>30000</v>
      </c>
      <c r="J283" s="296">
        <f t="shared" si="53"/>
        <v>706771</v>
      </c>
      <c r="K283" s="276">
        <f t="shared" si="49"/>
        <v>312986.82705035969</v>
      </c>
      <c r="L283" s="10">
        <f t="shared" si="54"/>
        <v>393784.17294964031</v>
      </c>
      <c r="M283" s="293">
        <f t="shared" si="55"/>
        <v>-295338.12971223023</v>
      </c>
      <c r="N283" s="10">
        <v>17399</v>
      </c>
      <c r="O283" s="10">
        <f t="shared" si="56"/>
        <v>402785</v>
      </c>
      <c r="P283" s="423">
        <v>420184</v>
      </c>
      <c r="Q283" s="10">
        <f t="shared" si="50"/>
        <v>39123.353381294961</v>
      </c>
      <c r="R283" s="14">
        <f t="shared" si="57"/>
        <v>381060.64661870501</v>
      </c>
      <c r="S283" s="2">
        <f t="shared" si="58"/>
        <v>-285795.48496402876</v>
      </c>
      <c r="T283" s="129">
        <f t="shared" si="59"/>
        <v>-581133.61467625899</v>
      </c>
      <c r="U283" s="418">
        <f t="shared" si="51"/>
        <v>-14.853880469103689</v>
      </c>
      <c r="V283" s="125"/>
    </row>
    <row r="284" spans="1:22" x14ac:dyDescent="0.25">
      <c r="A284" s="49">
        <f>+'A) Base RI'!A285</f>
        <v>5902</v>
      </c>
      <c r="B284" s="446" t="str">
        <f>+'A) Base RI'!B285</f>
        <v>Belmont-sur-Yverdon</v>
      </c>
      <c r="C284" s="296">
        <f>+'D) Ecrêtage'!C284</f>
        <v>12109.15</v>
      </c>
      <c r="D284" s="421">
        <v>0</v>
      </c>
      <c r="E284" s="421">
        <f t="shared" si="48"/>
        <v>171492</v>
      </c>
      <c r="F284" s="541">
        <f t="shared" si="52"/>
        <v>14.16218314249968</v>
      </c>
      <c r="G284" s="421">
        <v>171492</v>
      </c>
      <c r="H284" s="421">
        <v>17441</v>
      </c>
      <c r="I284" s="419">
        <v>55286</v>
      </c>
      <c r="J284" s="296">
        <f t="shared" si="53"/>
        <v>244219</v>
      </c>
      <c r="K284" s="276">
        <f t="shared" si="49"/>
        <v>96873.2</v>
      </c>
      <c r="L284" s="10">
        <f t="shared" si="54"/>
        <v>147345.79999999999</v>
      </c>
      <c r="M284" s="293">
        <f t="shared" si="55"/>
        <v>-110509.34999999999</v>
      </c>
      <c r="N284" s="10">
        <v>0</v>
      </c>
      <c r="O284" s="10">
        <f t="shared" si="56"/>
        <v>18744</v>
      </c>
      <c r="P284" s="423">
        <v>18744</v>
      </c>
      <c r="Q284" s="10">
        <f t="shared" si="50"/>
        <v>12109.15</v>
      </c>
      <c r="R284" s="14">
        <f t="shared" si="57"/>
        <v>6634.85</v>
      </c>
      <c r="S284" s="2">
        <f t="shared" si="58"/>
        <v>-4976.1375000000007</v>
      </c>
      <c r="T284" s="129">
        <f t="shared" si="59"/>
        <v>-115485.48749999999</v>
      </c>
      <c r="U284" s="418">
        <f t="shared" si="51"/>
        <v>-9.5370432689329956</v>
      </c>
      <c r="V284" s="125"/>
    </row>
    <row r="285" spans="1:22" x14ac:dyDescent="0.25">
      <c r="A285" s="49">
        <f>+'A) Base RI'!A286</f>
        <v>5903</v>
      </c>
      <c r="B285" s="446" t="str">
        <f>+'A) Base RI'!B286</f>
        <v>Bioley-Magnoux</v>
      </c>
      <c r="C285" s="296">
        <f>+'D) Ecrêtage'!C285</f>
        <v>6059.1993849206356</v>
      </c>
      <c r="D285" s="421">
        <v>147000</v>
      </c>
      <c r="E285" s="421">
        <f t="shared" si="48"/>
        <v>58763</v>
      </c>
      <c r="F285" s="541">
        <f t="shared" si="52"/>
        <v>9.6981459541077122</v>
      </c>
      <c r="G285" s="421">
        <v>205763</v>
      </c>
      <c r="H285" s="421">
        <v>10130</v>
      </c>
      <c r="I285" s="419">
        <v>20578</v>
      </c>
      <c r="J285" s="296">
        <f t="shared" si="53"/>
        <v>236471</v>
      </c>
      <c r="K285" s="276">
        <f t="shared" si="49"/>
        <v>48473.595079365085</v>
      </c>
      <c r="L285" s="10">
        <f t="shared" si="54"/>
        <v>187997.40492063493</v>
      </c>
      <c r="M285" s="293">
        <f t="shared" si="55"/>
        <v>-140998.0536904762</v>
      </c>
      <c r="N285" s="10">
        <v>0</v>
      </c>
      <c r="O285" s="10">
        <f t="shared" si="56"/>
        <v>21992</v>
      </c>
      <c r="P285" s="423">
        <v>21992</v>
      </c>
      <c r="Q285" s="10">
        <f t="shared" si="50"/>
        <v>6059.1993849206356</v>
      </c>
      <c r="R285" s="14">
        <f t="shared" si="57"/>
        <v>15932.800615079364</v>
      </c>
      <c r="S285" s="2">
        <f t="shared" si="58"/>
        <v>-11949.600461309523</v>
      </c>
      <c r="T285" s="129">
        <f t="shared" si="59"/>
        <v>-152947.65415178571</v>
      </c>
      <c r="U285" s="418">
        <f t="shared" si="51"/>
        <v>-25.242221692262245</v>
      </c>
      <c r="V285" s="125"/>
    </row>
    <row r="286" spans="1:22" x14ac:dyDescent="0.25">
      <c r="A286" s="49">
        <f>+'A) Base RI'!A287</f>
        <v>5904</v>
      </c>
      <c r="B286" s="446" t="str">
        <f>+'A) Base RI'!B287</f>
        <v>Chamblon</v>
      </c>
      <c r="C286" s="296">
        <f>+'D) Ecrêtage'!C286</f>
        <v>22178.215151515149</v>
      </c>
      <c r="D286" s="421">
        <v>0</v>
      </c>
      <c r="E286" s="421">
        <f t="shared" si="48"/>
        <v>92351</v>
      </c>
      <c r="F286" s="541">
        <f t="shared" si="52"/>
        <v>4.1640411263523545</v>
      </c>
      <c r="G286" s="421">
        <v>92351</v>
      </c>
      <c r="H286" s="421">
        <v>24620</v>
      </c>
      <c r="I286" s="419">
        <v>15749</v>
      </c>
      <c r="J286" s="296">
        <f t="shared" si="53"/>
        <v>132720</v>
      </c>
      <c r="K286" s="276">
        <f t="shared" si="49"/>
        <v>177425.72121212119</v>
      </c>
      <c r="L286" s="10">
        <f t="shared" si="54"/>
        <v>0</v>
      </c>
      <c r="M286" s="293">
        <f t="shared" si="55"/>
        <v>0</v>
      </c>
      <c r="N286" s="10">
        <v>0</v>
      </c>
      <c r="O286" s="10">
        <f t="shared" si="56"/>
        <v>3647</v>
      </c>
      <c r="P286" s="423">
        <v>3647</v>
      </c>
      <c r="Q286" s="10">
        <f t="shared" si="50"/>
        <v>22178.215151515149</v>
      </c>
      <c r="R286" s="14">
        <f t="shared" si="57"/>
        <v>0</v>
      </c>
      <c r="S286" s="2">
        <f t="shared" si="58"/>
        <v>0</v>
      </c>
      <c r="T286" s="129">
        <f t="shared" si="59"/>
        <v>0</v>
      </c>
      <c r="U286" s="418">
        <f t="shared" si="51"/>
        <v>0</v>
      </c>
      <c r="V286" s="125"/>
    </row>
    <row r="287" spans="1:22" x14ac:dyDescent="0.25">
      <c r="A287" s="49">
        <f>+'A) Base RI'!A288</f>
        <v>5905</v>
      </c>
      <c r="B287" s="446" t="str">
        <f>+'A) Base RI'!B288</f>
        <v>Champvent</v>
      </c>
      <c r="C287" s="296">
        <f>+'D) Ecrêtage'!C287</f>
        <v>23298.236142857142</v>
      </c>
      <c r="D287" s="421">
        <v>11312</v>
      </c>
      <c r="E287" s="421">
        <f t="shared" si="48"/>
        <v>87983</v>
      </c>
      <c r="F287" s="541">
        <f t="shared" si="52"/>
        <v>3.7763803002303309</v>
      </c>
      <c r="G287" s="421">
        <v>99295</v>
      </c>
      <c r="H287" s="421">
        <v>76636</v>
      </c>
      <c r="I287" s="419">
        <v>26634</v>
      </c>
      <c r="J287" s="296">
        <f t="shared" si="53"/>
        <v>202565</v>
      </c>
      <c r="K287" s="276">
        <f t="shared" si="49"/>
        <v>186385.88914285714</v>
      </c>
      <c r="L287" s="10">
        <f t="shared" si="54"/>
        <v>16179.110857142863</v>
      </c>
      <c r="M287" s="293">
        <f t="shared" si="55"/>
        <v>-12134.333142857147</v>
      </c>
      <c r="N287" s="10">
        <v>0</v>
      </c>
      <c r="O287" s="10">
        <f t="shared" si="56"/>
        <v>37922</v>
      </c>
      <c r="P287" s="423">
        <v>37922</v>
      </c>
      <c r="Q287" s="10">
        <f t="shared" si="50"/>
        <v>23298.236142857142</v>
      </c>
      <c r="R287" s="14">
        <f t="shared" si="57"/>
        <v>14623.763857142858</v>
      </c>
      <c r="S287" s="2">
        <f t="shared" si="58"/>
        <v>-10967.822892857144</v>
      </c>
      <c r="T287" s="129">
        <f t="shared" si="59"/>
        <v>-23102.156035714292</v>
      </c>
      <c r="U287" s="418">
        <f t="shared" si="51"/>
        <v>-0.99158390764259785</v>
      </c>
      <c r="V287" s="125"/>
    </row>
    <row r="288" spans="1:22" x14ac:dyDescent="0.25">
      <c r="A288" s="49">
        <f>+'A) Base RI'!A289</f>
        <v>5907</v>
      </c>
      <c r="B288" s="446" t="str">
        <f>+'A) Base RI'!B289</f>
        <v>Chavannes-le-Chêne</v>
      </c>
      <c r="C288" s="296">
        <f>+'D) Ecrêtage'!C288</f>
        <v>7818.3477333333331</v>
      </c>
      <c r="D288" s="421">
        <v>52067</v>
      </c>
      <c r="E288" s="421">
        <f t="shared" si="48"/>
        <v>48667</v>
      </c>
      <c r="F288" s="541">
        <f t="shared" si="52"/>
        <v>6.2247167381043242</v>
      </c>
      <c r="G288" s="421">
        <v>100734</v>
      </c>
      <c r="H288" s="421">
        <v>14270</v>
      </c>
      <c r="I288" s="419">
        <v>30379</v>
      </c>
      <c r="J288" s="296">
        <f t="shared" si="53"/>
        <v>145383</v>
      </c>
      <c r="K288" s="276">
        <f t="shared" si="49"/>
        <v>62546.781866666664</v>
      </c>
      <c r="L288" s="10">
        <f t="shared" si="54"/>
        <v>82836.218133333343</v>
      </c>
      <c r="M288" s="293">
        <f t="shared" si="55"/>
        <v>-62127.163600000007</v>
      </c>
      <c r="N288" s="10">
        <v>0</v>
      </c>
      <c r="O288" s="10">
        <f t="shared" si="56"/>
        <v>15840</v>
      </c>
      <c r="P288" s="423">
        <v>15840</v>
      </c>
      <c r="Q288" s="10">
        <f t="shared" si="50"/>
        <v>7818.3477333333331</v>
      </c>
      <c r="R288" s="14">
        <f t="shared" si="57"/>
        <v>8021.6522666666669</v>
      </c>
      <c r="S288" s="2">
        <f t="shared" si="58"/>
        <v>-6016.2392</v>
      </c>
      <c r="T288" s="129">
        <f t="shared" si="59"/>
        <v>-68143.402800000011</v>
      </c>
      <c r="U288" s="418">
        <f t="shared" si="51"/>
        <v>-8.7158316723970071</v>
      </c>
      <c r="V288" s="125"/>
    </row>
    <row r="289" spans="1:22" x14ac:dyDescent="0.25">
      <c r="A289" s="49">
        <f>+'A) Base RI'!A290</f>
        <v>5908</v>
      </c>
      <c r="B289" s="446" t="str">
        <f>+'A) Base RI'!B290</f>
        <v>Chêne-Pâquier</v>
      </c>
      <c r="C289" s="296">
        <f>+'D) Ecrêtage'!C289</f>
        <v>4413.8781012658228</v>
      </c>
      <c r="D289" s="421">
        <v>3350</v>
      </c>
      <c r="E289" s="421">
        <f t="shared" si="48"/>
        <v>34250</v>
      </c>
      <c r="F289" s="541">
        <f t="shared" si="52"/>
        <v>7.7596161956030683</v>
      </c>
      <c r="G289" s="421">
        <v>37600</v>
      </c>
      <c r="H289" s="421">
        <v>6342</v>
      </c>
      <c r="I289" s="419">
        <v>13905</v>
      </c>
      <c r="J289" s="296">
        <f t="shared" si="53"/>
        <v>57847</v>
      </c>
      <c r="K289" s="276">
        <f t="shared" si="49"/>
        <v>35311.024810126582</v>
      </c>
      <c r="L289" s="10">
        <f t="shared" si="54"/>
        <v>22535.975189873418</v>
      </c>
      <c r="M289" s="293">
        <f t="shared" si="55"/>
        <v>-16901.981392405061</v>
      </c>
      <c r="N289" s="10">
        <v>0</v>
      </c>
      <c r="O289" s="10">
        <f t="shared" si="56"/>
        <v>19250</v>
      </c>
      <c r="P289" s="423">
        <v>19250</v>
      </c>
      <c r="Q289" s="10">
        <f t="shared" si="50"/>
        <v>4413.8781012658228</v>
      </c>
      <c r="R289" s="14">
        <f t="shared" si="57"/>
        <v>14836.121898734178</v>
      </c>
      <c r="S289" s="2">
        <f t="shared" si="58"/>
        <v>-11127.091424050634</v>
      </c>
      <c r="T289" s="129">
        <f t="shared" si="59"/>
        <v>-28029.072816455693</v>
      </c>
      <c r="U289" s="418">
        <f t="shared" si="51"/>
        <v>-6.3502145218775858</v>
      </c>
      <c r="V289" s="125"/>
    </row>
    <row r="290" spans="1:22" x14ac:dyDescent="0.25">
      <c r="A290" s="49">
        <f>+'A) Base RI'!A291</f>
        <v>5909</v>
      </c>
      <c r="B290" s="446" t="str">
        <f>+'A) Base RI'!B291</f>
        <v>Cheseaux-Noréaz</v>
      </c>
      <c r="C290" s="296">
        <f>+'D) Ecrêtage'!C290</f>
        <v>36898.573134328355</v>
      </c>
      <c r="D290" s="421">
        <v>115670</v>
      </c>
      <c r="E290" s="421">
        <f t="shared" si="48"/>
        <v>73553</v>
      </c>
      <c r="F290" s="541">
        <f t="shared" si="52"/>
        <v>1.9933833140981387</v>
      </c>
      <c r="G290" s="421">
        <v>189223</v>
      </c>
      <c r="H290" s="421">
        <v>137967</v>
      </c>
      <c r="I290" s="419">
        <v>25091</v>
      </c>
      <c r="J290" s="296">
        <f t="shared" si="53"/>
        <v>352281</v>
      </c>
      <c r="K290" s="276">
        <f t="shared" si="49"/>
        <v>295188.58507462684</v>
      </c>
      <c r="L290" s="10">
        <f t="shared" si="54"/>
        <v>57092.414925373159</v>
      </c>
      <c r="M290" s="293">
        <f t="shared" si="55"/>
        <v>-42819.31119402987</v>
      </c>
      <c r="N290" s="10">
        <v>0</v>
      </c>
      <c r="O290" s="10">
        <f t="shared" si="56"/>
        <v>15691</v>
      </c>
      <c r="P290" s="423">
        <v>15691</v>
      </c>
      <c r="Q290" s="10">
        <f t="shared" si="50"/>
        <v>36898.573134328355</v>
      </c>
      <c r="R290" s="14">
        <f t="shared" si="57"/>
        <v>0</v>
      </c>
      <c r="S290" s="2">
        <f t="shared" si="58"/>
        <v>0</v>
      </c>
      <c r="T290" s="129">
        <f t="shared" si="59"/>
        <v>-42819.31119402987</v>
      </c>
      <c r="U290" s="418">
        <f t="shared" si="51"/>
        <v>-1.1604598106855573</v>
      </c>
      <c r="V290" s="125"/>
    </row>
    <row r="291" spans="1:22" x14ac:dyDescent="0.25">
      <c r="A291" s="49">
        <f>+'A) Base RI'!A292</f>
        <v>5910</v>
      </c>
      <c r="B291" s="446" t="str">
        <f>+'A) Base RI'!B292</f>
        <v>Cronay</v>
      </c>
      <c r="C291" s="296">
        <f>+'D) Ecrêtage'!C291</f>
        <v>10600.416103896103</v>
      </c>
      <c r="D291" s="421">
        <v>4667</v>
      </c>
      <c r="E291" s="421">
        <f t="shared" si="48"/>
        <v>29733</v>
      </c>
      <c r="F291" s="541">
        <f t="shared" si="52"/>
        <v>2.8048898938100986</v>
      </c>
      <c r="G291" s="421">
        <v>34400</v>
      </c>
      <c r="H291" s="421">
        <v>25964</v>
      </c>
      <c r="I291" s="419">
        <v>36360</v>
      </c>
      <c r="J291" s="296">
        <f t="shared" si="53"/>
        <v>96724</v>
      </c>
      <c r="K291" s="276">
        <f t="shared" si="49"/>
        <v>84803.328831168823</v>
      </c>
      <c r="L291" s="10">
        <f t="shared" si="54"/>
        <v>11920.671168831177</v>
      </c>
      <c r="M291" s="293">
        <f t="shared" si="55"/>
        <v>-8940.5033766233828</v>
      </c>
      <c r="N291" s="10">
        <v>0</v>
      </c>
      <c r="O291" s="10">
        <f t="shared" si="56"/>
        <v>67031</v>
      </c>
      <c r="P291" s="423">
        <v>67031</v>
      </c>
      <c r="Q291" s="10">
        <f t="shared" si="50"/>
        <v>10600.416103896103</v>
      </c>
      <c r="R291" s="14">
        <f t="shared" si="57"/>
        <v>56430.583896103897</v>
      </c>
      <c r="S291" s="2">
        <f t="shared" si="58"/>
        <v>-42322.937922077923</v>
      </c>
      <c r="T291" s="129">
        <f t="shared" si="59"/>
        <v>-51263.441298701306</v>
      </c>
      <c r="U291" s="418">
        <f t="shared" si="51"/>
        <v>-4.8359838704689917</v>
      </c>
      <c r="V291" s="125"/>
    </row>
    <row r="292" spans="1:22" x14ac:dyDescent="0.25">
      <c r="A292" s="49">
        <f>+'A) Base RI'!A293</f>
        <v>5911</v>
      </c>
      <c r="B292" s="446" t="str">
        <f>+'A) Base RI'!B293</f>
        <v>Cuarny</v>
      </c>
      <c r="C292" s="296">
        <f>+'D) Ecrêtage'!C292</f>
        <v>7503.9646753246761</v>
      </c>
      <c r="D292" s="421">
        <v>0</v>
      </c>
      <c r="E292" s="421">
        <f t="shared" si="48"/>
        <v>52898</v>
      </c>
      <c r="F292" s="541">
        <f t="shared" si="52"/>
        <v>7.0493402206362665</v>
      </c>
      <c r="G292" s="421">
        <v>52898</v>
      </c>
      <c r="H292" s="421">
        <v>10306</v>
      </c>
      <c r="I292" s="419">
        <v>19052</v>
      </c>
      <c r="J292" s="296">
        <f t="shared" si="53"/>
        <v>82256</v>
      </c>
      <c r="K292" s="276">
        <f t="shared" si="49"/>
        <v>60031.717402597409</v>
      </c>
      <c r="L292" s="10">
        <f t="shared" si="54"/>
        <v>22224.282597402591</v>
      </c>
      <c r="M292" s="293">
        <f t="shared" si="55"/>
        <v>-16668.211948051943</v>
      </c>
      <c r="N292" s="10">
        <v>0</v>
      </c>
      <c r="O292" s="10">
        <f t="shared" si="56"/>
        <v>18077</v>
      </c>
      <c r="P292" s="423">
        <v>18077</v>
      </c>
      <c r="Q292" s="10">
        <f t="shared" si="50"/>
        <v>7503.9646753246761</v>
      </c>
      <c r="R292" s="14">
        <f t="shared" si="57"/>
        <v>10573.035324675324</v>
      </c>
      <c r="S292" s="2">
        <f t="shared" si="58"/>
        <v>-7929.7764935064934</v>
      </c>
      <c r="T292" s="129">
        <f t="shared" si="59"/>
        <v>-24597.988441558438</v>
      </c>
      <c r="U292" s="418">
        <f t="shared" si="51"/>
        <v>-3.277998965326173</v>
      </c>
      <c r="V292" s="125"/>
    </row>
    <row r="293" spans="1:22" x14ac:dyDescent="0.25">
      <c r="A293" s="49">
        <f>+'A) Base RI'!A294</f>
        <v>5912</v>
      </c>
      <c r="B293" s="446" t="str">
        <f>+'A) Base RI'!B294</f>
        <v>Démoret</v>
      </c>
      <c r="C293" s="296">
        <f>+'D) Ecrêtage'!C293</f>
        <v>4722.5551851851851</v>
      </c>
      <c r="D293" s="421">
        <v>0</v>
      </c>
      <c r="E293" s="421">
        <f t="shared" si="48"/>
        <v>16350</v>
      </c>
      <c r="F293" s="541">
        <f t="shared" si="52"/>
        <v>3.4621088285618136</v>
      </c>
      <c r="G293" s="421">
        <v>16350</v>
      </c>
      <c r="H293" s="421">
        <v>6959</v>
      </c>
      <c r="I293" s="419">
        <v>12912</v>
      </c>
      <c r="J293" s="296">
        <f t="shared" si="53"/>
        <v>36221</v>
      </c>
      <c r="K293" s="276">
        <f t="shared" si="49"/>
        <v>37780.441481481481</v>
      </c>
      <c r="L293" s="10">
        <f t="shared" si="54"/>
        <v>0</v>
      </c>
      <c r="M293" s="293">
        <f t="shared" si="55"/>
        <v>0</v>
      </c>
      <c r="N293" s="10">
        <v>0</v>
      </c>
      <c r="O293" s="10">
        <f t="shared" si="56"/>
        <v>29223</v>
      </c>
      <c r="P293" s="423">
        <v>29223</v>
      </c>
      <c r="Q293" s="10">
        <f t="shared" si="50"/>
        <v>4722.5551851851851</v>
      </c>
      <c r="R293" s="14">
        <f t="shared" si="57"/>
        <v>24500.444814814815</v>
      </c>
      <c r="S293" s="2">
        <f t="shared" si="58"/>
        <v>-18375.333611111113</v>
      </c>
      <c r="T293" s="129">
        <f t="shared" si="59"/>
        <v>-18375.333611111113</v>
      </c>
      <c r="U293" s="418">
        <f t="shared" si="51"/>
        <v>-3.89097276592027</v>
      </c>
      <c r="V293" s="125"/>
    </row>
    <row r="294" spans="1:22" x14ac:dyDescent="0.25">
      <c r="A294" s="49">
        <f>+'A) Base RI'!A295</f>
        <v>5913</v>
      </c>
      <c r="B294" s="446" t="str">
        <f>+'A) Base RI'!B295</f>
        <v>Donneloye</v>
      </c>
      <c r="C294" s="296">
        <f>+'D) Ecrêtage'!C294</f>
        <v>23893.322465753423</v>
      </c>
      <c r="D294" s="421">
        <v>23060</v>
      </c>
      <c r="E294" s="421">
        <f t="shared" si="48"/>
        <v>48223</v>
      </c>
      <c r="F294" s="541">
        <f t="shared" si="52"/>
        <v>2.0182626367311864</v>
      </c>
      <c r="G294" s="421">
        <v>71283</v>
      </c>
      <c r="H294" s="421">
        <v>54768</v>
      </c>
      <c r="I294" s="419">
        <v>72902</v>
      </c>
      <c r="J294" s="296">
        <f t="shared" si="53"/>
        <v>198953</v>
      </c>
      <c r="K294" s="276">
        <f t="shared" si="49"/>
        <v>191146.57972602738</v>
      </c>
      <c r="L294" s="10">
        <f t="shared" si="54"/>
        <v>7806.420273972617</v>
      </c>
      <c r="M294" s="293">
        <f t="shared" si="55"/>
        <v>-5854.8152054794627</v>
      </c>
      <c r="N294" s="10">
        <v>0</v>
      </c>
      <c r="O294" s="10">
        <f t="shared" si="56"/>
        <v>51875</v>
      </c>
      <c r="P294" s="423">
        <v>51875</v>
      </c>
      <c r="Q294" s="10">
        <f t="shared" si="50"/>
        <v>23893.322465753423</v>
      </c>
      <c r="R294" s="14">
        <f t="shared" si="57"/>
        <v>27981.677534246577</v>
      </c>
      <c r="S294" s="2">
        <f t="shared" si="58"/>
        <v>-20986.258150684931</v>
      </c>
      <c r="T294" s="129">
        <f t="shared" si="59"/>
        <v>-26841.073356164394</v>
      </c>
      <c r="U294" s="418">
        <f t="shared" si="51"/>
        <v>-1.1233713266388974</v>
      </c>
      <c r="V294" s="125"/>
    </row>
    <row r="295" spans="1:22" x14ac:dyDescent="0.25">
      <c r="A295" s="49">
        <f>+'A) Base RI'!A296</f>
        <v>5914</v>
      </c>
      <c r="B295" s="446" t="str">
        <f>+'A) Base RI'!B296</f>
        <v>Ependes</v>
      </c>
      <c r="C295" s="296">
        <f>+'D) Ecrêtage'!C295</f>
        <v>9829.5133333333324</v>
      </c>
      <c r="D295" s="421">
        <v>23948</v>
      </c>
      <c r="E295" s="421">
        <f t="shared" si="48"/>
        <v>31250</v>
      </c>
      <c r="F295" s="541">
        <f t="shared" si="52"/>
        <v>3.1792011405108562</v>
      </c>
      <c r="G295" s="421">
        <v>55198</v>
      </c>
      <c r="H295" s="421">
        <v>42722</v>
      </c>
      <c r="I295" s="419">
        <v>52535</v>
      </c>
      <c r="J295" s="296">
        <f t="shared" si="53"/>
        <v>150455</v>
      </c>
      <c r="K295" s="276">
        <f t="shared" si="49"/>
        <v>78636.106666666659</v>
      </c>
      <c r="L295" s="10">
        <f t="shared" si="54"/>
        <v>71818.893333333341</v>
      </c>
      <c r="M295" s="293">
        <f t="shared" si="55"/>
        <v>-53864.170000000006</v>
      </c>
      <c r="N295" s="10">
        <v>0</v>
      </c>
      <c r="O295" s="10">
        <f t="shared" si="56"/>
        <v>17400</v>
      </c>
      <c r="P295" s="423">
        <v>17400</v>
      </c>
      <c r="Q295" s="10">
        <f t="shared" si="50"/>
        <v>9829.5133333333324</v>
      </c>
      <c r="R295" s="14">
        <f t="shared" si="57"/>
        <v>7570.4866666666676</v>
      </c>
      <c r="S295" s="2">
        <f t="shared" si="58"/>
        <v>-5677.8650000000007</v>
      </c>
      <c r="T295" s="129">
        <f t="shared" si="59"/>
        <v>-59542.035000000003</v>
      </c>
      <c r="U295" s="418">
        <f t="shared" si="51"/>
        <v>-6.0574753785707944</v>
      </c>
      <c r="V295" s="125"/>
    </row>
    <row r="296" spans="1:22" x14ac:dyDescent="0.25">
      <c r="A296" s="49">
        <f>+'A) Base RI'!A297</f>
        <v>5919</v>
      </c>
      <c r="B296" s="446" t="str">
        <f>+'A) Base RI'!B297</f>
        <v>Mathod</v>
      </c>
      <c r="C296" s="296">
        <f>+'D) Ecrêtage'!C296</f>
        <v>18684.885972222222</v>
      </c>
      <c r="D296" s="421">
        <v>107107</v>
      </c>
      <c r="E296" s="421">
        <f t="shared" si="48"/>
        <v>164195</v>
      </c>
      <c r="F296" s="541">
        <f t="shared" si="52"/>
        <v>8.7875837317979641</v>
      </c>
      <c r="G296" s="421">
        <v>271302</v>
      </c>
      <c r="H296" s="421">
        <v>43008</v>
      </c>
      <c r="I296" s="419">
        <v>20339</v>
      </c>
      <c r="J296" s="296">
        <f t="shared" si="53"/>
        <v>334649</v>
      </c>
      <c r="K296" s="276">
        <f t="shared" si="49"/>
        <v>149479.08777777778</v>
      </c>
      <c r="L296" s="10">
        <f t="shared" si="54"/>
        <v>185169.91222222222</v>
      </c>
      <c r="M296" s="293">
        <f t="shared" si="55"/>
        <v>-138877.43416666667</v>
      </c>
      <c r="N296" s="10">
        <v>0</v>
      </c>
      <c r="O296" s="10">
        <f t="shared" si="56"/>
        <v>21808</v>
      </c>
      <c r="P296" s="423">
        <v>21808</v>
      </c>
      <c r="Q296" s="10">
        <f t="shared" si="50"/>
        <v>18684.885972222222</v>
      </c>
      <c r="R296" s="14">
        <f t="shared" si="57"/>
        <v>3123.1140277777777</v>
      </c>
      <c r="S296" s="2">
        <f t="shared" si="58"/>
        <v>-2342.3355208333332</v>
      </c>
      <c r="T296" s="129">
        <f t="shared" si="59"/>
        <v>-141219.7696875</v>
      </c>
      <c r="U296" s="418">
        <f t="shared" si="51"/>
        <v>-7.5579679692690416</v>
      </c>
      <c r="V296" s="125"/>
    </row>
    <row r="297" spans="1:22" x14ac:dyDescent="0.25">
      <c r="A297" s="49">
        <f>+'A) Base RI'!A298</f>
        <v>5921</v>
      </c>
      <c r="B297" s="446" t="str">
        <f>+'A) Base RI'!B298</f>
        <v>Molondin</v>
      </c>
      <c r="C297" s="296">
        <f>+'D) Ecrêtage'!C297</f>
        <v>5874.9966666666678</v>
      </c>
      <c r="D297" s="421">
        <v>0</v>
      </c>
      <c r="E297" s="421">
        <f t="shared" si="48"/>
        <v>22294</v>
      </c>
      <c r="F297" s="541">
        <f t="shared" si="52"/>
        <v>3.7947255572910956</v>
      </c>
      <c r="G297" s="421">
        <v>22294</v>
      </c>
      <c r="H297" s="421">
        <v>11099</v>
      </c>
      <c r="I297" s="419">
        <v>21559</v>
      </c>
      <c r="J297" s="296">
        <f t="shared" si="53"/>
        <v>54952</v>
      </c>
      <c r="K297" s="276">
        <f t="shared" si="49"/>
        <v>46999.973333333342</v>
      </c>
      <c r="L297" s="10">
        <f t="shared" si="54"/>
        <v>7952.0266666666575</v>
      </c>
      <c r="M297" s="293">
        <f t="shared" si="55"/>
        <v>-5964.0199999999932</v>
      </c>
      <c r="N297" s="10">
        <v>0</v>
      </c>
      <c r="O297" s="10">
        <f t="shared" si="56"/>
        <v>46883</v>
      </c>
      <c r="P297" s="423">
        <v>46883</v>
      </c>
      <c r="Q297" s="10">
        <f t="shared" si="50"/>
        <v>5874.9966666666678</v>
      </c>
      <c r="R297" s="14">
        <f t="shared" si="57"/>
        <v>41008.003333333334</v>
      </c>
      <c r="S297" s="2">
        <f t="shared" si="58"/>
        <v>-30756.002500000002</v>
      </c>
      <c r="T297" s="129">
        <f t="shared" si="59"/>
        <v>-36720.022499999992</v>
      </c>
      <c r="U297" s="418">
        <f t="shared" si="51"/>
        <v>-6.2502201419688719</v>
      </c>
      <c r="V297" s="125"/>
    </row>
    <row r="298" spans="1:22" x14ac:dyDescent="0.25">
      <c r="A298" s="49">
        <f>+'A) Base RI'!A299</f>
        <v>5922</v>
      </c>
      <c r="B298" s="446" t="str">
        <f>+'A) Base RI'!B299</f>
        <v>Montagny-près-Yverdon</v>
      </c>
      <c r="C298" s="296">
        <f>+'D) Ecrêtage'!C298</f>
        <v>39614.024961240313</v>
      </c>
      <c r="D298" s="421">
        <v>30362</v>
      </c>
      <c r="E298" s="421">
        <f t="shared" si="48"/>
        <v>79292</v>
      </c>
      <c r="F298" s="541">
        <f t="shared" si="52"/>
        <v>2.0016143292074449</v>
      </c>
      <c r="G298" s="421">
        <v>109654</v>
      </c>
      <c r="H298" s="421">
        <v>291855</v>
      </c>
      <c r="I298" s="419">
        <v>113240</v>
      </c>
      <c r="J298" s="296">
        <f t="shared" si="53"/>
        <v>514749</v>
      </c>
      <c r="K298" s="276">
        <f t="shared" si="49"/>
        <v>316912.19968992251</v>
      </c>
      <c r="L298" s="10">
        <f t="shared" si="54"/>
        <v>197836.80031007749</v>
      </c>
      <c r="M298" s="293">
        <f t="shared" si="55"/>
        <v>-148377.60023255812</v>
      </c>
      <c r="N298" s="10">
        <v>0</v>
      </c>
      <c r="O298" s="10">
        <f t="shared" si="56"/>
        <v>3861</v>
      </c>
      <c r="P298" s="423">
        <v>3861</v>
      </c>
      <c r="Q298" s="10">
        <f t="shared" si="50"/>
        <v>39614.024961240313</v>
      </c>
      <c r="R298" s="14">
        <f t="shared" si="57"/>
        <v>0</v>
      </c>
      <c r="S298" s="2">
        <f t="shared" si="58"/>
        <v>0</v>
      </c>
      <c r="T298" s="129">
        <f t="shared" si="59"/>
        <v>-148377.60023255812</v>
      </c>
      <c r="U298" s="418">
        <f t="shared" si="51"/>
        <v>-3.7455825399649676</v>
      </c>
      <c r="V298" s="125"/>
    </row>
    <row r="299" spans="1:22" x14ac:dyDescent="0.25">
      <c r="A299" s="49">
        <f>+'A) Base RI'!A300</f>
        <v>5923</v>
      </c>
      <c r="B299" s="446" t="str">
        <f>+'A) Base RI'!B300</f>
        <v>Oppens</v>
      </c>
      <c r="C299" s="296">
        <f>+'D) Ecrêtage'!C299</f>
        <v>5094.8359259259259</v>
      </c>
      <c r="D299" s="421">
        <v>2394</v>
      </c>
      <c r="E299" s="421">
        <f t="shared" si="48"/>
        <v>43507</v>
      </c>
      <c r="F299" s="541">
        <f t="shared" si="52"/>
        <v>8.5394310302727003</v>
      </c>
      <c r="G299" s="421">
        <v>45901</v>
      </c>
      <c r="H299" s="421">
        <v>8853</v>
      </c>
      <c r="I299" s="419">
        <v>17676</v>
      </c>
      <c r="J299" s="296">
        <f t="shared" si="53"/>
        <v>72430</v>
      </c>
      <c r="K299" s="276">
        <f t="shared" si="49"/>
        <v>40758.687407407408</v>
      </c>
      <c r="L299" s="10">
        <f t="shared" si="54"/>
        <v>31671.312592592592</v>
      </c>
      <c r="M299" s="293">
        <f t="shared" si="55"/>
        <v>-23753.484444444446</v>
      </c>
      <c r="N299" s="10">
        <v>0</v>
      </c>
      <c r="O299" s="10">
        <f t="shared" si="56"/>
        <v>22810</v>
      </c>
      <c r="P299" s="423">
        <v>22810</v>
      </c>
      <c r="Q299" s="10">
        <f t="shared" si="50"/>
        <v>5094.8359259259259</v>
      </c>
      <c r="R299" s="14">
        <f t="shared" si="57"/>
        <v>17715.164074074073</v>
      </c>
      <c r="S299" s="2">
        <f t="shared" si="58"/>
        <v>-13286.373055555556</v>
      </c>
      <c r="T299" s="129">
        <f t="shared" si="59"/>
        <v>-37039.857499999998</v>
      </c>
      <c r="U299" s="418">
        <f t="shared" si="51"/>
        <v>-7.2700785733877078</v>
      </c>
      <c r="V299" s="125"/>
    </row>
    <row r="300" spans="1:22" x14ac:dyDescent="0.25">
      <c r="A300" s="49">
        <f>+'A) Base RI'!A301</f>
        <v>5924</v>
      </c>
      <c r="B300" s="446" t="str">
        <f>+'A) Base RI'!B301</f>
        <v>Orges</v>
      </c>
      <c r="C300" s="296">
        <f>+'D) Ecrêtage'!C300</f>
        <v>13110.169864864867</v>
      </c>
      <c r="D300" s="421">
        <v>0</v>
      </c>
      <c r="E300" s="421">
        <f t="shared" si="48"/>
        <v>75150</v>
      </c>
      <c r="F300" s="541">
        <f t="shared" si="52"/>
        <v>5.7321911748375811</v>
      </c>
      <c r="G300" s="421">
        <v>75150</v>
      </c>
      <c r="H300" s="421">
        <v>15106</v>
      </c>
      <c r="I300" s="419">
        <v>53916</v>
      </c>
      <c r="J300" s="296">
        <f t="shared" si="53"/>
        <v>144172</v>
      </c>
      <c r="K300" s="276">
        <f t="shared" si="49"/>
        <v>104881.35891891894</v>
      </c>
      <c r="L300" s="10">
        <f t="shared" si="54"/>
        <v>39290.641081081063</v>
      </c>
      <c r="M300" s="293">
        <f t="shared" si="55"/>
        <v>-29467.980810810797</v>
      </c>
      <c r="N300" s="10">
        <v>0</v>
      </c>
      <c r="O300" s="10">
        <f t="shared" si="56"/>
        <v>-1330</v>
      </c>
      <c r="P300" s="423">
        <v>-1330</v>
      </c>
      <c r="Q300" s="10">
        <f t="shared" si="50"/>
        <v>13110.169864864867</v>
      </c>
      <c r="R300" s="14">
        <f t="shared" si="57"/>
        <v>0</v>
      </c>
      <c r="S300" s="2">
        <f t="shared" si="58"/>
        <v>0</v>
      </c>
      <c r="T300" s="129">
        <f t="shared" si="59"/>
        <v>-29467.980810810797</v>
      </c>
      <c r="U300" s="418">
        <f t="shared" si="51"/>
        <v>-2.2477192221425528</v>
      </c>
      <c r="V300" s="125"/>
    </row>
    <row r="301" spans="1:22" x14ac:dyDescent="0.25">
      <c r="A301" s="49">
        <f>+'A) Base RI'!A302</f>
        <v>5925</v>
      </c>
      <c r="B301" s="446" t="str">
        <f>+'A) Base RI'!B302</f>
        <v>Orzens</v>
      </c>
      <c r="C301" s="296">
        <f>+'D) Ecrêtage'!C301</f>
        <v>5230.5868354430377</v>
      </c>
      <c r="D301" s="421">
        <v>3827</v>
      </c>
      <c r="E301" s="421">
        <f t="shared" si="48"/>
        <v>8256</v>
      </c>
      <c r="F301" s="541">
        <f t="shared" si="52"/>
        <v>1.5784079797808588</v>
      </c>
      <c r="G301" s="421">
        <v>12083</v>
      </c>
      <c r="H301" s="421">
        <v>8853</v>
      </c>
      <c r="I301" s="419">
        <v>17676</v>
      </c>
      <c r="J301" s="296">
        <f t="shared" si="53"/>
        <v>38612</v>
      </c>
      <c r="K301" s="276">
        <f t="shared" si="49"/>
        <v>41844.694683544301</v>
      </c>
      <c r="L301" s="10">
        <f t="shared" si="54"/>
        <v>0</v>
      </c>
      <c r="M301" s="293">
        <f t="shared" si="55"/>
        <v>0</v>
      </c>
      <c r="N301" s="10">
        <v>0</v>
      </c>
      <c r="O301" s="10">
        <f t="shared" si="56"/>
        <v>18397</v>
      </c>
      <c r="P301" s="423">
        <v>18397</v>
      </c>
      <c r="Q301" s="10">
        <f t="shared" si="50"/>
        <v>5230.5868354430377</v>
      </c>
      <c r="R301" s="14">
        <f t="shared" si="57"/>
        <v>13166.413164556961</v>
      </c>
      <c r="S301" s="2">
        <f t="shared" si="58"/>
        <v>-9874.809873417722</v>
      </c>
      <c r="T301" s="129">
        <f t="shared" si="59"/>
        <v>-9874.809873417722</v>
      </c>
      <c r="U301" s="418">
        <f t="shared" si="51"/>
        <v>-1.8878971297264224</v>
      </c>
      <c r="V301" s="125"/>
    </row>
    <row r="302" spans="1:22" x14ac:dyDescent="0.25">
      <c r="A302" s="49">
        <f>+'A) Base RI'!A303</f>
        <v>5926</v>
      </c>
      <c r="B302" s="446" t="str">
        <f>+'A) Base RI'!B303</f>
        <v>Pomy</v>
      </c>
      <c r="C302" s="296">
        <f>+'D) Ecrêtage'!C302</f>
        <v>27875.103943661972</v>
      </c>
      <c r="D302" s="421">
        <v>56182</v>
      </c>
      <c r="E302" s="421">
        <f t="shared" si="48"/>
        <v>72907</v>
      </c>
      <c r="F302" s="541">
        <f t="shared" si="52"/>
        <v>2.6154880049004099</v>
      </c>
      <c r="G302" s="421">
        <v>129089</v>
      </c>
      <c r="H302" s="421">
        <v>53050</v>
      </c>
      <c r="I302" s="419">
        <v>79477</v>
      </c>
      <c r="J302" s="296">
        <f t="shared" si="53"/>
        <v>261616</v>
      </c>
      <c r="K302" s="276">
        <f t="shared" si="49"/>
        <v>223000.83154929578</v>
      </c>
      <c r="L302" s="10">
        <f t="shared" si="54"/>
        <v>38615.168450704223</v>
      </c>
      <c r="M302" s="293">
        <f t="shared" si="55"/>
        <v>-28961.376338028167</v>
      </c>
      <c r="N302" s="10">
        <v>0</v>
      </c>
      <c r="O302" s="10">
        <f t="shared" si="56"/>
        <v>49274</v>
      </c>
      <c r="P302" s="423">
        <v>49274</v>
      </c>
      <c r="Q302" s="10">
        <f t="shared" si="50"/>
        <v>27875.103943661972</v>
      </c>
      <c r="R302" s="14">
        <f t="shared" si="57"/>
        <v>21398.896056338028</v>
      </c>
      <c r="S302" s="2">
        <f t="shared" si="58"/>
        <v>-16049.172042253522</v>
      </c>
      <c r="T302" s="129">
        <f t="shared" si="59"/>
        <v>-45010.548380281689</v>
      </c>
      <c r="U302" s="418">
        <f t="shared" si="51"/>
        <v>-1.6147221718438056</v>
      </c>
      <c r="V302" s="125"/>
    </row>
    <row r="303" spans="1:22" x14ac:dyDescent="0.25">
      <c r="A303" s="49">
        <f>+'A) Base RI'!A304</f>
        <v>5928</v>
      </c>
      <c r="B303" s="446" t="str">
        <f>+'A) Base RI'!B304</f>
        <v>Rovray</v>
      </c>
      <c r="C303" s="296">
        <f>+'D) Ecrêtage'!C303</f>
        <v>5459.4606993006983</v>
      </c>
      <c r="D303" s="421">
        <v>6555</v>
      </c>
      <c r="E303" s="421">
        <f t="shared" si="48"/>
        <v>35166</v>
      </c>
      <c r="F303" s="541">
        <f t="shared" si="52"/>
        <v>6.4412955668871117</v>
      </c>
      <c r="G303" s="421">
        <v>41721</v>
      </c>
      <c r="H303" s="421">
        <v>8985</v>
      </c>
      <c r="I303" s="419">
        <v>24260</v>
      </c>
      <c r="J303" s="296">
        <f t="shared" si="53"/>
        <v>74966</v>
      </c>
      <c r="K303" s="276">
        <f t="shared" si="49"/>
        <v>43675.685594405586</v>
      </c>
      <c r="L303" s="10">
        <f t="shared" si="54"/>
        <v>31290.314405594414</v>
      </c>
      <c r="M303" s="293">
        <f t="shared" si="55"/>
        <v>-23467.73580419581</v>
      </c>
      <c r="N303" s="10">
        <v>0</v>
      </c>
      <c r="O303" s="10">
        <f t="shared" si="56"/>
        <v>6884</v>
      </c>
      <c r="P303" s="423">
        <v>6884</v>
      </c>
      <c r="Q303" s="10">
        <f t="shared" si="50"/>
        <v>5459.4606993006983</v>
      </c>
      <c r="R303" s="14">
        <f t="shared" si="57"/>
        <v>1424.5393006993017</v>
      </c>
      <c r="S303" s="2">
        <f t="shared" si="58"/>
        <v>-1068.4044755244763</v>
      </c>
      <c r="T303" s="129">
        <f t="shared" si="59"/>
        <v>-24536.140279720286</v>
      </c>
      <c r="U303" s="418">
        <f t="shared" si="51"/>
        <v>-4.4942424959416076</v>
      </c>
      <c r="V303" s="125"/>
    </row>
    <row r="304" spans="1:22" x14ac:dyDescent="0.25">
      <c r="A304" s="49">
        <f>+'A) Base RI'!A305</f>
        <v>5929</v>
      </c>
      <c r="B304" s="446" t="str">
        <f>+'A) Base RI'!B305</f>
        <v>Suchy</v>
      </c>
      <c r="C304" s="296">
        <f>+'D) Ecrêtage'!C304</f>
        <v>20266.988392857143</v>
      </c>
      <c r="D304" s="421">
        <v>6103</v>
      </c>
      <c r="E304" s="421">
        <f t="shared" si="48"/>
        <v>48374</v>
      </c>
      <c r="F304" s="541">
        <f t="shared" si="52"/>
        <v>2.3868371098021073</v>
      </c>
      <c r="G304" s="421">
        <v>54477</v>
      </c>
      <c r="H304" s="421">
        <v>28893</v>
      </c>
      <c r="I304" s="419">
        <v>108323</v>
      </c>
      <c r="J304" s="296">
        <f t="shared" si="53"/>
        <v>191693</v>
      </c>
      <c r="K304" s="276">
        <f t="shared" si="49"/>
        <v>162135.90714285715</v>
      </c>
      <c r="L304" s="10">
        <f t="shared" si="54"/>
        <v>29557.092857142852</v>
      </c>
      <c r="M304" s="293">
        <f t="shared" si="55"/>
        <v>-22167.819642857139</v>
      </c>
      <c r="N304" s="10">
        <v>0</v>
      </c>
      <c r="O304" s="10">
        <f t="shared" si="56"/>
        <v>37695</v>
      </c>
      <c r="P304" s="423">
        <v>37695</v>
      </c>
      <c r="Q304" s="10">
        <f t="shared" si="50"/>
        <v>20266.988392857143</v>
      </c>
      <c r="R304" s="14">
        <f t="shared" si="57"/>
        <v>17428.011607142857</v>
      </c>
      <c r="S304" s="2">
        <f t="shared" si="58"/>
        <v>-13071.008705357142</v>
      </c>
      <c r="T304" s="129">
        <f t="shared" si="59"/>
        <v>-35238.82834821428</v>
      </c>
      <c r="U304" s="418">
        <f t="shared" si="51"/>
        <v>-1.7387303759760271</v>
      </c>
      <c r="V304" s="125"/>
    </row>
    <row r="305" spans="1:22" x14ac:dyDescent="0.25">
      <c r="A305" s="49">
        <f>+'A) Base RI'!A306</f>
        <v>5930</v>
      </c>
      <c r="B305" s="446" t="str">
        <f>+'A) Base RI'!B306</f>
        <v>Suscévaz</v>
      </c>
      <c r="C305" s="296">
        <f>+'D) Ecrêtage'!C305</f>
        <v>6661.8138888888889</v>
      </c>
      <c r="D305" s="421">
        <v>57719</v>
      </c>
      <c r="E305" s="421">
        <f t="shared" si="48"/>
        <v>11399</v>
      </c>
      <c r="F305" s="541">
        <f t="shared" si="52"/>
        <v>1.7110955349581549</v>
      </c>
      <c r="G305" s="421">
        <v>69118</v>
      </c>
      <c r="H305" s="421">
        <v>13477</v>
      </c>
      <c r="I305" s="419">
        <v>7790</v>
      </c>
      <c r="J305" s="296">
        <f t="shared" si="53"/>
        <v>90385</v>
      </c>
      <c r="K305" s="276">
        <f t="shared" si="49"/>
        <v>53294.511111111111</v>
      </c>
      <c r="L305" s="10">
        <f t="shared" si="54"/>
        <v>37090.488888888889</v>
      </c>
      <c r="M305" s="293">
        <f t="shared" si="55"/>
        <v>-27817.866666666669</v>
      </c>
      <c r="N305" s="10">
        <v>0</v>
      </c>
      <c r="O305" s="10">
        <f t="shared" si="56"/>
        <v>6852</v>
      </c>
      <c r="P305" s="423">
        <v>6852</v>
      </c>
      <c r="Q305" s="10">
        <f t="shared" si="50"/>
        <v>6661.8138888888889</v>
      </c>
      <c r="R305" s="14">
        <f t="shared" si="57"/>
        <v>190.18611111111113</v>
      </c>
      <c r="S305" s="2">
        <f t="shared" si="58"/>
        <v>-142.63958333333335</v>
      </c>
      <c r="T305" s="129">
        <f t="shared" si="59"/>
        <v>-27960.506250000002</v>
      </c>
      <c r="U305" s="418">
        <f t="shared" si="51"/>
        <v>-4.1971310991792778</v>
      </c>
      <c r="V305" s="125"/>
    </row>
    <row r="306" spans="1:22" x14ac:dyDescent="0.25">
      <c r="A306" s="49">
        <f>+'A) Base RI'!A307</f>
        <v>5931</v>
      </c>
      <c r="B306" s="446" t="str">
        <f>+'A) Base RI'!B307</f>
        <v>Treycovagnes</v>
      </c>
      <c r="C306" s="296">
        <f>+'D) Ecrêtage'!C306</f>
        <v>15271.093466666664</v>
      </c>
      <c r="D306" s="421">
        <v>98879</v>
      </c>
      <c r="E306" s="421">
        <f t="shared" si="48"/>
        <v>57967</v>
      </c>
      <c r="F306" s="541">
        <f t="shared" si="52"/>
        <v>3.7958643974335451</v>
      </c>
      <c r="G306" s="421">
        <v>156846</v>
      </c>
      <c r="H306" s="421">
        <v>32042</v>
      </c>
      <c r="I306" s="419">
        <v>15883</v>
      </c>
      <c r="J306" s="296">
        <f t="shared" si="53"/>
        <v>204771</v>
      </c>
      <c r="K306" s="276">
        <f t="shared" si="49"/>
        <v>122168.74773333331</v>
      </c>
      <c r="L306" s="10">
        <f t="shared" si="54"/>
        <v>82602.252266666692</v>
      </c>
      <c r="M306" s="293">
        <f t="shared" si="55"/>
        <v>-61951.689200000023</v>
      </c>
      <c r="N306" s="10">
        <v>0</v>
      </c>
      <c r="O306" s="10">
        <f t="shared" si="56"/>
        <v>882</v>
      </c>
      <c r="P306" s="423">
        <v>882</v>
      </c>
      <c r="Q306" s="10">
        <f t="shared" si="50"/>
        <v>15271.093466666664</v>
      </c>
      <c r="R306" s="14">
        <f t="shared" si="57"/>
        <v>0</v>
      </c>
      <c r="S306" s="2">
        <f t="shared" si="58"/>
        <v>0</v>
      </c>
      <c r="T306" s="129">
        <f t="shared" si="59"/>
        <v>-61951.689200000023</v>
      </c>
      <c r="U306" s="418">
        <f t="shared" si="51"/>
        <v>-4.0567945795909459</v>
      </c>
      <c r="V306" s="125"/>
    </row>
    <row r="307" spans="1:22" x14ac:dyDescent="0.25">
      <c r="A307" s="49">
        <f>+'A) Base RI'!A308</f>
        <v>5932</v>
      </c>
      <c r="B307" s="446" t="str">
        <f>+'A) Base RI'!B308</f>
        <v>Ursins</v>
      </c>
      <c r="C307" s="296">
        <f>+'D) Ecrêtage'!C307</f>
        <v>7703.3244000000022</v>
      </c>
      <c r="D307" s="421">
        <v>7700</v>
      </c>
      <c r="E307" s="421">
        <f t="shared" si="48"/>
        <v>17372</v>
      </c>
      <c r="F307" s="541">
        <f t="shared" si="52"/>
        <v>2.2551302655772871</v>
      </c>
      <c r="G307" s="421">
        <v>25072</v>
      </c>
      <c r="H307" s="421">
        <v>10483</v>
      </c>
      <c r="I307" s="419">
        <v>7224</v>
      </c>
      <c r="J307" s="296">
        <f t="shared" si="53"/>
        <v>42779</v>
      </c>
      <c r="K307" s="276">
        <f t="shared" si="49"/>
        <v>61626.595200000018</v>
      </c>
      <c r="L307" s="10">
        <f t="shared" si="54"/>
        <v>0</v>
      </c>
      <c r="M307" s="293">
        <f t="shared" si="55"/>
        <v>0</v>
      </c>
      <c r="N307" s="10">
        <v>0</v>
      </c>
      <c r="O307" s="10">
        <f t="shared" si="56"/>
        <v>18412</v>
      </c>
      <c r="P307" s="423">
        <v>18412</v>
      </c>
      <c r="Q307" s="10">
        <f t="shared" si="50"/>
        <v>7703.3244000000022</v>
      </c>
      <c r="R307" s="14">
        <f t="shared" si="57"/>
        <v>10708.675599999999</v>
      </c>
      <c r="S307" s="2">
        <f t="shared" si="58"/>
        <v>-8031.506699999999</v>
      </c>
      <c r="T307" s="129">
        <f t="shared" si="59"/>
        <v>-8031.506699999999</v>
      </c>
      <c r="U307" s="418">
        <f t="shared" si="51"/>
        <v>-1.0426026846279506</v>
      </c>
      <c r="V307" s="125"/>
    </row>
    <row r="308" spans="1:22" x14ac:dyDescent="0.25">
      <c r="A308" s="49">
        <f>+'A) Base RI'!A309</f>
        <v>5933</v>
      </c>
      <c r="B308" s="446" t="str">
        <f>+'A) Base RI'!B309</f>
        <v>Valeyres-sous-Montagny</v>
      </c>
      <c r="C308" s="296">
        <f>+'D) Ecrêtage'!C308</f>
        <v>19607.073049645387</v>
      </c>
      <c r="D308" s="421">
        <v>38860</v>
      </c>
      <c r="E308" s="421">
        <f t="shared" si="48"/>
        <v>531627</v>
      </c>
      <c r="F308" s="541">
        <f t="shared" si="52"/>
        <v>27.114041889572853</v>
      </c>
      <c r="G308" s="421">
        <v>570487</v>
      </c>
      <c r="H308" s="421">
        <v>78618</v>
      </c>
      <c r="I308" s="419">
        <v>97401</v>
      </c>
      <c r="J308" s="296">
        <f t="shared" si="53"/>
        <v>746506</v>
      </c>
      <c r="K308" s="276">
        <f t="shared" si="49"/>
        <v>156856.5843971631</v>
      </c>
      <c r="L308" s="10">
        <f t="shared" si="54"/>
        <v>589649.41560283687</v>
      </c>
      <c r="M308" s="293">
        <f t="shared" si="55"/>
        <v>-442237.06170212768</v>
      </c>
      <c r="N308" s="10">
        <v>0</v>
      </c>
      <c r="O308" s="10">
        <f t="shared" si="56"/>
        <v>23521</v>
      </c>
      <c r="P308" s="423">
        <v>23521</v>
      </c>
      <c r="Q308" s="10">
        <f t="shared" si="50"/>
        <v>19607.073049645387</v>
      </c>
      <c r="R308" s="14">
        <f t="shared" si="57"/>
        <v>3913.9269503546129</v>
      </c>
      <c r="S308" s="2">
        <f t="shared" si="58"/>
        <v>-2935.4452127659597</v>
      </c>
      <c r="T308" s="129">
        <f t="shared" si="59"/>
        <v>-445172.50691489363</v>
      </c>
      <c r="U308" s="418">
        <f t="shared" si="51"/>
        <v>-22.704689567265369</v>
      </c>
      <c r="V308" s="125"/>
    </row>
    <row r="309" spans="1:22" x14ac:dyDescent="0.25">
      <c r="A309" s="49">
        <f>+'A) Base RI'!A310</f>
        <v>5934</v>
      </c>
      <c r="B309" s="446" t="str">
        <f>+'A) Base RI'!B310</f>
        <v>Valeyres-sous-Ursins</v>
      </c>
      <c r="C309" s="296">
        <f>+'D) Ecrêtage'!C309</f>
        <v>7018.283636363637</v>
      </c>
      <c r="D309" s="421">
        <v>3713</v>
      </c>
      <c r="E309" s="421">
        <f t="shared" si="48"/>
        <v>12323</v>
      </c>
      <c r="F309" s="541">
        <f t="shared" si="52"/>
        <v>1.7558424022863914</v>
      </c>
      <c r="G309" s="421">
        <v>16036</v>
      </c>
      <c r="H309" s="421">
        <v>10615</v>
      </c>
      <c r="I309" s="419">
        <v>7483</v>
      </c>
      <c r="J309" s="296">
        <f t="shared" si="53"/>
        <v>34134</v>
      </c>
      <c r="K309" s="276">
        <f t="shared" si="49"/>
        <v>56146.269090909096</v>
      </c>
      <c r="L309" s="10">
        <f t="shared" si="54"/>
        <v>0</v>
      </c>
      <c r="M309" s="293">
        <f t="shared" si="55"/>
        <v>0</v>
      </c>
      <c r="N309" s="10">
        <v>0</v>
      </c>
      <c r="O309" s="10">
        <f t="shared" si="56"/>
        <v>16718</v>
      </c>
      <c r="P309" s="423">
        <v>16718</v>
      </c>
      <c r="Q309" s="10">
        <f t="shared" si="50"/>
        <v>7018.283636363637</v>
      </c>
      <c r="R309" s="14">
        <f t="shared" si="57"/>
        <v>9699.7163636363621</v>
      </c>
      <c r="S309" s="2">
        <f t="shared" si="58"/>
        <v>-7274.7872727272716</v>
      </c>
      <c r="T309" s="129">
        <f t="shared" si="59"/>
        <v>-7274.7872727272716</v>
      </c>
      <c r="U309" s="418">
        <f t="shared" si="51"/>
        <v>-1.0365479153670307</v>
      </c>
      <c r="V309" s="125"/>
    </row>
    <row r="310" spans="1:22" x14ac:dyDescent="0.25">
      <c r="A310" s="49">
        <f>+'A) Base RI'!A311</f>
        <v>5935</v>
      </c>
      <c r="B310" s="446" t="str">
        <f>+'A) Base RI'!B311</f>
        <v>Villars-Epeney</v>
      </c>
      <c r="C310" s="296">
        <f>+'D) Ecrêtage'!C310</f>
        <v>3448.2304999999997</v>
      </c>
      <c r="D310" s="421">
        <v>5000</v>
      </c>
      <c r="E310" s="421">
        <f t="shared" si="48"/>
        <v>3999</v>
      </c>
      <c r="F310" s="541">
        <f t="shared" si="52"/>
        <v>1.1597252561857452</v>
      </c>
      <c r="G310" s="421">
        <v>8999</v>
      </c>
      <c r="H310" s="421">
        <v>4448</v>
      </c>
      <c r="I310" s="419">
        <v>8503</v>
      </c>
      <c r="J310" s="296">
        <f t="shared" si="53"/>
        <v>21950</v>
      </c>
      <c r="K310" s="276">
        <f t="shared" si="49"/>
        <v>27585.843999999997</v>
      </c>
      <c r="L310" s="10">
        <f t="shared" si="54"/>
        <v>0</v>
      </c>
      <c r="M310" s="293">
        <f t="shared" si="55"/>
        <v>0</v>
      </c>
      <c r="N310" s="10">
        <v>0</v>
      </c>
      <c r="O310" s="10">
        <f t="shared" si="56"/>
        <v>16647</v>
      </c>
      <c r="P310" s="423">
        <v>16647</v>
      </c>
      <c r="Q310" s="10">
        <f t="shared" si="50"/>
        <v>3448.2304999999997</v>
      </c>
      <c r="R310" s="14">
        <f t="shared" si="57"/>
        <v>13198.7695</v>
      </c>
      <c r="S310" s="2">
        <f t="shared" si="58"/>
        <v>-9899.0771249999998</v>
      </c>
      <c r="T310" s="129">
        <f t="shared" si="59"/>
        <v>-9899.0771249999998</v>
      </c>
      <c r="U310" s="418">
        <f t="shared" si="51"/>
        <v>-2.8707701312310765</v>
      </c>
      <c r="V310" s="125"/>
    </row>
    <row r="311" spans="1:22" x14ac:dyDescent="0.25">
      <c r="A311" s="49">
        <f>+'A) Base RI'!A312</f>
        <v>5937</v>
      </c>
      <c r="B311" s="446" t="str">
        <f>+'A) Base RI'!B312</f>
        <v>Vugelles-La Mothe</v>
      </c>
      <c r="C311" s="296">
        <f>+'D) Ecrêtage'!C311</f>
        <v>3479.7743061224487</v>
      </c>
      <c r="D311" s="421">
        <v>16387</v>
      </c>
      <c r="E311" s="421">
        <f t="shared" si="48"/>
        <v>11399</v>
      </c>
      <c r="F311" s="541">
        <f t="shared" si="52"/>
        <v>3.2757871623869863</v>
      </c>
      <c r="G311" s="421">
        <v>27786</v>
      </c>
      <c r="H311" s="421">
        <v>6078</v>
      </c>
      <c r="I311" s="419">
        <v>18693</v>
      </c>
      <c r="J311" s="296">
        <f t="shared" si="53"/>
        <v>52557</v>
      </c>
      <c r="K311" s="276">
        <f t="shared" si="49"/>
        <v>27838.19444897959</v>
      </c>
      <c r="L311" s="10">
        <f t="shared" si="54"/>
        <v>24718.80555102041</v>
      </c>
      <c r="M311" s="293">
        <f t="shared" si="55"/>
        <v>-18539.104163265307</v>
      </c>
      <c r="N311" s="10">
        <v>0</v>
      </c>
      <c r="O311" s="10">
        <f t="shared" si="56"/>
        <v>7157</v>
      </c>
      <c r="P311" s="423">
        <v>7157</v>
      </c>
      <c r="Q311" s="10">
        <f t="shared" si="50"/>
        <v>3479.7743061224487</v>
      </c>
      <c r="R311" s="14">
        <f t="shared" si="57"/>
        <v>3677.2256938775513</v>
      </c>
      <c r="S311" s="2">
        <f t="shared" si="58"/>
        <v>-2757.9192704081634</v>
      </c>
      <c r="T311" s="129">
        <f t="shared" si="59"/>
        <v>-21297.023433673472</v>
      </c>
      <c r="U311" s="418">
        <f t="shared" si="51"/>
        <v>-6.1202312449409924</v>
      </c>
      <c r="V311" s="125"/>
    </row>
    <row r="312" spans="1:22" x14ac:dyDescent="0.25">
      <c r="A312" s="49">
        <f>+'A) Base RI'!A313</f>
        <v>5938</v>
      </c>
      <c r="B312" s="446" t="str">
        <f>+'A) Base RI'!B313</f>
        <v>Yverdon-les-Bains</v>
      </c>
      <c r="C312" s="296">
        <f>+'D) Ecrêtage'!C312</f>
        <v>762770.29813333345</v>
      </c>
      <c r="D312" s="421">
        <v>4117715</v>
      </c>
      <c r="E312" s="421">
        <f t="shared" si="48"/>
        <v>6731038</v>
      </c>
      <c r="F312" s="541">
        <f t="shared" si="52"/>
        <v>8.8244626416003999</v>
      </c>
      <c r="G312" s="421">
        <v>10848753</v>
      </c>
      <c r="H312" s="421">
        <v>7606245</v>
      </c>
      <c r="I312" s="419">
        <v>657664</v>
      </c>
      <c r="J312" s="296">
        <f t="shared" si="53"/>
        <v>19112662</v>
      </c>
      <c r="K312" s="276">
        <f t="shared" si="49"/>
        <v>6102162.3850666676</v>
      </c>
      <c r="L312" s="10">
        <f t="shared" si="54"/>
        <v>13010499.614933332</v>
      </c>
      <c r="M312" s="293">
        <f t="shared" si="55"/>
        <v>-9757874.7111999989</v>
      </c>
      <c r="N312" s="10">
        <v>0</v>
      </c>
      <c r="O312" s="10">
        <f t="shared" si="56"/>
        <v>189027</v>
      </c>
      <c r="P312" s="423">
        <v>189027</v>
      </c>
      <c r="Q312" s="10">
        <f t="shared" si="50"/>
        <v>762770.29813333345</v>
      </c>
      <c r="R312" s="14">
        <f t="shared" si="57"/>
        <v>0</v>
      </c>
      <c r="S312" s="2">
        <f t="shared" si="58"/>
        <v>0</v>
      </c>
      <c r="T312" s="129">
        <f t="shared" si="59"/>
        <v>-9757874.7111999989</v>
      </c>
      <c r="U312" s="418">
        <f t="shared" si="51"/>
        <v>-12.792677867871445</v>
      </c>
      <c r="V312" s="125"/>
    </row>
    <row r="313" spans="1:22" x14ac:dyDescent="0.25">
      <c r="A313" s="49">
        <f>+'A) Base RI'!A314</f>
        <v>5939</v>
      </c>
      <c r="B313" s="446" t="str">
        <f>+'A) Base RI'!B314</f>
        <v>Yvonand</v>
      </c>
      <c r="C313" s="296">
        <f>+'D) Ecrêtage'!C313</f>
        <v>105336.86867132869</v>
      </c>
      <c r="D313" s="421">
        <v>191351</v>
      </c>
      <c r="E313" s="421">
        <f t="shared" si="48"/>
        <v>527961</v>
      </c>
      <c r="F313" s="541">
        <f t="shared" si="52"/>
        <v>5.0121197512272744</v>
      </c>
      <c r="G313" s="240">
        <v>719312</v>
      </c>
      <c r="H313" s="421">
        <v>381747</v>
      </c>
      <c r="I313" s="419">
        <v>334446</v>
      </c>
      <c r="J313" s="296">
        <f t="shared" si="53"/>
        <v>1435505</v>
      </c>
      <c r="K313" s="276">
        <f t="shared" si="49"/>
        <v>842694.9493706295</v>
      </c>
      <c r="L313" s="10">
        <f t="shared" si="54"/>
        <v>592810.0506293705</v>
      </c>
      <c r="M313" s="293">
        <f t="shared" si="55"/>
        <v>-444607.5379720279</v>
      </c>
      <c r="N313" s="10">
        <v>0</v>
      </c>
      <c r="O313" s="10">
        <f t="shared" si="56"/>
        <v>117978</v>
      </c>
      <c r="P313" s="425">
        <v>117978</v>
      </c>
      <c r="Q313" s="18">
        <f t="shared" si="50"/>
        <v>105336.86867132869</v>
      </c>
      <c r="R313" s="70">
        <f t="shared" si="57"/>
        <v>12641.131328671312</v>
      </c>
      <c r="S313" s="130">
        <f t="shared" si="58"/>
        <v>-9480.8484965034841</v>
      </c>
      <c r="T313" s="131">
        <f t="shared" si="59"/>
        <v>-454088.38646853139</v>
      </c>
      <c r="U313" s="418">
        <f t="shared" si="51"/>
        <v>-4.3108210087901373</v>
      </c>
      <c r="V313" s="125"/>
    </row>
    <row r="314" spans="1:22" x14ac:dyDescent="0.25">
      <c r="A314" s="78"/>
      <c r="B314" s="290">
        <f>COUNTA(B6:B313)</f>
        <v>308</v>
      </c>
      <c r="C314" s="11">
        <f t="shared" ref="C314:S314" si="60">SUM(C6:C313)</f>
        <v>39865815.115802124</v>
      </c>
      <c r="D314" s="11">
        <f>SUM(D6:D313)</f>
        <v>53717765.939999998</v>
      </c>
      <c r="E314" s="11">
        <f>SUM(E6:E313)</f>
        <v>203536862.75999999</v>
      </c>
      <c r="F314" s="291"/>
      <c r="G314" s="291">
        <f t="shared" si="60"/>
        <v>257254628.69999999</v>
      </c>
      <c r="H314" s="11">
        <f t="shared" si="60"/>
        <v>193514849.34999999</v>
      </c>
      <c r="I314" s="291">
        <f t="shared" si="60"/>
        <v>39458738.600000001</v>
      </c>
      <c r="J314" s="11">
        <f t="shared" si="60"/>
        <v>490228216.64999998</v>
      </c>
      <c r="K314" s="291">
        <f t="shared" si="60"/>
        <v>318926520.92641699</v>
      </c>
      <c r="L314" s="11">
        <f t="shared" si="60"/>
        <v>222375662.16407165</v>
      </c>
      <c r="M314" s="294">
        <f t="shared" si="60"/>
        <v>-166781746.62305364</v>
      </c>
      <c r="N314" s="11">
        <f>SUM(N6:N313)</f>
        <v>497840</v>
      </c>
      <c r="O314" s="118">
        <f>SUM(O6:O313)</f>
        <v>21108245</v>
      </c>
      <c r="P314" s="118">
        <f t="shared" si="60"/>
        <v>21606085</v>
      </c>
      <c r="Q314" s="18">
        <f t="shared" si="60"/>
        <v>39865815.115802124</v>
      </c>
      <c r="R314" s="11">
        <f t="shared" si="60"/>
        <v>8418838.7416149974</v>
      </c>
      <c r="S314" s="130">
        <f t="shared" si="60"/>
        <v>-6314129.0562112434</v>
      </c>
      <c r="T314" s="37">
        <f>SUM(T6:T313)</f>
        <v>-173095875.67926502</v>
      </c>
      <c r="U314" s="98">
        <f>T314/'D) Ecrêtage'!C314</f>
        <v>-4.3419625354820051</v>
      </c>
    </row>
  </sheetData>
  <mergeCells count="11">
    <mergeCell ref="C4:C5"/>
    <mergeCell ref="B4:B5"/>
    <mergeCell ref="A4:A5"/>
    <mergeCell ref="Q4:Q5"/>
    <mergeCell ref="P4:P5"/>
    <mergeCell ref="K4:K5"/>
    <mergeCell ref="J4:J5"/>
    <mergeCell ref="I4:I5"/>
    <mergeCell ref="H4:H5"/>
    <mergeCell ref="G4:G5"/>
    <mergeCell ref="E4:F4"/>
  </mergeCells>
  <phoneticPr fontId="0" type="noConversion"/>
  <printOptions horizontalCentered="1"/>
  <pageMargins left="0" right="0" top="0" bottom="0" header="0.51181102362204722" footer="0.51181102362204722"/>
  <pageSetup paperSize="9" scale="64" orientation="landscape" horizontalDpi="1200" verticalDpi="1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3">
    <tabColor rgb="FF00B050"/>
  </sheetPr>
  <dimension ref="A1:Z320"/>
  <sheetViews>
    <sheetView workbookViewId="0">
      <pane ySplit="5" topLeftCell="A6" activePane="bottomLeft" state="frozen"/>
      <selection pane="bottomLeft"/>
    </sheetView>
  </sheetViews>
  <sheetFormatPr baseColWidth="10" defaultColWidth="10.75" defaultRowHeight="15" x14ac:dyDescent="0.25"/>
  <cols>
    <col min="1" max="1" width="7.25" style="13" customWidth="1"/>
    <col min="2" max="2" width="19.875" style="13" customWidth="1"/>
    <col min="3" max="3" width="11.75" style="13" customWidth="1"/>
    <col min="4" max="4" width="13.75" style="13" customWidth="1"/>
    <col min="5" max="5" width="15.625" style="13" customWidth="1"/>
    <col min="6" max="6" width="12.375" style="13" customWidth="1"/>
    <col min="7" max="7" width="10.75" style="13" customWidth="1"/>
    <col min="8" max="8" width="15.125" style="393" customWidth="1"/>
    <col min="9" max="9" width="10" style="138" customWidth="1"/>
    <col min="10" max="10" width="11.75" style="13" customWidth="1"/>
    <col min="11" max="11" width="10" style="15" customWidth="1"/>
    <col min="12" max="12" width="12.125" style="15" customWidth="1"/>
    <col min="13" max="15" width="12.125" style="13" customWidth="1"/>
    <col min="16" max="18" width="8.125" style="13" customWidth="1"/>
    <col min="19" max="16384" width="10.75" style="13"/>
  </cols>
  <sheetData>
    <row r="1" spans="1:26" s="43" customFormat="1" ht="21" x14ac:dyDescent="0.25">
      <c r="A1" s="51" t="s">
        <v>207</v>
      </c>
      <c r="B1" s="42"/>
      <c r="C1" s="68"/>
      <c r="D1" s="68"/>
      <c r="E1" s="68"/>
      <c r="F1" s="68"/>
      <c r="G1" s="68"/>
      <c r="H1" s="397"/>
      <c r="I1" s="137"/>
      <c r="J1" s="68"/>
      <c r="K1" s="132"/>
      <c r="L1" s="133"/>
      <c r="M1" s="56"/>
      <c r="O1" s="13"/>
      <c r="P1" s="13"/>
      <c r="Q1" s="13"/>
      <c r="R1" s="13"/>
      <c r="S1" s="13"/>
      <c r="Z1" s="13"/>
    </row>
    <row r="2" spans="1:26" s="43" customFormat="1" ht="21" x14ac:dyDescent="0.25">
      <c r="A2" s="199">
        <f>Paramètres!B5</f>
        <v>2021</v>
      </c>
      <c r="B2" s="42"/>
      <c r="C2" s="397"/>
      <c r="D2" s="397"/>
      <c r="E2" s="397"/>
      <c r="F2" s="397"/>
      <c r="G2" s="397"/>
      <c r="H2" s="397"/>
      <c r="I2" s="137"/>
      <c r="J2" s="397"/>
      <c r="K2" s="132"/>
      <c r="L2" s="133"/>
      <c r="M2" s="56"/>
      <c r="O2" s="393"/>
      <c r="P2" s="393"/>
      <c r="Q2" s="393"/>
      <c r="R2" s="393"/>
      <c r="S2" s="393"/>
      <c r="Z2" s="393"/>
    </row>
    <row r="4" spans="1:26" ht="30" customHeight="1" x14ac:dyDescent="0.25">
      <c r="A4" s="592" t="s">
        <v>46</v>
      </c>
      <c r="B4" s="592" t="s">
        <v>94</v>
      </c>
      <c r="C4" s="592" t="s">
        <v>509</v>
      </c>
      <c r="D4" s="592" t="s">
        <v>559</v>
      </c>
      <c r="E4" s="592" t="s">
        <v>562</v>
      </c>
      <c r="F4" s="592" t="s">
        <v>137</v>
      </c>
      <c r="G4" s="608" t="s">
        <v>348</v>
      </c>
      <c r="H4" s="592" t="s">
        <v>514</v>
      </c>
      <c r="I4" s="139" t="s">
        <v>563</v>
      </c>
      <c r="J4" s="606" t="s">
        <v>358</v>
      </c>
      <c r="K4" s="613" t="s">
        <v>614</v>
      </c>
    </row>
    <row r="5" spans="1:26" x14ac:dyDescent="0.25">
      <c r="A5" s="593"/>
      <c r="B5" s="594"/>
      <c r="C5" s="593"/>
      <c r="D5" s="594"/>
      <c r="E5" s="593"/>
      <c r="F5" s="594"/>
      <c r="G5" s="620"/>
      <c r="H5" s="593"/>
      <c r="I5" s="415">
        <f>Paramètres!B42</f>
        <v>48</v>
      </c>
      <c r="J5" s="619"/>
      <c r="K5" s="618"/>
    </row>
    <row r="6" spans="1:26" x14ac:dyDescent="0.25">
      <c r="A6" s="46">
        <f>'A) Base RI'!A7</f>
        <v>5401</v>
      </c>
      <c r="B6" s="284" t="str">
        <f>'A) Base RI'!B7</f>
        <v>Aigle</v>
      </c>
      <c r="C6" s="94">
        <f>'B) D RI'!U7</f>
        <v>280991.46517676767</v>
      </c>
      <c r="D6" s="398">
        <f>'E) PCS'!G12/C6</f>
        <v>17.397712850416273</v>
      </c>
      <c r="E6" s="134">
        <f>'H) Péréquation directe'!I16/C6</f>
        <v>-16.91286257463128</v>
      </c>
      <c r="F6" s="109">
        <f>+'I) Dépenses thématiques'!U6</f>
        <v>-14.370297181505547</v>
      </c>
      <c r="G6" s="134">
        <f>SUM(D6:F6)</f>
        <v>-13.885446905720555</v>
      </c>
      <c r="H6" s="399">
        <f>G6-'C) Prél. conj.'!I6</f>
        <v>-19.086688851203093</v>
      </c>
      <c r="I6" s="403">
        <f t="shared" ref="I6" si="0">IF(H6&gt;I$5,I$5-H6,0)</f>
        <v>0</v>
      </c>
      <c r="J6" s="100">
        <f>I6*C6</f>
        <v>0</v>
      </c>
      <c r="K6" s="399">
        <f>H6+I6</f>
        <v>-19.086688851203093</v>
      </c>
    </row>
    <row r="7" spans="1:26" x14ac:dyDescent="0.25">
      <c r="A7" s="49">
        <f>'A) Base RI'!A8</f>
        <v>5402</v>
      </c>
      <c r="B7" s="284" t="str">
        <f>'A) Base RI'!B8</f>
        <v>Bex</v>
      </c>
      <c r="C7" s="95">
        <f>'B) D RI'!U8</f>
        <v>192706.98084507044</v>
      </c>
      <c r="D7" s="398">
        <f>'E) PCS'!G13/C7</f>
        <v>16.873078187388877</v>
      </c>
      <c r="E7" s="135">
        <f>'H) Péréquation directe'!I17/C7</f>
        <v>-20.943440345059205</v>
      </c>
      <c r="F7" s="398">
        <f>+'I) Dépenses thématiques'!U7</f>
        <v>-11.534851355918777</v>
      </c>
      <c r="G7" s="135">
        <f t="shared" ref="G7:G70" si="1">SUM(D7:F7)</f>
        <v>-15.605213513589105</v>
      </c>
      <c r="H7" s="399">
        <f>G7-'C) Prél. conj.'!I7</f>
        <v>-20.281820796044247</v>
      </c>
      <c r="I7" s="403">
        <f t="shared" ref="I7:I70" si="2">IF(H7&gt;I$5,I$5-H7,0)</f>
        <v>0</v>
      </c>
      <c r="J7" s="55">
        <f t="shared" ref="J7:J70" si="3">I7*C7</f>
        <v>0</v>
      </c>
      <c r="K7" s="399">
        <f t="shared" ref="K7:K70" si="4">H7+I7</f>
        <v>-20.281820796044247</v>
      </c>
      <c r="L7" s="427"/>
    </row>
    <row r="8" spans="1:26" x14ac:dyDescent="0.25">
      <c r="A8" s="49">
        <f>'A) Base RI'!A9</f>
        <v>5403</v>
      </c>
      <c r="B8" s="284" t="str">
        <f>'A) Base RI'!B9</f>
        <v>Chessel</v>
      </c>
      <c r="C8" s="95">
        <f>'B) D RI'!U9</f>
        <v>12090.332702702703</v>
      </c>
      <c r="D8" s="398">
        <f>'E) PCS'!G14/C8</f>
        <v>15.550727234946425</v>
      </c>
      <c r="E8" s="135">
        <f>'H) Péréquation directe'!I18/C8</f>
        <v>-8.1064939242962097</v>
      </c>
      <c r="F8" s="398">
        <f>+'I) Dépenses thématiques'!U8</f>
        <v>-1.5080023785364722</v>
      </c>
      <c r="G8" s="135">
        <f t="shared" si="1"/>
        <v>5.9362309321137428</v>
      </c>
      <c r="H8" s="399">
        <f>G8-'C) Prél. conj.'!I8</f>
        <v>2.581974602101051</v>
      </c>
      <c r="I8" s="403">
        <f t="shared" si="2"/>
        <v>0</v>
      </c>
      <c r="J8" s="55">
        <f t="shared" si="3"/>
        <v>0</v>
      </c>
      <c r="K8" s="399">
        <f t="shared" si="4"/>
        <v>2.581974602101051</v>
      </c>
      <c r="L8" s="427"/>
    </row>
    <row r="9" spans="1:26" x14ac:dyDescent="0.25">
      <c r="A9" s="49">
        <f>'A) Base RI'!A10</f>
        <v>5404</v>
      </c>
      <c r="B9" s="284" t="str">
        <f>'A) Base RI'!B10</f>
        <v>Corbeyrier</v>
      </c>
      <c r="C9" s="95">
        <f>'B) D RI'!U10</f>
        <v>11581.118783783784</v>
      </c>
      <c r="D9" s="398">
        <f>'E) PCS'!G15/C9</f>
        <v>16.923888093388861</v>
      </c>
      <c r="E9" s="135">
        <f>'H) Péréquation directe'!I19/C9</f>
        <v>-4.3199143883826485</v>
      </c>
      <c r="F9" s="398">
        <f>+'I) Dépenses thématiques'!U9</f>
        <v>-14.767674989132763</v>
      </c>
      <c r="G9" s="135">
        <f t="shared" si="1"/>
        <v>-2.1637012841265513</v>
      </c>
      <c r="H9" s="399">
        <f>G9-'C) Prél. conj.'!I9</f>
        <v>-6.8911184725816783</v>
      </c>
      <c r="I9" s="403">
        <f t="shared" si="2"/>
        <v>0</v>
      </c>
      <c r="J9" s="55">
        <f t="shared" si="3"/>
        <v>0</v>
      </c>
      <c r="K9" s="399">
        <f t="shared" si="4"/>
        <v>-6.8911184725816783</v>
      </c>
      <c r="L9" s="427"/>
    </row>
    <row r="10" spans="1:26" x14ac:dyDescent="0.25">
      <c r="A10" s="49">
        <f>'A) Base RI'!A11</f>
        <v>5405</v>
      </c>
      <c r="B10" s="284" t="str">
        <f>'A) Base RI'!B11</f>
        <v>Gryon</v>
      </c>
      <c r="C10" s="95">
        <f>'B) D RI'!U11</f>
        <v>78111.135102040818</v>
      </c>
      <c r="D10" s="398">
        <f>'E) PCS'!G16/C10</f>
        <v>23.63119840832633</v>
      </c>
      <c r="E10" s="135">
        <f>'H) Péréquation directe'!I20/C10</f>
        <v>15.348925041306257</v>
      </c>
      <c r="F10" s="398">
        <f>+'I) Dépenses thématiques'!U10</f>
        <v>-11.310864171076059</v>
      </c>
      <c r="G10" s="135">
        <f t="shared" si="1"/>
        <v>27.669259278556527</v>
      </c>
      <c r="H10" s="399">
        <f>G10-'C) Prél. conj.'!I10</f>
        <v>18.349635398439844</v>
      </c>
      <c r="I10" s="403">
        <f t="shared" si="2"/>
        <v>0</v>
      </c>
      <c r="J10" s="55">
        <f t="shared" si="3"/>
        <v>0</v>
      </c>
      <c r="K10" s="399">
        <f t="shared" si="4"/>
        <v>18.349635398439844</v>
      </c>
      <c r="L10" s="427"/>
    </row>
    <row r="11" spans="1:26" x14ac:dyDescent="0.25">
      <c r="A11" s="49">
        <f>'A) Base RI'!A12</f>
        <v>5406</v>
      </c>
      <c r="B11" s="284" t="str">
        <f>'A) Base RI'!B12</f>
        <v>Lavey-Morcles</v>
      </c>
      <c r="C11" s="95">
        <f>'B) D RI'!U12</f>
        <v>21513.822183969878</v>
      </c>
      <c r="D11" s="398">
        <f>'E) PCS'!G17/C11</f>
        <v>14.547643540249538</v>
      </c>
      <c r="E11" s="135">
        <f>'H) Péréquation directe'!I21/C11</f>
        <v>-10.891452889842904</v>
      </c>
      <c r="F11" s="398">
        <f>+'I) Dépenses thématiques'!U11</f>
        <v>-7.5370994288965241</v>
      </c>
      <c r="G11" s="135">
        <f t="shared" si="1"/>
        <v>-3.8809087784898901</v>
      </c>
      <c r="H11" s="399">
        <f>G11-'C) Prél. conj.'!I11</f>
        <v>-6.232081413805691</v>
      </c>
      <c r="I11" s="403">
        <f t="shared" si="2"/>
        <v>0</v>
      </c>
      <c r="J11" s="55">
        <f t="shared" si="3"/>
        <v>0</v>
      </c>
      <c r="K11" s="399">
        <f t="shared" si="4"/>
        <v>-6.232081413805691</v>
      </c>
      <c r="L11" s="427"/>
    </row>
    <row r="12" spans="1:26" x14ac:dyDescent="0.25">
      <c r="A12" s="49">
        <f>'A) Base RI'!A13</f>
        <v>5407</v>
      </c>
      <c r="B12" s="284" t="str">
        <f>'A) Base RI'!B13</f>
        <v>Leysin</v>
      </c>
      <c r="C12" s="95">
        <f>'B) D RI'!U13</f>
        <v>90687.443803418792</v>
      </c>
      <c r="D12" s="398">
        <f>'E) PCS'!G18/C12</f>
        <v>18.557314819008788</v>
      </c>
      <c r="E12" s="135">
        <f>'H) Péréquation directe'!I22/C12</f>
        <v>-16.785497096453646</v>
      </c>
      <c r="F12" s="398">
        <f>+'I) Dépenses thématiques'!U12</f>
        <v>-22.571443393685733</v>
      </c>
      <c r="G12" s="135">
        <f t="shared" si="1"/>
        <v>-20.799625671130592</v>
      </c>
      <c r="H12" s="399">
        <f>G12-'C) Prél. conj.'!I12</f>
        <v>-27.160469585205647</v>
      </c>
      <c r="I12" s="403">
        <f t="shared" si="2"/>
        <v>0</v>
      </c>
      <c r="J12" s="55">
        <f t="shared" si="3"/>
        <v>0</v>
      </c>
      <c r="K12" s="399">
        <f t="shared" si="4"/>
        <v>-27.160469585205647</v>
      </c>
      <c r="L12" s="427"/>
    </row>
    <row r="13" spans="1:26" x14ac:dyDescent="0.25">
      <c r="A13" s="49">
        <f>'A) Base RI'!A14</f>
        <v>5408</v>
      </c>
      <c r="B13" s="284" t="str">
        <f>'A) Base RI'!B14</f>
        <v>Noville</v>
      </c>
      <c r="C13" s="95">
        <f>'B) D RI'!U14</f>
        <v>41389.442632696395</v>
      </c>
      <c r="D13" s="398">
        <f>'E) PCS'!G19/C13</f>
        <v>18.581773126694593</v>
      </c>
      <c r="E13" s="135">
        <f>'H) Péréquation directe'!I23/C13</f>
        <v>5.1895771337072416</v>
      </c>
      <c r="F13" s="398">
        <f>+'I) Dépenses thématiques'!U13</f>
        <v>-7.1285935123035467</v>
      </c>
      <c r="G13" s="135">
        <f t="shared" si="1"/>
        <v>16.642756748098289</v>
      </c>
      <c r="H13" s="399">
        <f>G13-'C) Prél. conj.'!I13</f>
        <v>10.25745452633743</v>
      </c>
      <c r="I13" s="403">
        <f t="shared" si="2"/>
        <v>0</v>
      </c>
      <c r="J13" s="55">
        <f t="shared" si="3"/>
        <v>0</v>
      </c>
      <c r="K13" s="399">
        <f t="shared" si="4"/>
        <v>10.25745452633743</v>
      </c>
      <c r="L13" s="427"/>
    </row>
    <row r="14" spans="1:26" x14ac:dyDescent="0.25">
      <c r="A14" s="49">
        <f>'A) Base RI'!A15</f>
        <v>5409</v>
      </c>
      <c r="B14" s="284" t="str">
        <f>'A) Base RI'!B15</f>
        <v>Ollon</v>
      </c>
      <c r="C14" s="95">
        <f>'B) D RI'!U15</f>
        <v>428262.96074660635</v>
      </c>
      <c r="D14" s="398">
        <f>'E) PCS'!G20/C14</f>
        <v>22.834730906627449</v>
      </c>
      <c r="E14" s="135">
        <f>'H) Péréquation directe'!I24/C14</f>
        <v>10.341040487989622</v>
      </c>
      <c r="F14" s="398">
        <f>+'I) Dépenses thématiques'!U14</f>
        <v>-8.2976444163308756</v>
      </c>
      <c r="G14" s="135">
        <f t="shared" si="1"/>
        <v>24.878126978286197</v>
      </c>
      <c r="H14" s="399">
        <f>G14-'C) Prél. conj.'!I14</f>
        <v>15.694446913721645</v>
      </c>
      <c r="I14" s="403">
        <f t="shared" si="2"/>
        <v>0</v>
      </c>
      <c r="J14" s="55">
        <f t="shared" si="3"/>
        <v>0</v>
      </c>
      <c r="K14" s="399">
        <f t="shared" si="4"/>
        <v>15.694446913721645</v>
      </c>
      <c r="L14" s="427"/>
    </row>
    <row r="15" spans="1:26" x14ac:dyDescent="0.25">
      <c r="A15" s="49">
        <f>'A) Base RI'!A16</f>
        <v>5410</v>
      </c>
      <c r="B15" s="284" t="str">
        <f>'A) Base RI'!B16</f>
        <v>Ormont-Dessous</v>
      </c>
      <c r="C15" s="95">
        <f>'B) D RI'!U16</f>
        <v>38614.348051948051</v>
      </c>
      <c r="D15" s="398">
        <f>'E) PCS'!G21/C15</f>
        <v>20.71893513396266</v>
      </c>
      <c r="E15" s="135">
        <f>'H) Péréquation directe'!I25/C15</f>
        <v>3.1572484387654178</v>
      </c>
      <c r="F15" s="398">
        <f>+'I) Dépenses thématiques'!U15</f>
        <v>-33.712226576972526</v>
      </c>
      <c r="G15" s="135">
        <f t="shared" si="1"/>
        <v>-9.8360430042444484</v>
      </c>
      <c r="H15" s="399">
        <f>G15-'C) Prél. conj.'!I15</f>
        <v>-18.358507233273372</v>
      </c>
      <c r="I15" s="403">
        <f t="shared" si="2"/>
        <v>0</v>
      </c>
      <c r="J15" s="55">
        <f t="shared" si="3"/>
        <v>0</v>
      </c>
      <c r="K15" s="399">
        <f t="shared" si="4"/>
        <v>-18.358507233273372</v>
      </c>
      <c r="L15" s="427"/>
    </row>
    <row r="16" spans="1:26" x14ac:dyDescent="0.25">
      <c r="A16" s="49">
        <f>'A) Base RI'!A17</f>
        <v>5411</v>
      </c>
      <c r="B16" s="284" t="str">
        <f>'A) Base RI'!B17</f>
        <v>Ormont-Dessus</v>
      </c>
      <c r="C16" s="95">
        <f>'B) D RI'!U17</f>
        <v>77411.411228070181</v>
      </c>
      <c r="D16" s="398">
        <f>'E) PCS'!G22/C16</f>
        <v>20.268200005126534</v>
      </c>
      <c r="E16" s="135">
        <f>'H) Péréquation directe'!I26/C16</f>
        <v>15.007706684953616</v>
      </c>
      <c r="F16" s="398">
        <f>+'I) Dépenses thématiques'!U16</f>
        <v>-12.361659076220693</v>
      </c>
      <c r="G16" s="135">
        <f t="shared" si="1"/>
        <v>22.914247613859455</v>
      </c>
      <c r="H16" s="399">
        <f>G16-'C) Prél. conj.'!I16</f>
        <v>16.256361175366109</v>
      </c>
      <c r="I16" s="403">
        <f t="shared" si="2"/>
        <v>0</v>
      </c>
      <c r="J16" s="55">
        <f t="shared" si="3"/>
        <v>0</v>
      </c>
      <c r="K16" s="399">
        <f t="shared" si="4"/>
        <v>16.256361175366109</v>
      </c>
      <c r="L16" s="427"/>
    </row>
    <row r="17" spans="1:12" x14ac:dyDescent="0.25">
      <c r="A17" s="49">
        <f>'A) Base RI'!A18</f>
        <v>5412</v>
      </c>
      <c r="B17" s="284" t="str">
        <f>'A) Base RI'!B18</f>
        <v>Rennaz</v>
      </c>
      <c r="C17" s="95">
        <f>'B) D RI'!U18</f>
        <v>28875.999420289856</v>
      </c>
      <c r="D17" s="398">
        <f>'E) PCS'!G23/C17</f>
        <v>24.082645821491987</v>
      </c>
      <c r="E17" s="135">
        <f>'H) Péréquation directe'!I27/C17</f>
        <v>5.718638371399769</v>
      </c>
      <c r="F17" s="398">
        <f>+'I) Dépenses thématiques'!U17</f>
        <v>-3.1817081921842352</v>
      </c>
      <c r="G17" s="135">
        <f t="shared" si="1"/>
        <v>26.619576000707522</v>
      </c>
      <c r="H17" s="399">
        <f>G17-'C) Prél. conj.'!I17</f>
        <v>14.733401084149266</v>
      </c>
      <c r="I17" s="403">
        <f t="shared" si="2"/>
        <v>0</v>
      </c>
      <c r="J17" s="55">
        <f t="shared" si="3"/>
        <v>0</v>
      </c>
      <c r="K17" s="399">
        <f t="shared" si="4"/>
        <v>14.733401084149266</v>
      </c>
      <c r="L17" s="427"/>
    </row>
    <row r="18" spans="1:12" x14ac:dyDescent="0.25">
      <c r="A18" s="49">
        <f>'A) Base RI'!A19</f>
        <v>5413</v>
      </c>
      <c r="B18" s="284" t="str">
        <f>'A) Base RI'!B19</f>
        <v>Roche</v>
      </c>
      <c r="C18" s="95">
        <f>'B) D RI'!U19</f>
        <v>43148.541249999987</v>
      </c>
      <c r="D18" s="398">
        <f>'E) PCS'!G24/C18</f>
        <v>23.812250268042568</v>
      </c>
      <c r="E18" s="135">
        <f>'H) Péréquation directe'!I28/C18</f>
        <v>-11.655939222988895</v>
      </c>
      <c r="F18" s="398">
        <f>+'I) Dépenses thématiques'!U18</f>
        <v>-1.8729544535877003</v>
      </c>
      <c r="G18" s="135">
        <f t="shared" si="1"/>
        <v>10.283356591465973</v>
      </c>
      <c r="H18" s="399">
        <f>G18-'C) Prél. conj.'!I18</f>
        <v>-1.3324227716428592</v>
      </c>
      <c r="I18" s="403">
        <f t="shared" si="2"/>
        <v>0</v>
      </c>
      <c r="J18" s="55">
        <f t="shared" si="3"/>
        <v>0</v>
      </c>
      <c r="K18" s="399">
        <f t="shared" si="4"/>
        <v>-1.3324227716428592</v>
      </c>
      <c r="L18" s="427"/>
    </row>
    <row r="19" spans="1:12" x14ac:dyDescent="0.25">
      <c r="A19" s="49">
        <f>'A) Base RI'!A20</f>
        <v>5414</v>
      </c>
      <c r="B19" s="284" t="str">
        <f>'A) Base RI'!B20</f>
        <v>Villeneuve</v>
      </c>
      <c r="C19" s="95">
        <f>'B) D RI'!U20</f>
        <v>185712.20711111111</v>
      </c>
      <c r="D19" s="398">
        <f>'E) PCS'!G25/C19</f>
        <v>19.151738386231788</v>
      </c>
      <c r="E19" s="135">
        <f>'H) Péréquation directe'!I29/C19</f>
        <v>-3.9991841097545229</v>
      </c>
      <c r="F19" s="398">
        <f>+'I) Dépenses thématiques'!U19</f>
        <v>-12.605436058381429</v>
      </c>
      <c r="G19" s="135">
        <f t="shared" si="1"/>
        <v>2.5471182180958358</v>
      </c>
      <c r="H19" s="399">
        <f>G19-'C) Prél. conj.'!I19</f>
        <v>-4.4081492632022163</v>
      </c>
      <c r="I19" s="403">
        <f t="shared" si="2"/>
        <v>0</v>
      </c>
      <c r="J19" s="55">
        <f t="shared" si="3"/>
        <v>0</v>
      </c>
      <c r="K19" s="399">
        <f t="shared" si="4"/>
        <v>-4.4081492632022163</v>
      </c>
      <c r="L19" s="427"/>
    </row>
    <row r="20" spans="1:12" x14ac:dyDescent="0.25">
      <c r="A20" s="49">
        <f>'A) Base RI'!A21</f>
        <v>5415</v>
      </c>
      <c r="B20" s="284" t="str">
        <f>'A) Base RI'!B21</f>
        <v>Yvorne</v>
      </c>
      <c r="C20" s="95">
        <f>'B) D RI'!U21</f>
        <v>35910.274638694631</v>
      </c>
      <c r="D20" s="398">
        <f>'E) PCS'!G26/C20</f>
        <v>20.100818834763942</v>
      </c>
      <c r="E20" s="135">
        <f>'H) Péréquation directe'!I30/C20</f>
        <v>6.6704735692855994</v>
      </c>
      <c r="F20" s="398">
        <f>+'I) Dépenses thématiques'!U20</f>
        <v>-6.2428830869270255</v>
      </c>
      <c r="G20" s="135">
        <f t="shared" si="1"/>
        <v>20.528409317122513</v>
      </c>
      <c r="H20" s="399">
        <f>G20-'C) Prél. conj.'!I20</f>
        <v>12.624061387292308</v>
      </c>
      <c r="I20" s="403">
        <f t="shared" si="2"/>
        <v>0</v>
      </c>
      <c r="J20" s="55">
        <f t="shared" si="3"/>
        <v>0</v>
      </c>
      <c r="K20" s="399">
        <f t="shared" si="4"/>
        <v>12.624061387292308</v>
      </c>
      <c r="L20" s="427"/>
    </row>
    <row r="21" spans="1:12" x14ac:dyDescent="0.25">
      <c r="A21" s="49">
        <f>'A) Base RI'!A22</f>
        <v>5421</v>
      </c>
      <c r="B21" s="284" t="str">
        <f>'A) Base RI'!B22</f>
        <v>Apples</v>
      </c>
      <c r="C21" s="95">
        <f>'B) D RI'!U22</f>
        <v>68531.648243243253</v>
      </c>
      <c r="D21" s="398">
        <f>'E) PCS'!G27/C21</f>
        <v>18.417266054742967</v>
      </c>
      <c r="E21" s="135">
        <f>'H) Péréquation directe'!I31/C21</f>
        <v>13.629594398348313</v>
      </c>
      <c r="F21" s="398">
        <f>+'I) Dépenses thématiques'!U21</f>
        <v>-4.3589149249384951</v>
      </c>
      <c r="G21" s="135">
        <f t="shared" si="1"/>
        <v>27.687945528152788</v>
      </c>
      <c r="H21" s="399">
        <f>G21-'C) Prél. conj.'!I21</f>
        <v>21.467150378343554</v>
      </c>
      <c r="I21" s="403">
        <f t="shared" si="2"/>
        <v>0</v>
      </c>
      <c r="J21" s="55">
        <f t="shared" si="3"/>
        <v>0</v>
      </c>
      <c r="K21" s="399">
        <f t="shared" si="4"/>
        <v>21.467150378343554</v>
      </c>
      <c r="L21" s="427"/>
    </row>
    <row r="22" spans="1:12" x14ac:dyDescent="0.25">
      <c r="A22" s="49">
        <f>'A) Base RI'!A23</f>
        <v>5422</v>
      </c>
      <c r="B22" s="284" t="str">
        <f>'A) Base RI'!B23</f>
        <v>Aubonne</v>
      </c>
      <c r="C22" s="95">
        <f>'B) D RI'!U23</f>
        <v>364706.48499999999</v>
      </c>
      <c r="D22" s="398">
        <f>'E) PCS'!G28/C22</f>
        <v>26.490338439575115</v>
      </c>
      <c r="E22" s="135">
        <f>'H) Péréquation directe'!I32/C22</f>
        <v>15.3280977320848</v>
      </c>
      <c r="F22" s="398">
        <f>+'I) Dépenses thématiques'!U22</f>
        <v>0</v>
      </c>
      <c r="G22" s="135">
        <f t="shared" si="1"/>
        <v>41.818436171659911</v>
      </c>
      <c r="H22" s="399">
        <f>G22-'C) Prél. conj.'!I22</f>
        <v>39.020299212291064</v>
      </c>
      <c r="I22" s="403">
        <f t="shared" si="2"/>
        <v>0</v>
      </c>
      <c r="J22" s="55">
        <f t="shared" si="3"/>
        <v>0</v>
      </c>
      <c r="K22" s="399">
        <f t="shared" si="4"/>
        <v>39.020299212291064</v>
      </c>
      <c r="L22" s="427"/>
    </row>
    <row r="23" spans="1:12" x14ac:dyDescent="0.25">
      <c r="A23" s="49">
        <f>'A) Base RI'!A24</f>
        <v>5423</v>
      </c>
      <c r="B23" s="284" t="str">
        <f>'A) Base RI'!B24</f>
        <v>Ballens</v>
      </c>
      <c r="C23" s="95">
        <f>'B) D RI'!U24</f>
        <v>16194.440273972601</v>
      </c>
      <c r="D23" s="398">
        <f>'E) PCS'!G29/C23</f>
        <v>17.139588953209628</v>
      </c>
      <c r="E23" s="135">
        <f>'H) Péréquation directe'!I33/C23</f>
        <v>-0.48801075118733711</v>
      </c>
      <c r="F23" s="398">
        <f>+'I) Dépenses thématiques'!U23</f>
        <v>-5.1251606694650009</v>
      </c>
      <c r="G23" s="135">
        <f t="shared" si="1"/>
        <v>11.526417532557293</v>
      </c>
      <c r="H23" s="399">
        <f>G23-'C) Prél. conj.'!I23</f>
        <v>6.5832994842813974</v>
      </c>
      <c r="I23" s="403">
        <f t="shared" si="2"/>
        <v>0</v>
      </c>
      <c r="J23" s="55">
        <f t="shared" si="3"/>
        <v>0</v>
      </c>
      <c r="K23" s="399">
        <f t="shared" si="4"/>
        <v>6.5832994842813974</v>
      </c>
      <c r="L23" s="427"/>
    </row>
    <row r="24" spans="1:12" x14ac:dyDescent="0.25">
      <c r="A24" s="49">
        <f>'A) Base RI'!A25</f>
        <v>5424</v>
      </c>
      <c r="B24" s="284" t="str">
        <f>'A) Base RI'!B25</f>
        <v>Berolle</v>
      </c>
      <c r="C24" s="95">
        <f>'B) D RI'!U25</f>
        <v>8301.8684768211915</v>
      </c>
      <c r="D24" s="398">
        <f>'E) PCS'!G30/C24</f>
        <v>14.097786860982694</v>
      </c>
      <c r="E24" s="135">
        <f>'H) Péréquation directe'!I34/C24</f>
        <v>-4.078071544728787</v>
      </c>
      <c r="F24" s="398">
        <f>+'I) Dépenses thématiques'!U24</f>
        <v>-9.0017853197876612</v>
      </c>
      <c r="G24" s="135">
        <f t="shared" si="1"/>
        <v>1.0179299964662469</v>
      </c>
      <c r="H24" s="399">
        <f>G24-'C) Prél. conj.'!I24</f>
        <v>-0.88338595958271227</v>
      </c>
      <c r="I24" s="403">
        <f t="shared" si="2"/>
        <v>0</v>
      </c>
      <c r="J24" s="55">
        <f t="shared" si="3"/>
        <v>0</v>
      </c>
      <c r="K24" s="399">
        <f t="shared" si="4"/>
        <v>-0.88338595958271227</v>
      </c>
      <c r="L24" s="427"/>
    </row>
    <row r="25" spans="1:12" x14ac:dyDescent="0.25">
      <c r="A25" s="49">
        <f>'A) Base RI'!A26</f>
        <v>5425</v>
      </c>
      <c r="B25" s="284" t="str">
        <f>'A) Base RI'!B26</f>
        <v>Bière</v>
      </c>
      <c r="C25" s="95">
        <f>'B) D RI'!U26</f>
        <v>44230.498130934531</v>
      </c>
      <c r="D25" s="398">
        <f>'E) PCS'!G31/C25</f>
        <v>15.883747148515894</v>
      </c>
      <c r="E25" s="135">
        <f>'H) Péréquation directe'!I35/C25</f>
        <v>-4.1493549144946771</v>
      </c>
      <c r="F25" s="398">
        <f>+'I) Dépenses thématiques'!U25</f>
        <v>-16.869036505251479</v>
      </c>
      <c r="G25" s="135">
        <f t="shared" si="1"/>
        <v>-5.1346442712302611</v>
      </c>
      <c r="H25" s="399">
        <f>G25-'C) Prél. conj.'!I25</f>
        <v>-8.8219205148124207</v>
      </c>
      <c r="I25" s="403">
        <f t="shared" si="2"/>
        <v>0</v>
      </c>
      <c r="J25" s="55">
        <f t="shared" si="3"/>
        <v>0</v>
      </c>
      <c r="K25" s="399">
        <f t="shared" si="4"/>
        <v>-8.8219205148124207</v>
      </c>
      <c r="L25" s="427"/>
    </row>
    <row r="26" spans="1:12" x14ac:dyDescent="0.25">
      <c r="A26" s="49">
        <f>'A) Base RI'!A27</f>
        <v>5426</v>
      </c>
      <c r="B26" s="284" t="str">
        <f>'A) Base RI'!B27</f>
        <v>Bougy-Villars</v>
      </c>
      <c r="C26" s="95">
        <f>'B) D RI'!U27</f>
        <v>53043.718423772611</v>
      </c>
      <c r="D26" s="398">
        <f>'E) PCS'!G32/C26</f>
        <v>45.738029312570632</v>
      </c>
      <c r="E26" s="135">
        <f>'H) Péréquation directe'!I36/C26</f>
        <v>17.485361769283152</v>
      </c>
      <c r="F26" s="398">
        <f>+'I) Dépenses thématiques'!U26</f>
        <v>0</v>
      </c>
      <c r="G26" s="135">
        <f t="shared" si="1"/>
        <v>63.223391081853784</v>
      </c>
      <c r="H26" s="399">
        <f>G26-'C) Prél. conj.'!I26</f>
        <v>42.33913847064305</v>
      </c>
      <c r="I26" s="403">
        <f t="shared" si="2"/>
        <v>0</v>
      </c>
      <c r="J26" s="55">
        <f t="shared" si="3"/>
        <v>0</v>
      </c>
      <c r="K26" s="399">
        <f t="shared" si="4"/>
        <v>42.33913847064305</v>
      </c>
      <c r="L26" s="427"/>
    </row>
    <row r="27" spans="1:12" x14ac:dyDescent="0.25">
      <c r="A27" s="49">
        <f>'A) Base RI'!A28</f>
        <v>5427</v>
      </c>
      <c r="B27" s="284" t="str">
        <f>'A) Base RI'!B28</f>
        <v>Féchy</v>
      </c>
      <c r="C27" s="95">
        <f>'B) D RI'!U28</f>
        <v>88215.323569711545</v>
      </c>
      <c r="D27" s="398">
        <f>'E) PCS'!G33/C27</f>
        <v>25.648735731268815</v>
      </c>
      <c r="E27" s="135">
        <f>'H) Péréquation directe'!I37/C27</f>
        <v>17.391385223601119</v>
      </c>
      <c r="F27" s="398">
        <f>+'I) Dépenses thématiques'!U27</f>
        <v>0</v>
      </c>
      <c r="G27" s="135">
        <f t="shared" si="1"/>
        <v>43.040120954869934</v>
      </c>
      <c r="H27" s="399">
        <f>G27-'C) Prél. conj.'!I27</f>
        <v>40.583981406407261</v>
      </c>
      <c r="I27" s="403">
        <f t="shared" si="2"/>
        <v>0</v>
      </c>
      <c r="J27" s="55">
        <f t="shared" si="3"/>
        <v>0</v>
      </c>
      <c r="K27" s="399">
        <f t="shared" si="4"/>
        <v>40.583981406407261</v>
      </c>
      <c r="L27" s="427"/>
    </row>
    <row r="28" spans="1:12" x14ac:dyDescent="0.25">
      <c r="A28" s="49">
        <f>'A) Base RI'!A29</f>
        <v>5428</v>
      </c>
      <c r="B28" s="284" t="str">
        <f>'A) Base RI'!B29</f>
        <v>Gimel</v>
      </c>
      <c r="C28" s="95">
        <f>'B) D RI'!U29</f>
        <v>70558.698881431759</v>
      </c>
      <c r="D28" s="398">
        <f>'E) PCS'!G34/C28</f>
        <v>18.151189694548044</v>
      </c>
      <c r="E28" s="135">
        <f>'H) Péréquation directe'!I38/C28</f>
        <v>-4.4023673333471125</v>
      </c>
      <c r="F28" s="398">
        <f>+'I) Dépenses thématiques'!U28</f>
        <v>-8.0493481534393467</v>
      </c>
      <c r="G28" s="135">
        <f t="shared" si="1"/>
        <v>5.6994742077615861</v>
      </c>
      <c r="H28" s="399">
        <f>G28-'C) Prél. conj.'!I28</f>
        <v>-0.25524458185272447</v>
      </c>
      <c r="I28" s="403">
        <f t="shared" si="2"/>
        <v>0</v>
      </c>
      <c r="J28" s="55">
        <f t="shared" si="3"/>
        <v>0</v>
      </c>
      <c r="K28" s="399">
        <f t="shared" si="4"/>
        <v>-0.25524458185272447</v>
      </c>
      <c r="L28" s="427"/>
    </row>
    <row r="29" spans="1:12" x14ac:dyDescent="0.25">
      <c r="A29" s="49">
        <f>'A) Base RI'!A30</f>
        <v>5429</v>
      </c>
      <c r="B29" s="284" t="str">
        <f>'A) Base RI'!B30</f>
        <v>Longirod</v>
      </c>
      <c r="C29" s="95">
        <f>'B) D RI'!U30</f>
        <v>18574.452387096771</v>
      </c>
      <c r="D29" s="398">
        <f>'E) PCS'!G35/C29</f>
        <v>17.300701868203536</v>
      </c>
      <c r="E29" s="135">
        <f>'H) Péréquation directe'!I39/C29</f>
        <v>6.6543192049678073</v>
      </c>
      <c r="F29" s="398">
        <f>+'I) Dépenses thématiques'!U29</f>
        <v>-4.8028035781592386</v>
      </c>
      <c r="G29" s="135">
        <f t="shared" si="1"/>
        <v>19.152217495012106</v>
      </c>
      <c r="H29" s="399">
        <f>G29-'C) Prél. conj.'!I29</f>
        <v>14.047986531742307</v>
      </c>
      <c r="I29" s="403">
        <f t="shared" si="2"/>
        <v>0</v>
      </c>
      <c r="J29" s="55">
        <f t="shared" si="3"/>
        <v>0</v>
      </c>
      <c r="K29" s="399">
        <f t="shared" si="4"/>
        <v>14.047986531742307</v>
      </c>
      <c r="L29" s="427"/>
    </row>
    <row r="30" spans="1:12" x14ac:dyDescent="0.25">
      <c r="A30" s="49">
        <f>'A) Base RI'!A31</f>
        <v>5430</v>
      </c>
      <c r="B30" s="284" t="str">
        <f>'A) Base RI'!B31</f>
        <v>Marchissy</v>
      </c>
      <c r="C30" s="95">
        <f>'B) D RI'!U31</f>
        <v>15580.981548387101</v>
      </c>
      <c r="D30" s="398">
        <f>'E) PCS'!G36/C30</f>
        <v>15.263385197310047</v>
      </c>
      <c r="E30" s="135">
        <f>'H) Péréquation directe'!I40/C30</f>
        <v>2.6277293170127796</v>
      </c>
      <c r="F30" s="398">
        <f>+'I) Dépenses thématiques'!U30</f>
        <v>-3.8783892094354506</v>
      </c>
      <c r="G30" s="135">
        <f t="shared" si="1"/>
        <v>14.012725304887375</v>
      </c>
      <c r="H30" s="399">
        <f>G30-'C) Prél. conj.'!I30</f>
        <v>10.945811012511063</v>
      </c>
      <c r="I30" s="403">
        <f t="shared" si="2"/>
        <v>0</v>
      </c>
      <c r="J30" s="55">
        <f t="shared" si="3"/>
        <v>0</v>
      </c>
      <c r="K30" s="399">
        <f t="shared" si="4"/>
        <v>10.945811012511063</v>
      </c>
      <c r="L30" s="427"/>
    </row>
    <row r="31" spans="1:12" x14ac:dyDescent="0.25">
      <c r="A31" s="49">
        <f>'A) Base RI'!A32</f>
        <v>5431</v>
      </c>
      <c r="B31" s="284" t="str">
        <f>'A) Base RI'!B32</f>
        <v>Mollens</v>
      </c>
      <c r="C31" s="95">
        <f>'B) D RI'!U32</f>
        <v>10464.972567567567</v>
      </c>
      <c r="D31" s="398">
        <f>'E) PCS'!G37/C31</f>
        <v>13.836925276806999</v>
      </c>
      <c r="E31" s="135">
        <f>'H) Péréquation directe'!I41/C31</f>
        <v>4.4629085215076785</v>
      </c>
      <c r="F31" s="398">
        <f>+'I) Dépenses thématiques'!U31</f>
        <v>-3.676424846841388</v>
      </c>
      <c r="G31" s="135">
        <f t="shared" si="1"/>
        <v>14.623408951473291</v>
      </c>
      <c r="H31" s="399">
        <f>G31-'C) Prél. conj.'!I31</f>
        <v>12.982954579600026</v>
      </c>
      <c r="I31" s="403">
        <f t="shared" si="2"/>
        <v>0</v>
      </c>
      <c r="J31" s="55">
        <f t="shared" si="3"/>
        <v>0</v>
      </c>
      <c r="K31" s="399">
        <f t="shared" si="4"/>
        <v>12.982954579600026</v>
      </c>
      <c r="L31" s="427"/>
    </row>
    <row r="32" spans="1:12" x14ac:dyDescent="0.25">
      <c r="A32" s="49">
        <f>'A) Base RI'!A33</f>
        <v>5434</v>
      </c>
      <c r="B32" s="284" t="str">
        <f>'A) Base RI'!B33</f>
        <v>Saint-George</v>
      </c>
      <c r="C32" s="95">
        <f>'B) D RI'!U33</f>
        <v>43544.748513189443</v>
      </c>
      <c r="D32" s="398">
        <f>'E) PCS'!G38/C32</f>
        <v>15.472841991490508</v>
      </c>
      <c r="E32" s="135">
        <f>'H) Péréquation directe'!I42/C32</f>
        <v>11.522577072803163</v>
      </c>
      <c r="F32" s="398">
        <f>+'I) Dépenses thématiques'!U32</f>
        <v>-1.6618940605190058</v>
      </c>
      <c r="G32" s="135">
        <f t="shared" si="1"/>
        <v>25.333525003774664</v>
      </c>
      <c r="H32" s="399">
        <f>G32-'C) Prél. conj.'!I32</f>
        <v>22.057153917217889</v>
      </c>
      <c r="I32" s="403">
        <f t="shared" si="2"/>
        <v>0</v>
      </c>
      <c r="J32" s="55">
        <f t="shared" si="3"/>
        <v>0</v>
      </c>
      <c r="K32" s="399">
        <f t="shared" si="4"/>
        <v>22.057153917217889</v>
      </c>
      <c r="L32" s="427"/>
    </row>
    <row r="33" spans="1:12" x14ac:dyDescent="0.25">
      <c r="A33" s="49">
        <f>'A) Base RI'!A34</f>
        <v>5435</v>
      </c>
      <c r="B33" s="284" t="str">
        <f>'A) Base RI'!B34</f>
        <v>Saint-Livres</v>
      </c>
      <c r="C33" s="95">
        <f>'B) D RI'!U34</f>
        <v>25854.309855072468</v>
      </c>
      <c r="D33" s="398">
        <f>'E) PCS'!G39/C33</f>
        <v>17.494725848417549</v>
      </c>
      <c r="E33" s="135">
        <f>'H) Péréquation directe'!I43/C33</f>
        <v>10.430856793885118</v>
      </c>
      <c r="F33" s="398">
        <f>+'I) Dépenses thématiques'!U33</f>
        <v>-5.568281952352104E-2</v>
      </c>
      <c r="G33" s="135">
        <f t="shared" si="1"/>
        <v>27.869899822779143</v>
      </c>
      <c r="H33" s="399">
        <f>G33-'C) Prél. conj.'!I33</f>
        <v>22.571644879295327</v>
      </c>
      <c r="I33" s="403">
        <f t="shared" si="2"/>
        <v>0</v>
      </c>
      <c r="J33" s="55">
        <f t="shared" si="3"/>
        <v>0</v>
      </c>
      <c r="K33" s="399">
        <f t="shared" si="4"/>
        <v>22.571644879295327</v>
      </c>
      <c r="L33" s="427"/>
    </row>
    <row r="34" spans="1:12" x14ac:dyDescent="0.25">
      <c r="A34" s="49">
        <f>'A) Base RI'!A35</f>
        <v>5436</v>
      </c>
      <c r="B34" s="284" t="str">
        <f>'A) Base RI'!B35</f>
        <v>Saint-Oyens</v>
      </c>
      <c r="C34" s="95">
        <f>'B) D RI'!U35</f>
        <v>16868.339629629631</v>
      </c>
      <c r="D34" s="398">
        <f>'E) PCS'!G40/C34</f>
        <v>16.691341275389089</v>
      </c>
      <c r="E34" s="135">
        <f>'H) Péréquation directe'!I44/C34</f>
        <v>7.0439978677048538</v>
      </c>
      <c r="F34" s="398">
        <f>+'I) Dépenses thématiques'!U34</f>
        <v>0</v>
      </c>
      <c r="G34" s="135">
        <f t="shared" si="1"/>
        <v>23.735339143093942</v>
      </c>
      <c r="H34" s="399">
        <f>G34-'C) Prél. conj.'!I34</f>
        <v>19.240468772638593</v>
      </c>
      <c r="I34" s="403">
        <f t="shared" si="2"/>
        <v>0</v>
      </c>
      <c r="J34" s="55">
        <f t="shared" si="3"/>
        <v>0</v>
      </c>
      <c r="K34" s="399">
        <f t="shared" si="4"/>
        <v>19.240468772638593</v>
      </c>
      <c r="L34" s="427"/>
    </row>
    <row r="35" spans="1:12" x14ac:dyDescent="0.25">
      <c r="A35" s="49">
        <f>'A) Base RI'!A36</f>
        <v>5437</v>
      </c>
      <c r="B35" s="284" t="str">
        <f>'A) Base RI'!B36</f>
        <v>Saubraz</v>
      </c>
      <c r="C35" s="95">
        <f>'B) D RI'!U36</f>
        <v>13551.757374999997</v>
      </c>
      <c r="D35" s="398">
        <f>'E) PCS'!G41/C35</f>
        <v>23.894592086800014</v>
      </c>
      <c r="E35" s="135">
        <f>'H) Péréquation directe'!I45/C35</f>
        <v>-0.39539999249362584</v>
      </c>
      <c r="F35" s="398">
        <f>+'I) Dépenses thématiques'!U35</f>
        <v>-26.32855620690302</v>
      </c>
      <c r="G35" s="135">
        <f t="shared" si="1"/>
        <v>-2.8293641125966325</v>
      </c>
      <c r="H35" s="399">
        <f>G35-'C) Prél. conj.'!I35</f>
        <v>-14.52748529446291</v>
      </c>
      <c r="I35" s="403">
        <f t="shared" si="2"/>
        <v>0</v>
      </c>
      <c r="J35" s="55">
        <f t="shared" si="3"/>
        <v>0</v>
      </c>
      <c r="K35" s="399">
        <f t="shared" si="4"/>
        <v>-14.52748529446291</v>
      </c>
      <c r="L35" s="427"/>
    </row>
    <row r="36" spans="1:12" x14ac:dyDescent="0.25">
      <c r="A36" s="49">
        <f>'A) Base RI'!A37</f>
        <v>5451</v>
      </c>
      <c r="B36" s="284" t="str">
        <f>'A) Base RI'!B37</f>
        <v>Avenches</v>
      </c>
      <c r="C36" s="95">
        <f>'B) D RI'!U37</f>
        <v>137890.8513283208</v>
      </c>
      <c r="D36" s="398">
        <f>'E) PCS'!G42/C36</f>
        <v>16.299928382709034</v>
      </c>
      <c r="E36" s="135">
        <f>'H) Péréquation directe'!I46/C36</f>
        <v>-4.1122744958624109</v>
      </c>
      <c r="F36" s="398">
        <f>+'I) Dépenses thématiques'!U36</f>
        <v>-10.349317074213859</v>
      </c>
      <c r="G36" s="135">
        <f t="shared" si="1"/>
        <v>1.8383368126327628</v>
      </c>
      <c r="H36" s="399">
        <f>G36-'C) Prél. conj.'!I36</f>
        <v>-2.2651206651425362</v>
      </c>
      <c r="I36" s="403">
        <f t="shared" si="2"/>
        <v>0</v>
      </c>
      <c r="J36" s="55">
        <f t="shared" si="3"/>
        <v>0</v>
      </c>
      <c r="K36" s="399">
        <f t="shared" si="4"/>
        <v>-2.2651206651425362</v>
      </c>
      <c r="L36" s="427"/>
    </row>
    <row r="37" spans="1:12" x14ac:dyDescent="0.25">
      <c r="A37" s="49">
        <f>'A) Base RI'!A38</f>
        <v>5456</v>
      </c>
      <c r="B37" s="284" t="str">
        <f>'A) Base RI'!B38</f>
        <v>Cudrefin</v>
      </c>
      <c r="C37" s="95">
        <f>'B) D RI'!U38</f>
        <v>64144.951694915253</v>
      </c>
      <c r="D37" s="398">
        <f>'E) PCS'!G43/C37</f>
        <v>15.30616574029226</v>
      </c>
      <c r="E37" s="135">
        <f>'H) Péréquation directe'!I47/C37</f>
        <v>6.8044546135856478</v>
      </c>
      <c r="F37" s="398">
        <f>+'I) Dépenses thématiques'!U37</f>
        <v>-4.3912464252870711</v>
      </c>
      <c r="G37" s="135">
        <f t="shared" si="1"/>
        <v>17.719373928590834</v>
      </c>
      <c r="H37" s="399">
        <f>G37-'C) Prél. conj.'!I37</f>
        <v>14.609679093232309</v>
      </c>
      <c r="I37" s="403">
        <f t="shared" si="2"/>
        <v>0</v>
      </c>
      <c r="J37" s="55">
        <f t="shared" si="3"/>
        <v>0</v>
      </c>
      <c r="K37" s="399">
        <f t="shared" si="4"/>
        <v>14.609679093232309</v>
      </c>
      <c r="L37" s="427"/>
    </row>
    <row r="38" spans="1:12" x14ac:dyDescent="0.25">
      <c r="A38" s="49">
        <f>'A) Base RI'!A39</f>
        <v>5458</v>
      </c>
      <c r="B38" s="284" t="str">
        <f>'A) Base RI'!B39</f>
        <v>Faoug</v>
      </c>
      <c r="C38" s="95">
        <f>'B) D RI'!U39</f>
        <v>34721.352769230762</v>
      </c>
      <c r="D38" s="398">
        <f>'E) PCS'!G44/C38</f>
        <v>15.771813456391309</v>
      </c>
      <c r="E38" s="135">
        <f>'H) Péréquation directe'!I48/C38</f>
        <v>12.052037077460227</v>
      </c>
      <c r="F38" s="398">
        <f>+'I) Dépenses thématiques'!U38</f>
        <v>-3.8001653985539301</v>
      </c>
      <c r="G38" s="135">
        <f t="shared" si="1"/>
        <v>24.023685135297605</v>
      </c>
      <c r="H38" s="399">
        <f>G38-'C) Prél. conj.'!I38</f>
        <v>20.448342583840031</v>
      </c>
      <c r="I38" s="403">
        <f t="shared" si="2"/>
        <v>0</v>
      </c>
      <c r="J38" s="55">
        <f t="shared" si="3"/>
        <v>0</v>
      </c>
      <c r="K38" s="399">
        <f t="shared" si="4"/>
        <v>20.448342583840031</v>
      </c>
      <c r="L38" s="427"/>
    </row>
    <row r="39" spans="1:12" x14ac:dyDescent="0.25">
      <c r="A39" s="49">
        <f>'A) Base RI'!A40</f>
        <v>5464</v>
      </c>
      <c r="B39" s="284" t="str">
        <f>'A) Base RI'!B40</f>
        <v>Vully-les-Lacs</v>
      </c>
      <c r="C39" s="95">
        <f>'B) D RI'!U40</f>
        <v>119169.3065671642</v>
      </c>
      <c r="D39" s="398">
        <f>'E) PCS'!G45/C39</f>
        <v>18.40949174333819</v>
      </c>
      <c r="E39" s="135">
        <f>'H) Péréquation directe'!I49/C39</f>
        <v>2.5020477558301142</v>
      </c>
      <c r="F39" s="398">
        <f>+'I) Dépenses thématiques'!U39</f>
        <v>-2.5167693698710751</v>
      </c>
      <c r="G39" s="135">
        <f t="shared" si="1"/>
        <v>18.394770129297232</v>
      </c>
      <c r="H39" s="399">
        <f>G39-'C) Prél. conj.'!I39</f>
        <v>12.181749290892778</v>
      </c>
      <c r="I39" s="403">
        <f t="shared" si="2"/>
        <v>0</v>
      </c>
      <c r="J39" s="55">
        <f t="shared" si="3"/>
        <v>0</v>
      </c>
      <c r="K39" s="399">
        <f t="shared" si="4"/>
        <v>12.181749290892778</v>
      </c>
      <c r="L39" s="427"/>
    </row>
    <row r="40" spans="1:12" x14ac:dyDescent="0.25">
      <c r="A40" s="49">
        <f>'A) Base RI'!A41</f>
        <v>5471</v>
      </c>
      <c r="B40" s="284" t="str">
        <f>'A) Base RI'!B41</f>
        <v>Bettens</v>
      </c>
      <c r="C40" s="95">
        <f>'B) D RI'!U41</f>
        <v>22893.023698412693</v>
      </c>
      <c r="D40" s="398">
        <f>'E) PCS'!G46/C40</f>
        <v>13.963381014007906</v>
      </c>
      <c r="E40" s="135">
        <f>'H) Péréquation directe'!I50/C40</f>
        <v>8.918811282622066</v>
      </c>
      <c r="F40" s="398">
        <f>+'I) Dépenses thématiques'!U40</f>
        <v>-1.150464357897379</v>
      </c>
      <c r="G40" s="135">
        <f t="shared" si="1"/>
        <v>21.731727938732593</v>
      </c>
      <c r="H40" s="399">
        <f>G40-'C) Prél. conj.'!I40</f>
        <v>19.964817829658422</v>
      </c>
      <c r="I40" s="403">
        <f t="shared" si="2"/>
        <v>0</v>
      </c>
      <c r="J40" s="55">
        <f t="shared" si="3"/>
        <v>0</v>
      </c>
      <c r="K40" s="399">
        <f t="shared" si="4"/>
        <v>19.964817829658422</v>
      </c>
      <c r="L40" s="427"/>
    </row>
    <row r="41" spans="1:12" x14ac:dyDescent="0.25">
      <c r="A41" s="49">
        <f>'A) Base RI'!A42</f>
        <v>5472</v>
      </c>
      <c r="B41" s="284" t="str">
        <f>'A) Base RI'!B42</f>
        <v>Bournens</v>
      </c>
      <c r="C41" s="95">
        <f>'B) D RI'!U42</f>
        <v>22178.441944444447</v>
      </c>
      <c r="D41" s="398">
        <f>'E) PCS'!G47/C41</f>
        <v>16.632136415000936</v>
      </c>
      <c r="E41" s="135">
        <f>'H) Péréquation directe'!I51/C41</f>
        <v>13.60462119495485</v>
      </c>
      <c r="F41" s="398">
        <f>+'I) Dépenses thématiques'!U41</f>
        <v>-0.78348238281090543</v>
      </c>
      <c r="G41" s="135">
        <f t="shared" si="1"/>
        <v>29.453275227144882</v>
      </c>
      <c r="H41" s="399">
        <f>G41-'C) Prél. conj.'!I41</f>
        <v>25.017609717077679</v>
      </c>
      <c r="I41" s="403">
        <f t="shared" si="2"/>
        <v>0</v>
      </c>
      <c r="J41" s="55">
        <f t="shared" si="3"/>
        <v>0</v>
      </c>
      <c r="K41" s="399">
        <f t="shared" si="4"/>
        <v>25.017609717077679</v>
      </c>
      <c r="L41" s="427"/>
    </row>
    <row r="42" spans="1:12" x14ac:dyDescent="0.25">
      <c r="A42" s="49">
        <f>'A) Base RI'!A43</f>
        <v>5473</v>
      </c>
      <c r="B42" s="284" t="str">
        <f>'A) Base RI'!B43</f>
        <v>Boussens</v>
      </c>
      <c r="C42" s="95">
        <f>'B) D RI'!U43</f>
        <v>37059.012888888894</v>
      </c>
      <c r="D42" s="398">
        <f>'E) PCS'!G48/C42</f>
        <v>15.656234266262816</v>
      </c>
      <c r="E42" s="135">
        <f>'H) Péréquation directe'!I52/C42</f>
        <v>9.6917830760979555</v>
      </c>
      <c r="F42" s="398">
        <f>+'I) Dépenses thématiques'!U42</f>
        <v>0</v>
      </c>
      <c r="G42" s="135">
        <f t="shared" si="1"/>
        <v>25.34801734236077</v>
      </c>
      <c r="H42" s="399">
        <f>G42-'C) Prél. conj.'!I42</f>
        <v>21.888253981031689</v>
      </c>
      <c r="I42" s="403">
        <f t="shared" si="2"/>
        <v>0</v>
      </c>
      <c r="J42" s="55">
        <f t="shared" si="3"/>
        <v>0</v>
      </c>
      <c r="K42" s="399">
        <f t="shared" si="4"/>
        <v>21.888253981031689</v>
      </c>
      <c r="L42" s="427"/>
    </row>
    <row r="43" spans="1:12" x14ac:dyDescent="0.25">
      <c r="A43" s="49">
        <f>'A) Base RI'!A44</f>
        <v>5474</v>
      </c>
      <c r="B43" s="284" t="str">
        <f>'A) Base RI'!B44</f>
        <v>La Chaux (Cossonay)</v>
      </c>
      <c r="C43" s="95">
        <f>'B) D RI'!U44</f>
        <v>12905.016929824562</v>
      </c>
      <c r="D43" s="398">
        <f>'E) PCS'!G49/C43</f>
        <v>15.862829520136513</v>
      </c>
      <c r="E43" s="135">
        <f>'H) Péréquation directe'!I53/C43</f>
        <v>3.449387264209232</v>
      </c>
      <c r="F43" s="398">
        <f>+'I) Dépenses thématiques'!U43</f>
        <v>-17.804579387264411</v>
      </c>
      <c r="G43" s="135">
        <f t="shared" si="1"/>
        <v>1.5076373970813322</v>
      </c>
      <c r="H43" s="399">
        <f>G43-'C) Prél. conj.'!I43</f>
        <v>-2.1587212181214466</v>
      </c>
      <c r="I43" s="403">
        <f t="shared" si="2"/>
        <v>0</v>
      </c>
      <c r="J43" s="55">
        <f t="shared" si="3"/>
        <v>0</v>
      </c>
      <c r="K43" s="399">
        <f t="shared" si="4"/>
        <v>-2.1587212181214466</v>
      </c>
      <c r="L43" s="427"/>
    </row>
    <row r="44" spans="1:12" x14ac:dyDescent="0.25">
      <c r="A44" s="49">
        <f>'A) Base RI'!A45</f>
        <v>5475</v>
      </c>
      <c r="B44" s="284" t="str">
        <f>'A) Base RI'!B45</f>
        <v>Chavannes-le-Veyron</v>
      </c>
      <c r="C44" s="95">
        <f>'B) D RI'!U45</f>
        <v>4277.2722666666668</v>
      </c>
      <c r="D44" s="398">
        <f>'E) PCS'!G50/C44</f>
        <v>13.295366347393605</v>
      </c>
      <c r="E44" s="135">
        <f>'H) Péréquation directe'!I54/C44</f>
        <v>-2.7944252710454602</v>
      </c>
      <c r="F44" s="398">
        <f>+'I) Dépenses thématiques'!U44</f>
        <v>-6.4957665698593825</v>
      </c>
      <c r="G44" s="135">
        <f t="shared" si="1"/>
        <v>4.0051745064887623</v>
      </c>
      <c r="H44" s="399">
        <f>G44-'C) Prél. conj.'!I44</f>
        <v>2.9062790640288916</v>
      </c>
      <c r="I44" s="403">
        <f t="shared" si="2"/>
        <v>0</v>
      </c>
      <c r="J44" s="55">
        <f t="shared" si="3"/>
        <v>0</v>
      </c>
      <c r="K44" s="399">
        <f t="shared" si="4"/>
        <v>2.9062790640288916</v>
      </c>
      <c r="L44" s="427"/>
    </row>
    <row r="45" spans="1:12" x14ac:dyDescent="0.25">
      <c r="A45" s="49">
        <f>'A) Base RI'!A46</f>
        <v>5476</v>
      </c>
      <c r="B45" s="284" t="str">
        <f>'A) Base RI'!B46</f>
        <v>Chevilly</v>
      </c>
      <c r="C45" s="95">
        <f>'B) D RI'!U46</f>
        <v>12075.307586206898</v>
      </c>
      <c r="D45" s="398">
        <f>'E) PCS'!G51/C45</f>
        <v>15.890871621562871</v>
      </c>
      <c r="E45" s="135">
        <f>'H) Péréquation directe'!I55/C45</f>
        <v>9.2329990859489257</v>
      </c>
      <c r="F45" s="398">
        <f>+'I) Dépenses thématiques'!U45</f>
        <v>-0.73989042672204852</v>
      </c>
      <c r="G45" s="135">
        <f t="shared" si="1"/>
        <v>24.38398028078975</v>
      </c>
      <c r="H45" s="399">
        <f>G45-'C) Prél. conj.'!I45</f>
        <v>20.689579564160614</v>
      </c>
      <c r="I45" s="403">
        <f t="shared" si="2"/>
        <v>0</v>
      </c>
      <c r="J45" s="55">
        <f t="shared" si="3"/>
        <v>0</v>
      </c>
      <c r="K45" s="399">
        <f t="shared" si="4"/>
        <v>20.689579564160614</v>
      </c>
      <c r="L45" s="427"/>
    </row>
    <row r="46" spans="1:12" x14ac:dyDescent="0.25">
      <c r="A46" s="49">
        <f>'A) Base RI'!A47</f>
        <v>5477</v>
      </c>
      <c r="B46" s="284" t="str">
        <f>'A) Base RI'!B47</f>
        <v>Cossonay</v>
      </c>
      <c r="C46" s="95">
        <f>'B) D RI'!U47</f>
        <v>142597.98359712231</v>
      </c>
      <c r="D46" s="398">
        <f>'E) PCS'!G52/C46</f>
        <v>16.182006223621574</v>
      </c>
      <c r="E46" s="135">
        <f>'H) Péréquation directe'!I56/C46</f>
        <v>-0.78737275029723264</v>
      </c>
      <c r="F46" s="398">
        <f>+'I) Dépenses thématiques'!U46</f>
        <v>-5.7195152963840732</v>
      </c>
      <c r="G46" s="135">
        <f t="shared" si="1"/>
        <v>9.6751181769402699</v>
      </c>
      <c r="H46" s="399">
        <f>G46-'C) Prél. conj.'!I46</f>
        <v>5.6895828582524306</v>
      </c>
      <c r="I46" s="403">
        <f t="shared" si="2"/>
        <v>0</v>
      </c>
      <c r="J46" s="55">
        <f t="shared" si="3"/>
        <v>0</v>
      </c>
      <c r="K46" s="399">
        <f t="shared" si="4"/>
        <v>5.6895828582524306</v>
      </c>
      <c r="L46" s="427"/>
    </row>
    <row r="47" spans="1:12" x14ac:dyDescent="0.25">
      <c r="A47" s="49">
        <f>'A) Base RI'!A48</f>
        <v>5478</v>
      </c>
      <c r="B47" s="284" t="str">
        <f>'A) Base RI'!B48</f>
        <v>Cottens</v>
      </c>
      <c r="C47" s="95">
        <f>'B) D RI'!U48</f>
        <v>15741.229189189189</v>
      </c>
      <c r="D47" s="398">
        <f>'E) PCS'!G53/C47</f>
        <v>13.820154461841305</v>
      </c>
      <c r="E47" s="135">
        <f>'H) Péréquation directe'!I57/C47</f>
        <v>4.1498259774734514</v>
      </c>
      <c r="F47" s="398">
        <f>+'I) Dépenses thématiques'!U47</f>
        <v>0</v>
      </c>
      <c r="G47" s="135">
        <f t="shared" si="1"/>
        <v>17.969980439314757</v>
      </c>
      <c r="H47" s="399">
        <f>G47-'C) Prél. conj.'!I47</f>
        <v>16.346296882407184</v>
      </c>
      <c r="I47" s="403">
        <f t="shared" si="2"/>
        <v>0</v>
      </c>
      <c r="J47" s="55">
        <f t="shared" si="3"/>
        <v>0</v>
      </c>
      <c r="K47" s="399">
        <f t="shared" si="4"/>
        <v>16.346296882407184</v>
      </c>
      <c r="L47" s="427"/>
    </row>
    <row r="48" spans="1:12" x14ac:dyDescent="0.25">
      <c r="A48" s="49">
        <f>'A) Base RI'!A49</f>
        <v>5479</v>
      </c>
      <c r="B48" s="284" t="str">
        <f>'A) Base RI'!B49</f>
        <v>Cuarnens</v>
      </c>
      <c r="C48" s="95">
        <f>'B) D RI'!U49</f>
        <v>17984.87649350649</v>
      </c>
      <c r="D48" s="398">
        <f>'E) PCS'!G54/C48</f>
        <v>15.536970352994532</v>
      </c>
      <c r="E48" s="135">
        <f>'H) Péréquation directe'!I58/C48</f>
        <v>4.8205334750426596</v>
      </c>
      <c r="F48" s="398">
        <f>+'I) Dépenses thématiques'!U48</f>
        <v>-5.392785638747605</v>
      </c>
      <c r="G48" s="135">
        <f t="shared" si="1"/>
        <v>14.964718189289588</v>
      </c>
      <c r="H48" s="399">
        <f>G48-'C) Prél. conj.'!I48</f>
        <v>11.624218741228793</v>
      </c>
      <c r="I48" s="403">
        <f t="shared" si="2"/>
        <v>0</v>
      </c>
      <c r="J48" s="55">
        <f t="shared" si="3"/>
        <v>0</v>
      </c>
      <c r="K48" s="399">
        <f t="shared" si="4"/>
        <v>11.624218741228793</v>
      </c>
      <c r="L48" s="427"/>
    </row>
    <row r="49" spans="1:12" x14ac:dyDescent="0.25">
      <c r="A49" s="49">
        <f>'A) Base RI'!A50</f>
        <v>5480</v>
      </c>
      <c r="B49" s="284" t="str">
        <f>'A) Base RI'!B50</f>
        <v>Daillens</v>
      </c>
      <c r="C49" s="95">
        <f>'B) D RI'!U50</f>
        <v>41284.66095959596</v>
      </c>
      <c r="D49" s="398">
        <f>'E) PCS'!G55/C49</f>
        <v>17.485000952780752</v>
      </c>
      <c r="E49" s="135">
        <f>'H) Péréquation directe'!I59/C49</f>
        <v>11.167676755857579</v>
      </c>
      <c r="F49" s="398">
        <f>+'I) Dépenses thématiques'!U49</f>
        <v>-3.3633686462465544</v>
      </c>
      <c r="G49" s="135">
        <f t="shared" si="1"/>
        <v>25.289309062391773</v>
      </c>
      <c r="H49" s="399">
        <f>G49-'C) Prél. conj.'!I49</f>
        <v>20.000779014544754</v>
      </c>
      <c r="I49" s="403">
        <f t="shared" si="2"/>
        <v>0</v>
      </c>
      <c r="J49" s="55">
        <f t="shared" si="3"/>
        <v>0</v>
      </c>
      <c r="K49" s="399">
        <f t="shared" si="4"/>
        <v>20.000779014544754</v>
      </c>
      <c r="L49" s="427"/>
    </row>
    <row r="50" spans="1:12" x14ac:dyDescent="0.25">
      <c r="A50" s="49">
        <f>'A) Base RI'!A51</f>
        <v>5481</v>
      </c>
      <c r="B50" s="284" t="str">
        <f>'A) Base RI'!B51</f>
        <v>Dizy</v>
      </c>
      <c r="C50" s="95">
        <f>'B) D RI'!U51</f>
        <v>8120.887333333334</v>
      </c>
      <c r="D50" s="398">
        <f>'E) PCS'!G56/C50</f>
        <v>13.300977670245341</v>
      </c>
      <c r="E50" s="135">
        <f>'H) Péréquation directe'!I60/C50</f>
        <v>7.5446937902216282</v>
      </c>
      <c r="F50" s="398">
        <f>+'I) Dépenses thématiques'!U50</f>
        <v>-2.1269136352997871</v>
      </c>
      <c r="G50" s="135">
        <f t="shared" si="1"/>
        <v>18.718757825167184</v>
      </c>
      <c r="H50" s="399">
        <f>G50-'C) Prél. conj.'!I50</f>
        <v>17.614251059855576</v>
      </c>
      <c r="I50" s="403">
        <f t="shared" si="2"/>
        <v>0</v>
      </c>
      <c r="J50" s="55">
        <f t="shared" si="3"/>
        <v>0</v>
      </c>
      <c r="K50" s="399">
        <f t="shared" si="4"/>
        <v>17.614251059855576</v>
      </c>
      <c r="L50" s="427"/>
    </row>
    <row r="51" spans="1:12" x14ac:dyDescent="0.25">
      <c r="A51" s="49">
        <f>'A) Base RI'!A52</f>
        <v>5482</v>
      </c>
      <c r="B51" s="284" t="str">
        <f>'A) Base RI'!B52</f>
        <v>Eclépens</v>
      </c>
      <c r="C51" s="95">
        <f>'B) D RI'!U52</f>
        <v>54196.336086956522</v>
      </c>
      <c r="D51" s="398">
        <f>'E) PCS'!G57/C51</f>
        <v>15.818889488452132</v>
      </c>
      <c r="E51" s="135">
        <f>'H) Péréquation directe'!I61/C51</f>
        <v>14.488041577872348</v>
      </c>
      <c r="F51" s="398">
        <f>+'I) Dépenses thématiques'!U51</f>
        <v>-1.3502477983169936</v>
      </c>
      <c r="G51" s="135">
        <f t="shared" si="1"/>
        <v>28.956683268007488</v>
      </c>
      <c r="H51" s="399">
        <f>G51-'C) Prél. conj.'!I51</f>
        <v>25.334264684489092</v>
      </c>
      <c r="I51" s="403">
        <f t="shared" si="2"/>
        <v>0</v>
      </c>
      <c r="J51" s="55">
        <f t="shared" si="3"/>
        <v>0</v>
      </c>
      <c r="K51" s="399">
        <f t="shared" si="4"/>
        <v>25.334264684489092</v>
      </c>
      <c r="L51" s="427"/>
    </row>
    <row r="52" spans="1:12" x14ac:dyDescent="0.25">
      <c r="A52" s="49">
        <f>'A) Base RI'!A53</f>
        <v>5483</v>
      </c>
      <c r="B52" s="284" t="str">
        <f>'A) Base RI'!B53</f>
        <v>Ferreyres</v>
      </c>
      <c r="C52" s="95">
        <f>'B) D RI'!U53</f>
        <v>10537.122500000001</v>
      </c>
      <c r="D52" s="398">
        <f>'E) PCS'!G58/C52</f>
        <v>12.817923773114778</v>
      </c>
      <c r="E52" s="135">
        <f>'H) Péréquation directe'!I62/C52</f>
        <v>4.1528008201655506</v>
      </c>
      <c r="F52" s="398">
        <f>+'I) Dépenses thématiques'!U52</f>
        <v>0</v>
      </c>
      <c r="G52" s="135">
        <f t="shared" si="1"/>
        <v>16.97072459328033</v>
      </c>
      <c r="H52" s="399">
        <f>G52-'C) Prél. conj.'!I52</f>
        <v>16.349271725099289</v>
      </c>
      <c r="I52" s="403">
        <f t="shared" si="2"/>
        <v>0</v>
      </c>
      <c r="J52" s="55">
        <f t="shared" si="3"/>
        <v>0</v>
      </c>
      <c r="K52" s="399">
        <f t="shared" si="4"/>
        <v>16.349271725099289</v>
      </c>
      <c r="L52" s="427"/>
    </row>
    <row r="53" spans="1:12" x14ac:dyDescent="0.25">
      <c r="A53" s="49">
        <f>'A) Base RI'!A54</f>
        <v>5484</v>
      </c>
      <c r="B53" s="284" t="str">
        <f>'A) Base RI'!B54</f>
        <v>Gollion</v>
      </c>
      <c r="C53" s="95">
        <f>'B) D RI'!U54</f>
        <v>35950.666081081094</v>
      </c>
      <c r="D53" s="398">
        <f>'E) PCS'!G59/C53</f>
        <v>15.787712294142439</v>
      </c>
      <c r="E53" s="135">
        <f>'H) Péréquation directe'!I63/C53</f>
        <v>6.9130342900254913</v>
      </c>
      <c r="F53" s="398">
        <f>+'I) Dépenses thématiques'!U53</f>
        <v>-4.5359244133314505</v>
      </c>
      <c r="G53" s="135">
        <f t="shared" si="1"/>
        <v>18.16482217083648</v>
      </c>
      <c r="H53" s="399">
        <f>G53-'C) Prél. conj.'!I53</f>
        <v>14.573580781627774</v>
      </c>
      <c r="I53" s="403">
        <f t="shared" si="2"/>
        <v>0</v>
      </c>
      <c r="J53" s="55">
        <f t="shared" si="3"/>
        <v>0</v>
      </c>
      <c r="K53" s="399">
        <f t="shared" si="4"/>
        <v>14.573580781627774</v>
      </c>
      <c r="L53" s="427"/>
    </row>
    <row r="54" spans="1:12" x14ac:dyDescent="0.25">
      <c r="A54" s="49">
        <f>'A) Base RI'!A55</f>
        <v>5485</v>
      </c>
      <c r="B54" s="284" t="str">
        <f>'A) Base RI'!B55</f>
        <v>Grancy</v>
      </c>
      <c r="C54" s="95">
        <f>'B) D RI'!U55</f>
        <v>24488.659571428572</v>
      </c>
      <c r="D54" s="398">
        <f>'E) PCS'!G60/C54</f>
        <v>16.95414826056394</v>
      </c>
      <c r="E54" s="135">
        <f>'H) Péréquation directe'!I64/C54</f>
        <v>16.387319713047766</v>
      </c>
      <c r="F54" s="398">
        <f>+'I) Dépenses thématiques'!U54</f>
        <v>-1.6638213783234721</v>
      </c>
      <c r="G54" s="135">
        <f t="shared" si="1"/>
        <v>31.677646595288234</v>
      </c>
      <c r="H54" s="399">
        <f>G54-'C) Prél. conj.'!I54</f>
        <v>28.609907024615705</v>
      </c>
      <c r="I54" s="403">
        <f t="shared" si="2"/>
        <v>0</v>
      </c>
      <c r="J54" s="55">
        <f t="shared" si="3"/>
        <v>0</v>
      </c>
      <c r="K54" s="399">
        <f t="shared" si="4"/>
        <v>28.609907024615705</v>
      </c>
      <c r="L54" s="427"/>
    </row>
    <row r="55" spans="1:12" x14ac:dyDescent="0.25">
      <c r="A55" s="49">
        <f>'A) Base RI'!A56</f>
        <v>5486</v>
      </c>
      <c r="B55" s="284" t="str">
        <f>'A) Base RI'!B56</f>
        <v>L'Isle</v>
      </c>
      <c r="C55" s="95">
        <f>'B) D RI'!U56</f>
        <v>29230.387866666671</v>
      </c>
      <c r="D55" s="398">
        <f>'E) PCS'!G61/C55</f>
        <v>18.257918526094048</v>
      </c>
      <c r="E55" s="135">
        <f>'H) Péréquation directe'!I65/C55</f>
        <v>-4.2200133693617845</v>
      </c>
      <c r="F55" s="398">
        <f>+'I) Dépenses thématiques'!U55</f>
        <v>-12.069900800130329</v>
      </c>
      <c r="G55" s="135">
        <f t="shared" si="1"/>
        <v>1.9680043566019361</v>
      </c>
      <c r="H55" s="399">
        <f>G55-'C) Prél. conj.'!I55</f>
        <v>-4.0934432645583776</v>
      </c>
      <c r="I55" s="403">
        <f t="shared" si="2"/>
        <v>0</v>
      </c>
      <c r="J55" s="55">
        <f t="shared" si="3"/>
        <v>0</v>
      </c>
      <c r="K55" s="399">
        <f t="shared" si="4"/>
        <v>-4.0934432645583776</v>
      </c>
      <c r="L55" s="427"/>
    </row>
    <row r="56" spans="1:12" x14ac:dyDescent="0.25">
      <c r="A56" s="49">
        <f>'A) Base RI'!A57</f>
        <v>5487</v>
      </c>
      <c r="B56" s="284" t="str">
        <f>'A) Base RI'!B57</f>
        <v>Lussery-Villars</v>
      </c>
      <c r="C56" s="95">
        <f>'B) D RI'!U57</f>
        <v>16622.441866666668</v>
      </c>
      <c r="D56" s="398">
        <f>'E) PCS'!G62/C56</f>
        <v>13.251926543806015</v>
      </c>
      <c r="E56" s="135">
        <f>'H) Péréquation directe'!I66/C56</f>
        <v>6.4910021210771829</v>
      </c>
      <c r="F56" s="398">
        <f>+'I) Dépenses thématiques'!U56</f>
        <v>-1.4290980224534033</v>
      </c>
      <c r="G56" s="135">
        <f t="shared" si="1"/>
        <v>18.313830642429796</v>
      </c>
      <c r="H56" s="399">
        <f>G56-'C) Prél. conj.'!I56</f>
        <v>17.258375003557518</v>
      </c>
      <c r="I56" s="403">
        <f t="shared" si="2"/>
        <v>0</v>
      </c>
      <c r="J56" s="55">
        <f t="shared" si="3"/>
        <v>0</v>
      </c>
      <c r="K56" s="399">
        <f t="shared" si="4"/>
        <v>17.258375003557518</v>
      </c>
      <c r="L56" s="427"/>
    </row>
    <row r="57" spans="1:12" x14ac:dyDescent="0.25">
      <c r="A57" s="49">
        <f>'A) Base RI'!A58</f>
        <v>5488</v>
      </c>
      <c r="B57" s="284" t="str">
        <f>'A) Base RI'!B58</f>
        <v>Mauraz</v>
      </c>
      <c r="C57" s="95">
        <f>'B) D RI'!U58</f>
        <v>1729.1857142857141</v>
      </c>
      <c r="D57" s="398">
        <f>'E) PCS'!G63/C57</f>
        <v>12.196470904933735</v>
      </c>
      <c r="E57" s="135">
        <f>'H) Péréquation directe'!I67/C57</f>
        <v>-1.7530334178945497</v>
      </c>
      <c r="F57" s="398">
        <f>+'I) Dépenses thématiques'!U57</f>
        <v>0</v>
      </c>
      <c r="G57" s="135">
        <f t="shared" si="1"/>
        <v>10.443437487039185</v>
      </c>
      <c r="H57" s="399">
        <f>G57-'C) Prél. conj.'!I57</f>
        <v>10.443437487039185</v>
      </c>
      <c r="I57" s="403">
        <f t="shared" si="2"/>
        <v>0</v>
      </c>
      <c r="J57" s="55">
        <f t="shared" si="3"/>
        <v>0</v>
      </c>
      <c r="K57" s="399">
        <f t="shared" si="4"/>
        <v>10.443437487039185</v>
      </c>
      <c r="L57" s="427"/>
    </row>
    <row r="58" spans="1:12" x14ac:dyDescent="0.25">
      <c r="A58" s="49">
        <f>'A) Base RI'!A59</f>
        <v>5489</v>
      </c>
      <c r="B58" s="284" t="str">
        <f>'A) Base RI'!B59</f>
        <v>Mex</v>
      </c>
      <c r="C58" s="95">
        <f>'B) D RI'!U59</f>
        <v>50879.929915966379</v>
      </c>
      <c r="D58" s="398">
        <f>'E) PCS'!G64/C58</f>
        <v>19.418067056577041</v>
      </c>
      <c r="E58" s="135">
        <f>'H) Péréquation directe'!I68/C58</f>
        <v>16.705011080230577</v>
      </c>
      <c r="F58" s="398">
        <f>+'I) Dépenses thématiques'!U58</f>
        <v>0</v>
      </c>
      <c r="G58" s="135">
        <f t="shared" si="1"/>
        <v>36.123078136807621</v>
      </c>
      <c r="H58" s="399">
        <f>G58-'C) Prél. conj.'!I58</f>
        <v>32.356047299372165</v>
      </c>
      <c r="I58" s="403">
        <f t="shared" si="2"/>
        <v>0</v>
      </c>
      <c r="J58" s="55">
        <f t="shared" si="3"/>
        <v>0</v>
      </c>
      <c r="K58" s="399">
        <f t="shared" si="4"/>
        <v>32.356047299372165</v>
      </c>
      <c r="L58" s="427"/>
    </row>
    <row r="59" spans="1:12" x14ac:dyDescent="0.25">
      <c r="A59" s="49">
        <f>'A) Base RI'!A60</f>
        <v>5490</v>
      </c>
      <c r="B59" s="284" t="str">
        <f>'A) Base RI'!B60</f>
        <v>Moiry</v>
      </c>
      <c r="C59" s="95">
        <f>'B) D RI'!U60</f>
        <v>9056.9</v>
      </c>
      <c r="D59" s="398">
        <f>'E) PCS'!G65/C59</f>
        <v>14.334857107718353</v>
      </c>
      <c r="E59" s="135">
        <f>'H) Péréquation directe'!I69/C59</f>
        <v>-8.0407907181706859E-2</v>
      </c>
      <c r="F59" s="398">
        <f>+'I) Dépenses thématiques'!U59</f>
        <v>-1.4497344566021488</v>
      </c>
      <c r="G59" s="135">
        <f t="shared" si="1"/>
        <v>12.804714743934497</v>
      </c>
      <c r="H59" s="399">
        <f>G59-'C) Prél. conj.'!I59</f>
        <v>10.666328541149879</v>
      </c>
      <c r="I59" s="403">
        <f t="shared" si="2"/>
        <v>0</v>
      </c>
      <c r="J59" s="55">
        <f t="shared" si="3"/>
        <v>0</v>
      </c>
      <c r="K59" s="399">
        <f t="shared" si="4"/>
        <v>10.666328541149879</v>
      </c>
      <c r="L59" s="427"/>
    </row>
    <row r="60" spans="1:12" x14ac:dyDescent="0.25">
      <c r="A60" s="49">
        <f>'A) Base RI'!A61</f>
        <v>5491</v>
      </c>
      <c r="B60" s="284" t="str">
        <f>'A) Base RI'!B61</f>
        <v>Mont-la-Ville</v>
      </c>
      <c r="C60" s="95">
        <f>'B) D RI'!U61</f>
        <v>13648.930789473685</v>
      </c>
      <c r="D60" s="398">
        <f>'E) PCS'!G66/C60</f>
        <v>13.940634265946569</v>
      </c>
      <c r="E60" s="135">
        <f>'H) Péréquation directe'!I70/C60</f>
        <v>-4.4662761346483668</v>
      </c>
      <c r="F60" s="398">
        <f>+'I) Dépenses thématiques'!U60</f>
        <v>-12.718554144698089</v>
      </c>
      <c r="G60" s="135">
        <f t="shared" si="1"/>
        <v>-3.2441960133998862</v>
      </c>
      <c r="H60" s="399">
        <f>G60-'C) Prél. conj.'!I60</f>
        <v>-4.9883593744127221</v>
      </c>
      <c r="I60" s="403">
        <f t="shared" si="2"/>
        <v>0</v>
      </c>
      <c r="J60" s="55">
        <f t="shared" si="3"/>
        <v>0</v>
      </c>
      <c r="K60" s="399">
        <f t="shared" si="4"/>
        <v>-4.9883593744127221</v>
      </c>
      <c r="L60" s="427"/>
    </row>
    <row r="61" spans="1:12" x14ac:dyDescent="0.25">
      <c r="A61" s="49">
        <f>'A) Base RI'!A62</f>
        <v>5492</v>
      </c>
      <c r="B61" s="284" t="str">
        <f>'A) Base RI'!B62</f>
        <v>Montricher</v>
      </c>
      <c r="C61" s="95">
        <f>'B) D RI'!U62</f>
        <v>175268.45531250001</v>
      </c>
      <c r="D61" s="398">
        <f>'E) PCS'!G67/C61</f>
        <v>34.991542559595793</v>
      </c>
      <c r="E61" s="135">
        <f>'H) Péréquation directe'!I71/C61</f>
        <v>17.955975649398269</v>
      </c>
      <c r="F61" s="398">
        <f>+'I) Dépenses thématiques'!U61</f>
        <v>-0.97160899953158808</v>
      </c>
      <c r="G61" s="135">
        <f t="shared" si="1"/>
        <v>51.975909209462472</v>
      </c>
      <c r="H61" s="399">
        <f>G61-'C) Prél. conj.'!I61</f>
        <v>50.76749073152034</v>
      </c>
      <c r="I61" s="403">
        <f t="shared" si="2"/>
        <v>-2.7674907315203399</v>
      </c>
      <c r="J61" s="55">
        <f t="shared" si="3"/>
        <v>-485053.82560523064</v>
      </c>
      <c r="K61" s="399">
        <f t="shared" si="4"/>
        <v>48</v>
      </c>
      <c r="L61" s="427"/>
    </row>
    <row r="62" spans="1:12" x14ac:dyDescent="0.25">
      <c r="A62" s="49">
        <f>'A) Base RI'!A63</f>
        <v>5493</v>
      </c>
      <c r="B62" s="284" t="str">
        <f>'A) Base RI'!B63</f>
        <v>Orny</v>
      </c>
      <c r="C62" s="95">
        <f>'B) D RI'!U63</f>
        <v>13489.946448893574</v>
      </c>
      <c r="D62" s="398">
        <f>'E) PCS'!G68/C62</f>
        <v>19.299148470259325</v>
      </c>
      <c r="E62" s="135">
        <f>'H) Péréquation directe'!I72/C62</f>
        <v>-1.1461991245479193</v>
      </c>
      <c r="F62" s="398">
        <f>+'I) Dépenses thématiques'!U62</f>
        <v>0</v>
      </c>
      <c r="G62" s="135">
        <f t="shared" si="1"/>
        <v>18.152949345711406</v>
      </c>
      <c r="H62" s="399">
        <f>G62-'C) Prél. conj.'!I62</f>
        <v>11.050271780385815</v>
      </c>
      <c r="I62" s="403">
        <f t="shared" si="2"/>
        <v>0</v>
      </c>
      <c r="J62" s="55">
        <f t="shared" si="3"/>
        <v>0</v>
      </c>
      <c r="K62" s="399">
        <f t="shared" si="4"/>
        <v>11.050271780385815</v>
      </c>
      <c r="L62" s="427"/>
    </row>
    <row r="63" spans="1:12" x14ac:dyDescent="0.25">
      <c r="A63" s="49">
        <f>'A) Base RI'!A64</f>
        <v>5494</v>
      </c>
      <c r="B63" s="284" t="str">
        <f>'A) Base RI'!B64</f>
        <v>Pampigny</v>
      </c>
      <c r="C63" s="95">
        <f>'B) D RI'!U64</f>
        <v>43210.558962818002</v>
      </c>
      <c r="D63" s="398">
        <f>'E) PCS'!G69/C63</f>
        <v>18.029019616392567</v>
      </c>
      <c r="E63" s="135">
        <f>'H) Péréquation directe'!I73/C63</f>
        <v>7.3122156207889013</v>
      </c>
      <c r="F63" s="398">
        <f>+'I) Dépenses thématiques'!U63</f>
        <v>-28.07690425955688</v>
      </c>
      <c r="G63" s="135">
        <f t="shared" si="1"/>
        <v>-2.7356690223754114</v>
      </c>
      <c r="H63" s="399">
        <f>G63-'C) Prél. conj.'!I63</f>
        <v>-8.568217733834242</v>
      </c>
      <c r="I63" s="403">
        <f t="shared" si="2"/>
        <v>0</v>
      </c>
      <c r="J63" s="55">
        <f t="shared" si="3"/>
        <v>0</v>
      </c>
      <c r="K63" s="399">
        <f t="shared" si="4"/>
        <v>-8.568217733834242</v>
      </c>
      <c r="L63" s="427"/>
    </row>
    <row r="64" spans="1:12" x14ac:dyDescent="0.25">
      <c r="A64" s="49">
        <f>'A) Base RI'!A65</f>
        <v>5495</v>
      </c>
      <c r="B64" s="284" t="str">
        <f>'A) Base RI'!B65</f>
        <v>Penthalaz</v>
      </c>
      <c r="C64" s="95">
        <f>'B) D RI'!U65</f>
        <v>95314.520135135113</v>
      </c>
      <c r="D64" s="398">
        <f>'E) PCS'!G70/C64</f>
        <v>15.683408357158143</v>
      </c>
      <c r="E64" s="135">
        <f>'H) Péréquation directe'!I74/C64</f>
        <v>-4.8535900582399112</v>
      </c>
      <c r="F64" s="398">
        <f>+'I) Dépenses thématiques'!U64</f>
        <v>-6.7694605006078561</v>
      </c>
      <c r="G64" s="135">
        <f t="shared" si="1"/>
        <v>4.0603577983103758</v>
      </c>
      <c r="H64" s="399">
        <f>G64-'C) Prél. conj.'!I64</f>
        <v>0.57342034608596837</v>
      </c>
      <c r="I64" s="403">
        <f t="shared" si="2"/>
        <v>0</v>
      </c>
      <c r="J64" s="55">
        <f t="shared" si="3"/>
        <v>0</v>
      </c>
      <c r="K64" s="399">
        <f t="shared" si="4"/>
        <v>0.57342034608596837</v>
      </c>
      <c r="L64" s="427"/>
    </row>
    <row r="65" spans="1:12" x14ac:dyDescent="0.25">
      <c r="A65" s="49">
        <f>'A) Base RI'!A66</f>
        <v>5496</v>
      </c>
      <c r="B65" s="284" t="str">
        <f>'A) Base RI'!B66</f>
        <v>Penthaz</v>
      </c>
      <c r="C65" s="95">
        <f>'B) D RI'!U66</f>
        <v>56267.911654676267</v>
      </c>
      <c r="D65" s="398">
        <f>'E) PCS'!G71/C65</f>
        <v>16.549748515506703</v>
      </c>
      <c r="E65" s="135">
        <f>'H) Péréquation directe'!I75/C65</f>
        <v>-1.1513592210316732</v>
      </c>
      <c r="F65" s="398">
        <f>+'I) Dépenses thématiques'!U65</f>
        <v>-5.0049756920121586</v>
      </c>
      <c r="G65" s="135">
        <f t="shared" si="1"/>
        <v>10.393413602462871</v>
      </c>
      <c r="H65" s="399">
        <f>G65-'C) Prél. conj.'!I65</f>
        <v>6.0401359918899029</v>
      </c>
      <c r="I65" s="403">
        <f t="shared" si="2"/>
        <v>0</v>
      </c>
      <c r="J65" s="55">
        <f t="shared" si="3"/>
        <v>0</v>
      </c>
      <c r="K65" s="399">
        <f t="shared" si="4"/>
        <v>6.0401359918899029</v>
      </c>
      <c r="L65" s="427"/>
    </row>
    <row r="66" spans="1:12" x14ac:dyDescent="0.25">
      <c r="A66" s="49">
        <f>'A) Base RI'!A67</f>
        <v>5497</v>
      </c>
      <c r="B66" s="284" t="str">
        <f>'A) Base RI'!B67</f>
        <v>Pompaples</v>
      </c>
      <c r="C66" s="95">
        <f>'B) D RI'!U67</f>
        <v>22253.499393939397</v>
      </c>
      <c r="D66" s="398">
        <f>'E) PCS'!G72/C66</f>
        <v>16.193060988389181</v>
      </c>
      <c r="E66" s="135">
        <f>'H) Péréquation directe'!I76/C66</f>
        <v>-0.82481460782411808</v>
      </c>
      <c r="F66" s="398">
        <f>+'I) Dépenses thématiques'!U66</f>
        <v>-5.4609615092474098</v>
      </c>
      <c r="G66" s="135">
        <f t="shared" si="1"/>
        <v>9.9072848713176533</v>
      </c>
      <c r="H66" s="399">
        <f>G66-'C) Prél. conj.'!I66</f>
        <v>5.9106947878622069</v>
      </c>
      <c r="I66" s="403">
        <f t="shared" si="2"/>
        <v>0</v>
      </c>
      <c r="J66" s="55">
        <f t="shared" si="3"/>
        <v>0</v>
      </c>
      <c r="K66" s="399">
        <f t="shared" si="4"/>
        <v>5.9106947878622069</v>
      </c>
      <c r="L66" s="427"/>
    </row>
    <row r="67" spans="1:12" x14ac:dyDescent="0.25">
      <c r="A67" s="49">
        <f>'A) Base RI'!A68</f>
        <v>5498</v>
      </c>
      <c r="B67" s="284" t="str">
        <f>'A) Base RI'!B68</f>
        <v>La Sarraz</v>
      </c>
      <c r="C67" s="95">
        <f>'B) D RI'!U68</f>
        <v>74682.149090909108</v>
      </c>
      <c r="D67" s="398">
        <f>'E) PCS'!G73/C67</f>
        <v>14.163323650710977</v>
      </c>
      <c r="E67" s="135">
        <f>'H) Péréquation directe'!I77/C67</f>
        <v>-2.7289132313908722</v>
      </c>
      <c r="F67" s="398">
        <f>+'I) Dépenses thématiques'!U67</f>
        <v>-7.1414837674973635</v>
      </c>
      <c r="G67" s="135">
        <f t="shared" si="1"/>
        <v>4.292926651822742</v>
      </c>
      <c r="H67" s="399">
        <f>G67-'C) Prél. conj.'!I67</f>
        <v>2.3260739060454991</v>
      </c>
      <c r="I67" s="403">
        <f t="shared" si="2"/>
        <v>0</v>
      </c>
      <c r="J67" s="55">
        <f t="shared" si="3"/>
        <v>0</v>
      </c>
      <c r="K67" s="399">
        <f t="shared" si="4"/>
        <v>2.3260739060454991</v>
      </c>
      <c r="L67" s="427"/>
    </row>
    <row r="68" spans="1:12" x14ac:dyDescent="0.25">
      <c r="A68" s="49">
        <f>'A) Base RI'!A69</f>
        <v>5499</v>
      </c>
      <c r="B68" s="284" t="str">
        <f>'A) Base RI'!B69</f>
        <v>Senarclens</v>
      </c>
      <c r="C68" s="95">
        <f>'B) D RI'!U69</f>
        <v>18238.904233576643</v>
      </c>
      <c r="D68" s="398">
        <f>'E) PCS'!G74/C68</f>
        <v>24.514952164700798</v>
      </c>
      <c r="E68" s="135">
        <f>'H) Péréquation directe'!I78/C68</f>
        <v>9.6244356996608502</v>
      </c>
      <c r="F68" s="398">
        <f>+'I) Dépenses thématiques'!U68</f>
        <v>-9.2599216726859641</v>
      </c>
      <c r="G68" s="135">
        <f t="shared" si="1"/>
        <v>24.879466191675689</v>
      </c>
      <c r="H68" s="399">
        <f>G68-'C) Prél. conj.'!I68</f>
        <v>12.560984931908626</v>
      </c>
      <c r="I68" s="403">
        <f t="shared" si="2"/>
        <v>0</v>
      </c>
      <c r="J68" s="55">
        <f t="shared" si="3"/>
        <v>0</v>
      </c>
      <c r="K68" s="399">
        <f t="shared" si="4"/>
        <v>12.560984931908626</v>
      </c>
      <c r="L68" s="427"/>
    </row>
    <row r="69" spans="1:12" x14ac:dyDescent="0.25">
      <c r="A69" s="49">
        <f>'A) Base RI'!A70</f>
        <v>5500</v>
      </c>
      <c r="B69" s="284" t="str">
        <f>'A) Base RI'!B70</f>
        <v>Sévery</v>
      </c>
      <c r="C69" s="95">
        <f>'B) D RI'!U70</f>
        <v>7230.3632420091335</v>
      </c>
      <c r="D69" s="398">
        <f>'E) PCS'!G75/C69</f>
        <v>19.70047909704822</v>
      </c>
      <c r="E69" s="135">
        <f>'H) Péréquation directe'!I79/C69</f>
        <v>4.8057529853777012</v>
      </c>
      <c r="F69" s="398">
        <f>+'I) Dépenses thématiques'!U69</f>
        <v>-2.3901386375082163</v>
      </c>
      <c r="G69" s="135">
        <f t="shared" si="1"/>
        <v>22.116093444917706</v>
      </c>
      <c r="H69" s="399">
        <f>G69-'C) Prél. conj.'!I69</f>
        <v>14.612085252803219</v>
      </c>
      <c r="I69" s="403">
        <f t="shared" si="2"/>
        <v>0</v>
      </c>
      <c r="J69" s="55">
        <f t="shared" si="3"/>
        <v>0</v>
      </c>
      <c r="K69" s="399">
        <f t="shared" si="4"/>
        <v>14.612085252803219</v>
      </c>
      <c r="L69" s="427"/>
    </row>
    <row r="70" spans="1:12" x14ac:dyDescent="0.25">
      <c r="A70" s="49">
        <f>'A) Base RI'!A71</f>
        <v>5501</v>
      </c>
      <c r="B70" s="284" t="str">
        <f>'A) Base RI'!B71</f>
        <v>Sullens</v>
      </c>
      <c r="C70" s="95">
        <f>'B) D RI'!U71</f>
        <v>43195.598978102193</v>
      </c>
      <c r="D70" s="398">
        <f>'E) PCS'!G76/C70</f>
        <v>-18.738377820683084</v>
      </c>
      <c r="E70" s="135">
        <f>'H) Péréquation directe'!I80/C70</f>
        <v>9.3550242228910019</v>
      </c>
      <c r="F70" s="398">
        <f>+'I) Dépenses thématiques'!U70</f>
        <v>-0.74821180079466887</v>
      </c>
      <c r="G70" s="135">
        <f t="shared" si="1"/>
        <v>-10.131565398586751</v>
      </c>
      <c r="H70" s="399">
        <f>G70-'C) Prél. conj.'!I70</f>
        <v>20.803283327030069</v>
      </c>
      <c r="I70" s="403">
        <f t="shared" si="2"/>
        <v>0</v>
      </c>
      <c r="J70" s="55">
        <f t="shared" si="3"/>
        <v>0</v>
      </c>
      <c r="K70" s="399">
        <f t="shared" si="4"/>
        <v>20.803283327030069</v>
      </c>
      <c r="L70" s="427"/>
    </row>
    <row r="71" spans="1:12" x14ac:dyDescent="0.25">
      <c r="A71" s="49">
        <f>'A) Base RI'!A72</f>
        <v>5503</v>
      </c>
      <c r="B71" s="284" t="str">
        <f>'A) Base RI'!B72</f>
        <v>Vufflens-la-Ville</v>
      </c>
      <c r="C71" s="95">
        <f>'B) D RI'!U72</f>
        <v>79029.714875621881</v>
      </c>
      <c r="D71" s="398">
        <f>'E) PCS'!G77/C71</f>
        <v>17.270432913046928</v>
      </c>
      <c r="E71" s="135">
        <f>'H) Péréquation directe'!I81/C71</f>
        <v>15.546455993349351</v>
      </c>
      <c r="F71" s="398">
        <f>+'I) Dépenses thématiques'!U71</f>
        <v>0</v>
      </c>
      <c r="G71" s="135">
        <f t="shared" ref="G71:G134" si="5">SUM(D71:F71)</f>
        <v>32.816888906396279</v>
      </c>
      <c r="H71" s="399">
        <f>G71-'C) Prél. conj.'!I71</f>
        <v>30.173736892894141</v>
      </c>
      <c r="I71" s="403">
        <f t="shared" ref="I71:I134" si="6">IF(H71&gt;I$5,I$5-H71,0)</f>
        <v>0</v>
      </c>
      <c r="J71" s="55">
        <f t="shared" ref="J71:J134" si="7">I71*C71</f>
        <v>0</v>
      </c>
      <c r="K71" s="399">
        <f t="shared" ref="K71:K134" si="8">H71+I71</f>
        <v>30.173736892894141</v>
      </c>
      <c r="L71" s="427"/>
    </row>
    <row r="72" spans="1:12" x14ac:dyDescent="0.25">
      <c r="A72" s="49">
        <f>'A) Base RI'!A73</f>
        <v>5511</v>
      </c>
      <c r="B72" s="284" t="str">
        <f>'A) Base RI'!B73</f>
        <v>Assens</v>
      </c>
      <c r="C72" s="95">
        <f>'B) D RI'!U73</f>
        <v>47333.455142857143</v>
      </c>
      <c r="D72" s="398">
        <f>'E) PCS'!G78/C72</f>
        <v>21.603362999672186</v>
      </c>
      <c r="E72" s="135">
        <f>'H) Péréquation directe'!I82/C72</f>
        <v>11.447392504717525</v>
      </c>
      <c r="F72" s="398">
        <f>+'I) Dépenses thématiques'!U72</f>
        <v>-6.4179240291250848</v>
      </c>
      <c r="G72" s="135">
        <f t="shared" si="5"/>
        <v>26.632831475264627</v>
      </c>
      <c r="H72" s="399">
        <f>G72-'C) Prél. conj.'!I72</f>
        <v>17.225939380526178</v>
      </c>
      <c r="I72" s="403">
        <f t="shared" si="6"/>
        <v>0</v>
      </c>
      <c r="J72" s="55">
        <f t="shared" si="7"/>
        <v>0</v>
      </c>
      <c r="K72" s="399">
        <f t="shared" si="8"/>
        <v>17.225939380526178</v>
      </c>
      <c r="L72" s="427"/>
    </row>
    <row r="73" spans="1:12" x14ac:dyDescent="0.25">
      <c r="A73" s="49">
        <f>'A) Base RI'!A74</f>
        <v>5512</v>
      </c>
      <c r="B73" s="284" t="str">
        <f>'A) Base RI'!B74</f>
        <v>Bercher</v>
      </c>
      <c r="C73" s="95">
        <f>'B) D RI'!U74</f>
        <v>40764.12544303797</v>
      </c>
      <c r="D73" s="398">
        <f>'E) PCS'!G79/C73</f>
        <v>17.763508773000101</v>
      </c>
      <c r="E73" s="135">
        <f>'H) Péréquation directe'!I83/C73</f>
        <v>-1.2781600623903164</v>
      </c>
      <c r="F73" s="398">
        <f>+'I) Dépenses thématiques'!U73</f>
        <v>-5.6615405048800822</v>
      </c>
      <c r="G73" s="135">
        <f t="shared" si="5"/>
        <v>10.823808205729701</v>
      </c>
      <c r="H73" s="399">
        <f>G73-'C) Prél. conj.'!I73</f>
        <v>5.2567703376633359</v>
      </c>
      <c r="I73" s="403">
        <f t="shared" si="6"/>
        <v>0</v>
      </c>
      <c r="J73" s="55">
        <f t="shared" si="7"/>
        <v>0</v>
      </c>
      <c r="K73" s="399">
        <f t="shared" si="8"/>
        <v>5.2567703376633359</v>
      </c>
      <c r="L73" s="427"/>
    </row>
    <row r="74" spans="1:12" x14ac:dyDescent="0.25">
      <c r="A74" s="49">
        <f>'A) Base RI'!A75</f>
        <v>5513</v>
      </c>
      <c r="B74" s="284" t="str">
        <f>'A) Base RI'!B75</f>
        <v>Bioley-Orjulaz</v>
      </c>
      <c r="C74" s="95">
        <f>'B) D RI'!U75</f>
        <v>22739.022647058824</v>
      </c>
      <c r="D74" s="398">
        <f>'E) PCS'!G80/C74</f>
        <v>18.626269241886938</v>
      </c>
      <c r="E74" s="135">
        <f>'H) Péréquation directe'!I84/C74</f>
        <v>13.923323327052012</v>
      </c>
      <c r="F74" s="398">
        <f>+'I) Dépenses thématiques'!U74</f>
        <v>-11.039287001405992</v>
      </c>
      <c r="G74" s="135">
        <f t="shared" si="5"/>
        <v>21.510305567532956</v>
      </c>
      <c r="H74" s="399">
        <f>G74-'C) Prél. conj.'!I74</f>
        <v>15.080507230579755</v>
      </c>
      <c r="I74" s="403">
        <f t="shared" si="6"/>
        <v>0</v>
      </c>
      <c r="J74" s="55">
        <f t="shared" si="7"/>
        <v>0</v>
      </c>
      <c r="K74" s="399">
        <f t="shared" si="8"/>
        <v>15.080507230579755</v>
      </c>
      <c r="L74" s="427"/>
    </row>
    <row r="75" spans="1:12" x14ac:dyDescent="0.25">
      <c r="A75" s="49">
        <f>'A) Base RI'!A76</f>
        <v>5514</v>
      </c>
      <c r="B75" s="284" t="str">
        <f>'A) Base RI'!B76</f>
        <v>Bottens</v>
      </c>
      <c r="C75" s="95">
        <f>'B) D RI'!U76</f>
        <v>44223.41544827586</v>
      </c>
      <c r="D75" s="398">
        <f>'E) PCS'!G81/C75</f>
        <v>14.007569034468247</v>
      </c>
      <c r="E75" s="135">
        <f>'H) Péréquation directe'!I85/C75</f>
        <v>2.8361873222242169</v>
      </c>
      <c r="F75" s="398">
        <f>+'I) Dépenses thématiques'!U75</f>
        <v>-0.95706102482853217</v>
      </c>
      <c r="G75" s="135">
        <f t="shared" si="5"/>
        <v>15.886695331863931</v>
      </c>
      <c r="H75" s="399">
        <f>G75-'C) Prél. conj.'!I75</f>
        <v>14.075597202329421</v>
      </c>
      <c r="I75" s="403">
        <f t="shared" si="6"/>
        <v>0</v>
      </c>
      <c r="J75" s="55">
        <f t="shared" si="7"/>
        <v>0</v>
      </c>
      <c r="K75" s="399">
        <f t="shared" si="8"/>
        <v>14.075597202329421</v>
      </c>
      <c r="L75" s="427"/>
    </row>
    <row r="76" spans="1:12" x14ac:dyDescent="0.25">
      <c r="A76" s="49">
        <f>'A) Base RI'!A77</f>
        <v>5515</v>
      </c>
      <c r="B76" s="284" t="str">
        <f>'A) Base RI'!B77</f>
        <v>Bretigny-sur-Morrens</v>
      </c>
      <c r="C76" s="95">
        <f>'B) D RI'!U77</f>
        <v>32348.775256410252</v>
      </c>
      <c r="D76" s="398">
        <f>'E) PCS'!G82/C76</f>
        <v>15.365821651209163</v>
      </c>
      <c r="E76" s="135">
        <f>'H) Péréquation directe'!I86/C76</f>
        <v>7.4937406485989042</v>
      </c>
      <c r="F76" s="398">
        <f>+'I) Dépenses thématiques'!U76</f>
        <v>-8.6715807567905916</v>
      </c>
      <c r="G76" s="135">
        <f t="shared" si="5"/>
        <v>14.187981543017477</v>
      </c>
      <c r="H76" s="399">
        <f>G76-'C) Prél. conj.'!I76</f>
        <v>11.018630796742046</v>
      </c>
      <c r="I76" s="403">
        <f t="shared" si="6"/>
        <v>0</v>
      </c>
      <c r="J76" s="55">
        <f t="shared" si="7"/>
        <v>0</v>
      </c>
      <c r="K76" s="399">
        <f t="shared" si="8"/>
        <v>11.018630796742046</v>
      </c>
      <c r="L76" s="427"/>
    </row>
    <row r="77" spans="1:12" x14ac:dyDescent="0.25">
      <c r="A77" s="49">
        <f>'A) Base RI'!A78</f>
        <v>5516</v>
      </c>
      <c r="B77" s="284" t="str">
        <f>'A) Base RI'!B78</f>
        <v>Cugy</v>
      </c>
      <c r="C77" s="95">
        <f>'B) D RI'!U78</f>
        <v>111604.91621794872</v>
      </c>
      <c r="D77" s="398">
        <f>'E) PCS'!G83/C77</f>
        <v>15.041805552915216</v>
      </c>
      <c r="E77" s="135">
        <f>'H) Péréquation directe'!I87/C77</f>
        <v>7.6188148268055809</v>
      </c>
      <c r="F77" s="398">
        <f>+'I) Dépenses thématiques'!U77</f>
        <v>-2.3749200454099793</v>
      </c>
      <c r="G77" s="135">
        <f t="shared" si="5"/>
        <v>20.285700334310818</v>
      </c>
      <c r="H77" s="399">
        <f>G77-'C) Prél. conj.'!I77</f>
        <v>17.440365686329336</v>
      </c>
      <c r="I77" s="403">
        <f t="shared" si="6"/>
        <v>0</v>
      </c>
      <c r="J77" s="55">
        <f t="shared" si="7"/>
        <v>0</v>
      </c>
      <c r="K77" s="399">
        <f t="shared" si="8"/>
        <v>17.440365686329336</v>
      </c>
      <c r="L77" s="427"/>
    </row>
    <row r="78" spans="1:12" x14ac:dyDescent="0.25">
      <c r="A78" s="49">
        <f>'A) Base RI'!A79</f>
        <v>5518</v>
      </c>
      <c r="B78" s="284" t="str">
        <f>'A) Base RI'!B79</f>
        <v>Echallens</v>
      </c>
      <c r="C78" s="95">
        <f>'B) D RI'!U79</f>
        <v>183030.51158620688</v>
      </c>
      <c r="D78" s="398">
        <f>'E) PCS'!G84/C78</f>
        <v>15.165379778600187</v>
      </c>
      <c r="E78" s="135">
        <f>'H) Péréquation directe'!I88/C78</f>
        <v>-4.5727653560568218</v>
      </c>
      <c r="F78" s="398">
        <f>+'I) Dépenses thématiques'!U78</f>
        <v>-7.6557272792344371</v>
      </c>
      <c r="G78" s="135">
        <f t="shared" si="5"/>
        <v>2.9368871433089279</v>
      </c>
      <c r="H78" s="399">
        <f>G78-'C) Prél. conj.'!I78</f>
        <v>-3.2021730357524536E-2</v>
      </c>
      <c r="I78" s="403">
        <f t="shared" si="6"/>
        <v>0</v>
      </c>
      <c r="J78" s="55">
        <f t="shared" si="7"/>
        <v>0</v>
      </c>
      <c r="K78" s="399">
        <f t="shared" si="8"/>
        <v>-3.2021730357524536E-2</v>
      </c>
      <c r="L78" s="427"/>
    </row>
    <row r="79" spans="1:12" x14ac:dyDescent="0.25">
      <c r="A79" s="49">
        <f>'A) Base RI'!A80</f>
        <v>5520</v>
      </c>
      <c r="B79" s="284" t="str">
        <f>'A) Base RI'!B80</f>
        <v>Essertines-sur-Yverdon</v>
      </c>
      <c r="C79" s="95">
        <f>'B) D RI'!U80</f>
        <v>31696.699178082192</v>
      </c>
      <c r="D79" s="398">
        <f>'E) PCS'!G85/C79</f>
        <v>14.028524131477734</v>
      </c>
      <c r="E79" s="135">
        <f>'H) Péréquation directe'!I89/C79</f>
        <v>0.94328591438066289</v>
      </c>
      <c r="F79" s="398">
        <f>+'I) Dépenses thématiques'!U79</f>
        <v>-7.0671248538977558</v>
      </c>
      <c r="G79" s="135">
        <f t="shared" si="5"/>
        <v>7.9046851919606418</v>
      </c>
      <c r="H79" s="399">
        <f>G79-'C) Prél. conj.'!I79</f>
        <v>6.072631965416643</v>
      </c>
      <c r="I79" s="403">
        <f t="shared" si="6"/>
        <v>0</v>
      </c>
      <c r="J79" s="55">
        <f t="shared" si="7"/>
        <v>0</v>
      </c>
      <c r="K79" s="399">
        <f t="shared" si="8"/>
        <v>6.072631965416643</v>
      </c>
      <c r="L79" s="427"/>
    </row>
    <row r="80" spans="1:12" x14ac:dyDescent="0.25">
      <c r="A80" s="49">
        <f>'A) Base RI'!A81</f>
        <v>5521</v>
      </c>
      <c r="B80" s="284" t="str">
        <f>'A) Base RI'!B81</f>
        <v>Etagnières</v>
      </c>
      <c r="C80" s="95">
        <f>'B) D RI'!U81</f>
        <v>42645.35479452055</v>
      </c>
      <c r="D80" s="398">
        <f>'E) PCS'!G86/C80</f>
        <v>15.13553720192945</v>
      </c>
      <c r="E80" s="135">
        <f>'H) Péréquation directe'!I90/C80</f>
        <v>8.0764148137044067</v>
      </c>
      <c r="F80" s="398">
        <f>+'I) Dépenses thématiques'!U80</f>
        <v>-2.2753620341633183</v>
      </c>
      <c r="G80" s="135">
        <f t="shared" si="5"/>
        <v>20.936589981470537</v>
      </c>
      <c r="H80" s="399">
        <f>G80-'C) Prél. conj.'!I80</f>
        <v>17.997523684474821</v>
      </c>
      <c r="I80" s="403">
        <f t="shared" si="6"/>
        <v>0</v>
      </c>
      <c r="J80" s="55">
        <f t="shared" si="7"/>
        <v>0</v>
      </c>
      <c r="K80" s="399">
        <f t="shared" si="8"/>
        <v>17.997523684474821</v>
      </c>
      <c r="L80" s="427"/>
    </row>
    <row r="81" spans="1:12" x14ac:dyDescent="0.25">
      <c r="A81" s="49">
        <f>'A) Base RI'!A82</f>
        <v>5522</v>
      </c>
      <c r="B81" s="284" t="str">
        <f>'A) Base RI'!B82</f>
        <v>Fey</v>
      </c>
      <c r="C81" s="95">
        <f>'B) D RI'!U82</f>
        <v>23924.3328</v>
      </c>
      <c r="D81" s="398">
        <f>'E) PCS'!G87/C81</f>
        <v>13.965756817893448</v>
      </c>
      <c r="E81" s="135">
        <f>'H) Péréquation directe'!I91/C81</f>
        <v>2.9279293122766945</v>
      </c>
      <c r="F81" s="398">
        <f>+'I) Dépenses thématiques'!U81</f>
        <v>-1.4520886952383474</v>
      </c>
      <c r="G81" s="135">
        <f t="shared" si="5"/>
        <v>15.441597434931795</v>
      </c>
      <c r="H81" s="399">
        <f>G81-'C) Prél. conj.'!I81</f>
        <v>13.672311521972082</v>
      </c>
      <c r="I81" s="403">
        <f t="shared" si="6"/>
        <v>0</v>
      </c>
      <c r="J81" s="55">
        <f t="shared" si="7"/>
        <v>0</v>
      </c>
      <c r="K81" s="399">
        <f t="shared" si="8"/>
        <v>13.672311521972082</v>
      </c>
      <c r="L81" s="427"/>
    </row>
    <row r="82" spans="1:12" x14ac:dyDescent="0.25">
      <c r="A82" s="49">
        <f>'A) Base RI'!A83</f>
        <v>5523</v>
      </c>
      <c r="B82" s="284" t="str">
        <f>'A) Base RI'!B83</f>
        <v>Froideville</v>
      </c>
      <c r="C82" s="95">
        <f>'B) D RI'!U83</f>
        <v>93741.085555555546</v>
      </c>
      <c r="D82" s="398">
        <f>'E) PCS'!G88/C82</f>
        <v>17.587248620010573</v>
      </c>
      <c r="E82" s="135">
        <f>'H) Péréquation directe'!I92/C82</f>
        <v>3.2264680251058095</v>
      </c>
      <c r="F82" s="398">
        <f>+'I) Dépenses thématiques'!U82</f>
        <v>-1.8190714952368161</v>
      </c>
      <c r="G82" s="135">
        <f t="shared" si="5"/>
        <v>18.994645149879567</v>
      </c>
      <c r="H82" s="399">
        <f>G82-'C) Prél. conj.'!I82</f>
        <v>13.60386743480273</v>
      </c>
      <c r="I82" s="403">
        <f t="shared" si="6"/>
        <v>0</v>
      </c>
      <c r="J82" s="55">
        <f t="shared" si="7"/>
        <v>0</v>
      </c>
      <c r="K82" s="399">
        <f t="shared" si="8"/>
        <v>13.60386743480273</v>
      </c>
      <c r="L82" s="427"/>
    </row>
    <row r="83" spans="1:12" x14ac:dyDescent="0.25">
      <c r="A83" s="49">
        <f>'A) Base RI'!A84</f>
        <v>5527</v>
      </c>
      <c r="B83" s="284" t="str">
        <f>'A) Base RI'!B84</f>
        <v>Morrens</v>
      </c>
      <c r="C83" s="95">
        <f>'B) D RI'!U84</f>
        <v>39310.302027027028</v>
      </c>
      <c r="D83" s="398">
        <f>'E) PCS'!G89/C83</f>
        <v>15.575767632510837</v>
      </c>
      <c r="E83" s="135">
        <f>'H) Péréquation directe'!I93/C83</f>
        <v>4.8442866885690483</v>
      </c>
      <c r="F83" s="398">
        <f>+'I) Dépenses thématiques'!U83</f>
        <v>-0.61567036094502892</v>
      </c>
      <c r="G83" s="135">
        <f t="shared" si="5"/>
        <v>19.804383960134857</v>
      </c>
      <c r="H83" s="399">
        <f>G83-'C) Prél. conj.'!I83</f>
        <v>16.425087232557754</v>
      </c>
      <c r="I83" s="403">
        <f t="shared" si="6"/>
        <v>0</v>
      </c>
      <c r="J83" s="55">
        <f t="shared" si="7"/>
        <v>0</v>
      </c>
      <c r="K83" s="399">
        <f t="shared" si="8"/>
        <v>16.425087232557754</v>
      </c>
      <c r="L83" s="427"/>
    </row>
    <row r="84" spans="1:12" x14ac:dyDescent="0.25">
      <c r="A84" s="49">
        <f>'A) Base RI'!A85</f>
        <v>5529</v>
      </c>
      <c r="B84" s="284" t="str">
        <f>'A) Base RI'!B85</f>
        <v>Oulens-sous-Echallens</v>
      </c>
      <c r="C84" s="95">
        <f>'B) D RI'!U85</f>
        <v>21162.231857142859</v>
      </c>
      <c r="D84" s="398">
        <f>'E) PCS'!G90/C84</f>
        <v>18.949958720622739</v>
      </c>
      <c r="E84" s="135">
        <f>'H) Péréquation directe'!I94/C84</f>
        <v>6.8764702083317841</v>
      </c>
      <c r="F84" s="398">
        <f>+'I) Dépenses thématiques'!U84</f>
        <v>-6.5187528323285209</v>
      </c>
      <c r="G84" s="135">
        <f t="shared" si="5"/>
        <v>19.307676096626004</v>
      </c>
      <c r="H84" s="399">
        <f>G84-'C) Prél. conj.'!I84</f>
        <v>12.554188280936998</v>
      </c>
      <c r="I84" s="403">
        <f t="shared" si="6"/>
        <v>0</v>
      </c>
      <c r="J84" s="55">
        <f t="shared" si="7"/>
        <v>0</v>
      </c>
      <c r="K84" s="399">
        <f t="shared" si="8"/>
        <v>12.554188280936998</v>
      </c>
      <c r="L84" s="427"/>
    </row>
    <row r="85" spans="1:12" x14ac:dyDescent="0.25">
      <c r="A85" s="49">
        <f>'A) Base RI'!A86</f>
        <v>5530</v>
      </c>
      <c r="B85" s="284" t="str">
        <f>'A) Base RI'!B86</f>
        <v>Pailly</v>
      </c>
      <c r="C85" s="95">
        <f>'B) D RI'!U86</f>
        <v>19305.859890350872</v>
      </c>
      <c r="D85" s="398">
        <f>'E) PCS'!G91/C85</f>
        <v>15.414338710503465</v>
      </c>
      <c r="E85" s="135">
        <f>'H) Péréquation directe'!I95/C85</f>
        <v>4.7611730472754275</v>
      </c>
      <c r="F85" s="398">
        <f>+'I) Dépenses thématiques'!U85</f>
        <v>-41.019278614776013</v>
      </c>
      <c r="G85" s="135">
        <f t="shared" si="5"/>
        <v>-20.843766856997121</v>
      </c>
      <c r="H85" s="399">
        <f>G85-'C) Prél. conj.'!I85</f>
        <v>-24.061634662566849</v>
      </c>
      <c r="I85" s="403">
        <f t="shared" si="6"/>
        <v>0</v>
      </c>
      <c r="J85" s="55">
        <f t="shared" si="7"/>
        <v>0</v>
      </c>
      <c r="K85" s="399">
        <f t="shared" si="8"/>
        <v>-24.061634662566849</v>
      </c>
      <c r="L85" s="427"/>
    </row>
    <row r="86" spans="1:12" x14ac:dyDescent="0.25">
      <c r="A86" s="49">
        <f>'A) Base RI'!A87</f>
        <v>5531</v>
      </c>
      <c r="B86" s="284" t="str">
        <f>'A) Base RI'!B87</f>
        <v>Penthéréaz</v>
      </c>
      <c r="C86" s="95">
        <f>'B) D RI'!U87</f>
        <v>14300.817432432432</v>
      </c>
      <c r="D86" s="398">
        <f>'E) PCS'!G92/C86</f>
        <v>16.529359587190029</v>
      </c>
      <c r="E86" s="135">
        <f>'H) Péréquation directe'!I96/C86</f>
        <v>6.0286367677978179</v>
      </c>
      <c r="F86" s="398">
        <f>+'I) Dépenses thématiques'!U86</f>
        <v>-6.0354055101310653</v>
      </c>
      <c r="G86" s="135">
        <f t="shared" si="5"/>
        <v>16.522590844856779</v>
      </c>
      <c r="H86" s="399">
        <f>G86-'C) Prél. conj.'!I86</f>
        <v>12.189702162600486</v>
      </c>
      <c r="I86" s="403">
        <f t="shared" si="6"/>
        <v>0</v>
      </c>
      <c r="J86" s="55">
        <f t="shared" si="7"/>
        <v>0</v>
      </c>
      <c r="K86" s="399">
        <f t="shared" si="8"/>
        <v>12.189702162600486</v>
      </c>
      <c r="L86" s="427"/>
    </row>
    <row r="87" spans="1:12" x14ac:dyDescent="0.25">
      <c r="A87" s="49">
        <f>'A) Base RI'!A88</f>
        <v>5533</v>
      </c>
      <c r="B87" s="284" t="str">
        <f>'A) Base RI'!B88</f>
        <v>Poliez-Pittet</v>
      </c>
      <c r="C87" s="95">
        <f>'B) D RI'!U88</f>
        <v>27502.031917808214</v>
      </c>
      <c r="D87" s="398">
        <f>'E) PCS'!G93/C87</f>
        <v>12.791187871624809</v>
      </c>
      <c r="E87" s="135">
        <f>'H) Péréquation directe'!I97/C87</f>
        <v>4.9657504817983344</v>
      </c>
      <c r="F87" s="398">
        <f>+'I) Dépenses thématiques'!U87</f>
        <v>-2.6543869475885771</v>
      </c>
      <c r="G87" s="135">
        <f t="shared" si="5"/>
        <v>15.102551405834568</v>
      </c>
      <c r="H87" s="399">
        <f>G87-'C) Prél. conj.'!I87</f>
        <v>14.507834439143494</v>
      </c>
      <c r="I87" s="403">
        <f t="shared" si="6"/>
        <v>0</v>
      </c>
      <c r="J87" s="55">
        <f t="shared" si="7"/>
        <v>0</v>
      </c>
      <c r="K87" s="399">
        <f t="shared" si="8"/>
        <v>14.507834439143494</v>
      </c>
      <c r="L87" s="427"/>
    </row>
    <row r="88" spans="1:12" x14ac:dyDescent="0.25">
      <c r="A88" s="49">
        <f>'A) Base RI'!A89</f>
        <v>5534</v>
      </c>
      <c r="B88" s="284" t="str">
        <f>'A) Base RI'!B89</f>
        <v>Rueyres</v>
      </c>
      <c r="C88" s="95">
        <f>'B) D RI'!U89</f>
        <v>13106.991872146118</v>
      </c>
      <c r="D88" s="398">
        <f>'E) PCS'!G94/C88</f>
        <v>16.863723360472456</v>
      </c>
      <c r="E88" s="135">
        <f>'H) Péréquation directe'!I98/C88</f>
        <v>13.157853663279758</v>
      </c>
      <c r="F88" s="398">
        <f>+'I) Dépenses thématiques'!U88</f>
        <v>-0.28461954751174989</v>
      </c>
      <c r="G88" s="135">
        <f t="shared" si="5"/>
        <v>29.736957476240466</v>
      </c>
      <c r="H88" s="399">
        <f>G88-'C) Prél. conj.'!I88</f>
        <v>25.069705020701747</v>
      </c>
      <c r="I88" s="403">
        <f t="shared" si="6"/>
        <v>0</v>
      </c>
      <c r="J88" s="55">
        <f t="shared" si="7"/>
        <v>0</v>
      </c>
      <c r="K88" s="399">
        <f t="shared" si="8"/>
        <v>25.069705020701747</v>
      </c>
      <c r="L88" s="427"/>
    </row>
    <row r="89" spans="1:12" x14ac:dyDescent="0.25">
      <c r="A89" s="49">
        <f>'A) Base RI'!A90</f>
        <v>5535</v>
      </c>
      <c r="B89" s="284" t="str">
        <f>'A) Base RI'!B90</f>
        <v>Saint-Barthélemy</v>
      </c>
      <c r="C89" s="95">
        <f>'B) D RI'!U90</f>
        <v>25080.318533333328</v>
      </c>
      <c r="D89" s="398">
        <f>'E) PCS'!G95/C89</f>
        <v>14.639811084946015</v>
      </c>
      <c r="E89" s="135">
        <f>'H) Péréquation directe'!I99/C89</f>
        <v>2.030754055098257</v>
      </c>
      <c r="F89" s="398">
        <f>+'I) Dépenses thématiques'!U89</f>
        <v>-1.5849814166900364</v>
      </c>
      <c r="G89" s="135">
        <f t="shared" si="5"/>
        <v>15.085583723354235</v>
      </c>
      <c r="H89" s="399">
        <f>G89-'C) Prél. conj.'!I89</f>
        <v>12.642243543341953</v>
      </c>
      <c r="I89" s="403">
        <f t="shared" si="6"/>
        <v>0</v>
      </c>
      <c r="J89" s="55">
        <f t="shared" si="7"/>
        <v>0</v>
      </c>
      <c r="K89" s="399">
        <f t="shared" si="8"/>
        <v>12.642243543341953</v>
      </c>
      <c r="L89" s="427"/>
    </row>
    <row r="90" spans="1:12" x14ac:dyDescent="0.25">
      <c r="A90" s="49">
        <f>'A) Base RI'!A91</f>
        <v>5537</v>
      </c>
      <c r="B90" s="284" t="str">
        <f>'A) Base RI'!B91</f>
        <v>Villars-le-Terroir</v>
      </c>
      <c r="C90" s="95">
        <f>'B) D RI'!U91</f>
        <v>42917.816052631584</v>
      </c>
      <c r="D90" s="398">
        <f>'E) PCS'!G96/C90</f>
        <v>13.53555698353386</v>
      </c>
      <c r="E90" s="135">
        <f>'H) Péréquation directe'!I100/C90</f>
        <v>2.0163017556519702</v>
      </c>
      <c r="F90" s="398">
        <f>+'I) Dépenses thématiques'!U90</f>
        <v>-0.92619702818669236</v>
      </c>
      <c r="G90" s="135">
        <f t="shared" si="5"/>
        <v>14.625661710999138</v>
      </c>
      <c r="H90" s="399">
        <f>G90-'C) Prél. conj.'!I90</f>
        <v>13.286575632399011</v>
      </c>
      <c r="I90" s="403">
        <f t="shared" si="6"/>
        <v>0</v>
      </c>
      <c r="J90" s="55">
        <f t="shared" si="7"/>
        <v>0</v>
      </c>
      <c r="K90" s="399">
        <f t="shared" si="8"/>
        <v>13.286575632399011</v>
      </c>
      <c r="L90" s="427"/>
    </row>
    <row r="91" spans="1:12" x14ac:dyDescent="0.25">
      <c r="A91" s="49">
        <f>'A) Base RI'!A92</f>
        <v>5539</v>
      </c>
      <c r="B91" s="284" t="str">
        <f>'A) Base RI'!B92</f>
        <v>Vuarrens</v>
      </c>
      <c r="C91" s="95">
        <f>'B) D RI'!U92</f>
        <v>34558.047482993185</v>
      </c>
      <c r="D91" s="398">
        <f>'E) PCS'!G97/C91</f>
        <v>15.823395286633321</v>
      </c>
      <c r="E91" s="135">
        <f>'H) Péréquation directe'!I101/C91</f>
        <v>2.4986346900189376</v>
      </c>
      <c r="F91" s="398">
        <f>+'I) Dépenses thématiques'!U91</f>
        <v>-0.99603224131037327</v>
      </c>
      <c r="G91" s="135">
        <f t="shared" si="5"/>
        <v>17.325997735341886</v>
      </c>
      <c r="H91" s="399">
        <f>G91-'C) Prél. conj.'!I91</f>
        <v>13.6990733536423</v>
      </c>
      <c r="I91" s="403">
        <f t="shared" si="6"/>
        <v>0</v>
      </c>
      <c r="J91" s="55">
        <f t="shared" si="7"/>
        <v>0</v>
      </c>
      <c r="K91" s="399">
        <f t="shared" si="8"/>
        <v>13.6990733536423</v>
      </c>
      <c r="L91" s="427"/>
    </row>
    <row r="92" spans="1:12" x14ac:dyDescent="0.25">
      <c r="A92" s="49">
        <f>'A) Base RI'!A93</f>
        <v>5540</v>
      </c>
      <c r="B92" s="284" t="str">
        <f>'A) Base RI'!B93</f>
        <v>Montilliez</v>
      </c>
      <c r="C92" s="95">
        <f>'B) D RI'!U93</f>
        <v>63315.990655172413</v>
      </c>
      <c r="D92" s="398">
        <f>'E) PCS'!G98/C92</f>
        <v>14.545856399194308</v>
      </c>
      <c r="E92" s="135">
        <f>'H) Péréquation directe'!I102/C92</f>
        <v>2.5956391330700388</v>
      </c>
      <c r="F92" s="398">
        <f>+'I) Dépenses thématiques'!U92</f>
        <v>-1.846738270500931</v>
      </c>
      <c r="G92" s="135">
        <f t="shared" si="5"/>
        <v>15.294757261763417</v>
      </c>
      <c r="H92" s="399">
        <f>G92-'C) Prél. conj.'!I92</f>
        <v>12.945371767502845</v>
      </c>
      <c r="I92" s="403">
        <f t="shared" si="6"/>
        <v>0</v>
      </c>
      <c r="J92" s="55">
        <f t="shared" si="7"/>
        <v>0</v>
      </c>
      <c r="K92" s="399">
        <f t="shared" si="8"/>
        <v>12.945371767502845</v>
      </c>
      <c r="L92" s="427"/>
    </row>
    <row r="93" spans="1:12" x14ac:dyDescent="0.25">
      <c r="A93" s="49">
        <f>'A) Base RI'!A94</f>
        <v>5541</v>
      </c>
      <c r="B93" s="284" t="str">
        <f>'A) Base RI'!B94</f>
        <v>Goumoëns</v>
      </c>
      <c r="C93" s="95">
        <f>'B) D RI'!U94</f>
        <v>41279.032715231784</v>
      </c>
      <c r="D93" s="398">
        <f>'E) PCS'!G99/C93</f>
        <v>14.112649768563289</v>
      </c>
      <c r="E93" s="135">
        <f>'H) Péréquation directe'!I103/C93</f>
        <v>5.8765076182201224</v>
      </c>
      <c r="F93" s="398">
        <f>+'I) Dépenses thématiques'!U93</f>
        <v>-0.71547349261678217</v>
      </c>
      <c r="G93" s="135">
        <f t="shared" si="5"/>
        <v>19.273683894166631</v>
      </c>
      <c r="H93" s="399">
        <f>G93-'C) Prél. conj.'!I93</f>
        <v>17.357505030537077</v>
      </c>
      <c r="I93" s="403">
        <f t="shared" si="6"/>
        <v>0</v>
      </c>
      <c r="J93" s="55">
        <f t="shared" si="7"/>
        <v>0</v>
      </c>
      <c r="K93" s="399">
        <f t="shared" si="8"/>
        <v>17.357505030537077</v>
      </c>
      <c r="L93" s="427"/>
    </row>
    <row r="94" spans="1:12" x14ac:dyDescent="0.25">
      <c r="A94" s="49">
        <f>'A) Base RI'!A95</f>
        <v>5551</v>
      </c>
      <c r="B94" s="284" t="str">
        <f>'A) Base RI'!B95</f>
        <v>Bonvillars</v>
      </c>
      <c r="C94" s="95">
        <f>'B) D RI'!U95</f>
        <v>18707.412</v>
      </c>
      <c r="D94" s="398">
        <f>'E) PCS'!G100/C94</f>
        <v>15.115443609442517</v>
      </c>
      <c r="E94" s="135">
        <f>'H) Péréquation directe'!I104/C94</f>
        <v>12.497067020607187</v>
      </c>
      <c r="F94" s="398">
        <f>+'I) Dépenses thématiques'!U94</f>
        <v>-6.6817483359002301</v>
      </c>
      <c r="G94" s="135">
        <f t="shared" si="5"/>
        <v>20.930762294149474</v>
      </c>
      <c r="H94" s="399">
        <f>G94-'C) Prél. conj.'!I94</f>
        <v>18.011789589640696</v>
      </c>
      <c r="I94" s="403">
        <f t="shared" si="6"/>
        <v>0</v>
      </c>
      <c r="J94" s="55">
        <f t="shared" si="7"/>
        <v>0</v>
      </c>
      <c r="K94" s="399">
        <f t="shared" si="8"/>
        <v>18.011789589640696</v>
      </c>
      <c r="L94" s="427"/>
    </row>
    <row r="95" spans="1:12" x14ac:dyDescent="0.25">
      <c r="A95" s="49">
        <f>'A) Base RI'!A96</f>
        <v>5552</v>
      </c>
      <c r="B95" s="284" t="str">
        <f>'A) Base RI'!B96</f>
        <v>Bullet</v>
      </c>
      <c r="C95" s="95">
        <f>'B) D RI'!U96</f>
        <v>19599.59230769231</v>
      </c>
      <c r="D95" s="398">
        <f>'E) PCS'!G101/C95</f>
        <v>22.449592084455912</v>
      </c>
      <c r="E95" s="135">
        <f>'H) Péréquation directe'!I105/C95</f>
        <v>1.7719343066769948</v>
      </c>
      <c r="F95" s="398">
        <f>+'I) Dépenses thématiques'!U95</f>
        <v>-10.569926591879655</v>
      </c>
      <c r="G95" s="135">
        <f t="shared" si="5"/>
        <v>13.651599799253249</v>
      </c>
      <c r="H95" s="399">
        <f>G95-'C) Prél. conj.'!I95</f>
        <v>3.3984786197310708</v>
      </c>
      <c r="I95" s="403">
        <f t="shared" si="6"/>
        <v>0</v>
      </c>
      <c r="J95" s="55">
        <f t="shared" si="7"/>
        <v>0</v>
      </c>
      <c r="K95" s="399">
        <f t="shared" si="8"/>
        <v>3.3984786197310708</v>
      </c>
      <c r="L95" s="427"/>
    </row>
    <row r="96" spans="1:12" x14ac:dyDescent="0.25">
      <c r="A96" s="49">
        <f>'A) Base RI'!A97</f>
        <v>5553</v>
      </c>
      <c r="B96" s="284" t="str">
        <f>'A) Base RI'!B97</f>
        <v>Champagne</v>
      </c>
      <c r="C96" s="95">
        <f>'B) D RI'!U97</f>
        <v>40087.525538461538</v>
      </c>
      <c r="D96" s="398">
        <f>'E) PCS'!G102/C96</f>
        <v>15.279749763874838</v>
      </c>
      <c r="E96" s="135">
        <f>'H) Péréquation directe'!I106/C96</f>
        <v>9.5763085233209271</v>
      </c>
      <c r="F96" s="398">
        <f>+'I) Dépenses thématiques'!U96</f>
        <v>-5.9512828345189108</v>
      </c>
      <c r="G96" s="135">
        <f t="shared" si="5"/>
        <v>18.904775452676855</v>
      </c>
      <c r="H96" s="399">
        <f>G96-'C) Prél. conj.'!I96</f>
        <v>15.821496593735752</v>
      </c>
      <c r="I96" s="403">
        <f t="shared" si="6"/>
        <v>0</v>
      </c>
      <c r="J96" s="55">
        <f t="shared" si="7"/>
        <v>0</v>
      </c>
      <c r="K96" s="399">
        <f t="shared" si="8"/>
        <v>15.821496593735752</v>
      </c>
      <c r="L96" s="427"/>
    </row>
    <row r="97" spans="1:12" x14ac:dyDescent="0.25">
      <c r="A97" s="49">
        <f>'A) Base RI'!A98</f>
        <v>5554</v>
      </c>
      <c r="B97" s="284" t="str">
        <f>'A) Base RI'!B98</f>
        <v>Concise</v>
      </c>
      <c r="C97" s="95">
        <f>'B) D RI'!U98</f>
        <v>31501.78373333333</v>
      </c>
      <c r="D97" s="398">
        <f>'E) PCS'!G103/C97</f>
        <v>33.635526728473174</v>
      </c>
      <c r="E97" s="135">
        <f>'H) Péréquation directe'!I107/C97</f>
        <v>2.4689929766811436</v>
      </c>
      <c r="F97" s="398">
        <f>+'I) Dépenses thématiques'!U97</f>
        <v>-7.7682441626649403</v>
      </c>
      <c r="G97" s="135">
        <f t="shared" si="5"/>
        <v>28.336275542489375</v>
      </c>
      <c r="H97" s="399">
        <f>G97-'C) Prél. conj.'!I97</f>
        <v>6.897219718949934</v>
      </c>
      <c r="I97" s="403">
        <f t="shared" si="6"/>
        <v>0</v>
      </c>
      <c r="J97" s="55">
        <f t="shared" si="7"/>
        <v>0</v>
      </c>
      <c r="K97" s="399">
        <f t="shared" si="8"/>
        <v>6.897219718949934</v>
      </c>
      <c r="L97" s="427"/>
    </row>
    <row r="98" spans="1:12" x14ac:dyDescent="0.25">
      <c r="A98" s="49">
        <f>'A) Base RI'!A99</f>
        <v>5555</v>
      </c>
      <c r="B98" s="284" t="str">
        <f>'A) Base RI'!B99</f>
        <v>Corcelles-près-Concise</v>
      </c>
      <c r="C98" s="95">
        <f>'B) D RI'!U99</f>
        <v>13878.246956521738</v>
      </c>
      <c r="D98" s="398">
        <f>'E) PCS'!G104/C98</f>
        <v>16.000822792128609</v>
      </c>
      <c r="E98" s="135">
        <f>'H) Péréquation directe'!I108/C98</f>
        <v>6.2745134794754058</v>
      </c>
      <c r="F98" s="398">
        <f>+'I) Dépenses thématiques'!U98</f>
        <v>-15.030848903106671</v>
      </c>
      <c r="G98" s="135">
        <f t="shared" si="5"/>
        <v>7.2444873684973441</v>
      </c>
      <c r="H98" s="399">
        <f>G98-'C) Prél. conj.'!I98</f>
        <v>3.44013548130247</v>
      </c>
      <c r="I98" s="403">
        <f t="shared" si="6"/>
        <v>0</v>
      </c>
      <c r="J98" s="55">
        <f t="shared" si="7"/>
        <v>0</v>
      </c>
      <c r="K98" s="399">
        <f t="shared" si="8"/>
        <v>3.44013548130247</v>
      </c>
      <c r="L98" s="427"/>
    </row>
    <row r="99" spans="1:12" x14ac:dyDescent="0.25">
      <c r="A99" s="49">
        <f>'A) Base RI'!A100</f>
        <v>5556</v>
      </c>
      <c r="B99" s="284" t="str">
        <f>'A) Base RI'!B100</f>
        <v>Fiez</v>
      </c>
      <c r="C99" s="95">
        <f>'B) D RI'!U100</f>
        <v>14577.66780193237</v>
      </c>
      <c r="D99" s="398">
        <f>'E) PCS'!G105/C99</f>
        <v>14.180215862832053</v>
      </c>
      <c r="E99" s="135">
        <f>'H) Péréquation directe'!I109/C99</f>
        <v>5.9889219623349774</v>
      </c>
      <c r="F99" s="398">
        <f>+'I) Dépenses thématiques'!U99</f>
        <v>-5.0331434482736599</v>
      </c>
      <c r="G99" s="135">
        <f t="shared" si="5"/>
        <v>15.135994376893372</v>
      </c>
      <c r="H99" s="399">
        <f>G99-'C) Prél. conj.'!I99</f>
        <v>13.152249418995053</v>
      </c>
      <c r="I99" s="403">
        <f t="shared" si="6"/>
        <v>0</v>
      </c>
      <c r="J99" s="55">
        <f t="shared" si="7"/>
        <v>0</v>
      </c>
      <c r="K99" s="399">
        <f t="shared" si="8"/>
        <v>13.152249418995053</v>
      </c>
      <c r="L99" s="427"/>
    </row>
    <row r="100" spans="1:12" x14ac:dyDescent="0.25">
      <c r="A100" s="49">
        <f>'A) Base RI'!A101</f>
        <v>5557</v>
      </c>
      <c r="B100" s="284" t="str">
        <f>'A) Base RI'!B101</f>
        <v>Fontaines-sur-Grandson</v>
      </c>
      <c r="C100" s="95">
        <f>'B) D RI'!U101</f>
        <v>4232.7450724637674</v>
      </c>
      <c r="D100" s="398">
        <f>'E) PCS'!G106/C100</f>
        <v>13.763161051982927</v>
      </c>
      <c r="E100" s="135">
        <f>'H) Péréquation directe'!I110/C100</f>
        <v>-16.638067057767365</v>
      </c>
      <c r="F100" s="398">
        <f>+'I) Dépenses thématiques'!U100</f>
        <v>-7.9358144632285628</v>
      </c>
      <c r="G100" s="135">
        <f t="shared" si="5"/>
        <v>-10.810720469013003</v>
      </c>
      <c r="H100" s="399">
        <f>G100-'C) Prél. conj.'!I100</f>
        <v>-12.377410616062194</v>
      </c>
      <c r="I100" s="403">
        <f t="shared" si="6"/>
        <v>0</v>
      </c>
      <c r="J100" s="55">
        <f t="shared" si="7"/>
        <v>0</v>
      </c>
      <c r="K100" s="399">
        <f t="shared" si="8"/>
        <v>-12.377410616062194</v>
      </c>
      <c r="L100" s="427"/>
    </row>
    <row r="101" spans="1:12" x14ac:dyDescent="0.25">
      <c r="A101" s="49">
        <f>'A) Base RI'!A102</f>
        <v>5559</v>
      </c>
      <c r="B101" s="284" t="str">
        <f>'A) Base RI'!B102</f>
        <v>Giez</v>
      </c>
      <c r="C101" s="95">
        <f>'B) D RI'!U102</f>
        <v>23436.990303030303</v>
      </c>
      <c r="D101" s="398">
        <f>'E) PCS'!G107/C101</f>
        <v>17.351626890665813</v>
      </c>
      <c r="E101" s="135">
        <f>'H) Péréquation directe'!I111/C101</f>
        <v>16.296244847149211</v>
      </c>
      <c r="F101" s="398">
        <f>+'I) Dépenses thématiques'!U101</f>
        <v>0</v>
      </c>
      <c r="G101" s="135">
        <f t="shared" si="5"/>
        <v>33.647871737815024</v>
      </c>
      <c r="H101" s="399">
        <f>G101-'C) Prél. conj.'!I101</f>
        <v>29.619776031866223</v>
      </c>
      <c r="I101" s="403">
        <f t="shared" si="6"/>
        <v>0</v>
      </c>
      <c r="J101" s="55">
        <f t="shared" si="7"/>
        <v>0</v>
      </c>
      <c r="K101" s="399">
        <f t="shared" si="8"/>
        <v>29.619776031866223</v>
      </c>
      <c r="L101" s="427"/>
    </row>
    <row r="102" spans="1:12" x14ac:dyDescent="0.25">
      <c r="A102" s="49">
        <f>'A) Base RI'!A103</f>
        <v>5560</v>
      </c>
      <c r="B102" s="284" t="str">
        <f>'A) Base RI'!B103</f>
        <v>Grandevent</v>
      </c>
      <c r="C102" s="95">
        <f>'B) D RI'!U103</f>
        <v>7003.7466176470589</v>
      </c>
      <c r="D102" s="398">
        <f>'E) PCS'!G108/C102</f>
        <v>18.458276534723019</v>
      </c>
      <c r="E102" s="135">
        <f>'H) Péréquation directe'!I112/C102</f>
        <v>2.5157343746384369</v>
      </c>
      <c r="F102" s="398">
        <f>+'I) Dépenses thématiques'!U102</f>
        <v>-2.1711893877724311</v>
      </c>
      <c r="G102" s="135">
        <f t="shared" si="5"/>
        <v>18.802821521589024</v>
      </c>
      <c r="H102" s="399">
        <f>G102-'C) Prél. conj.'!I102</f>
        <v>12.541015891799741</v>
      </c>
      <c r="I102" s="403">
        <f t="shared" si="6"/>
        <v>0</v>
      </c>
      <c r="J102" s="55">
        <f t="shared" si="7"/>
        <v>0</v>
      </c>
      <c r="K102" s="399">
        <f t="shared" si="8"/>
        <v>12.541015891799741</v>
      </c>
      <c r="L102" s="427"/>
    </row>
    <row r="103" spans="1:12" x14ac:dyDescent="0.25">
      <c r="A103" s="49">
        <f>'A) Base RI'!A104</f>
        <v>5561</v>
      </c>
      <c r="B103" s="284" t="str">
        <f>'A) Base RI'!B104</f>
        <v>Grandson</v>
      </c>
      <c r="C103" s="95">
        <f>'B) D RI'!U104</f>
        <v>114506.05043478261</v>
      </c>
      <c r="D103" s="398">
        <f>'E) PCS'!G109/C103</f>
        <v>17.767800957605036</v>
      </c>
      <c r="E103" s="135">
        <f>'H) Péréquation directe'!I113/C103</f>
        <v>1.8366958266082973</v>
      </c>
      <c r="F103" s="398">
        <f>+'I) Dépenses thématiques'!U103</f>
        <v>-8.8485603471965391</v>
      </c>
      <c r="G103" s="135">
        <f t="shared" si="5"/>
        <v>10.755936437016796</v>
      </c>
      <c r="H103" s="399">
        <f>G103-'C) Prél. conj.'!I103</f>
        <v>5.1846063843454955</v>
      </c>
      <c r="I103" s="403">
        <f t="shared" si="6"/>
        <v>0</v>
      </c>
      <c r="J103" s="55">
        <f t="shared" si="7"/>
        <v>0</v>
      </c>
      <c r="K103" s="399">
        <f t="shared" si="8"/>
        <v>5.1846063843454955</v>
      </c>
      <c r="L103" s="427"/>
    </row>
    <row r="104" spans="1:12" x14ac:dyDescent="0.25">
      <c r="A104" s="49">
        <f>'A) Base RI'!A105</f>
        <v>5562</v>
      </c>
      <c r="B104" s="284" t="str">
        <f>'A) Base RI'!B105</f>
        <v>Mauborget</v>
      </c>
      <c r="C104" s="95">
        <f>'B) D RI'!U105</f>
        <v>6099.4916904761894</v>
      </c>
      <c r="D104" s="398">
        <f>'E) PCS'!G110/C104</f>
        <v>15.805577387425128</v>
      </c>
      <c r="E104" s="135">
        <f>'H) Péréquation directe'!I114/C104</f>
        <v>14.152807064907984</v>
      </c>
      <c r="F104" s="398">
        <f>+'I) Dépenses thématiques'!U104</f>
        <v>-1.2027528622984291</v>
      </c>
      <c r="G104" s="135">
        <f t="shared" si="5"/>
        <v>28.755631590034685</v>
      </c>
      <c r="H104" s="399">
        <f>G104-'C) Prél. conj.'!I104</f>
        <v>25.146525107543294</v>
      </c>
      <c r="I104" s="403">
        <f t="shared" si="6"/>
        <v>0</v>
      </c>
      <c r="J104" s="55">
        <f t="shared" si="7"/>
        <v>0</v>
      </c>
      <c r="K104" s="399">
        <f t="shared" si="8"/>
        <v>25.146525107543294</v>
      </c>
      <c r="L104" s="427"/>
    </row>
    <row r="105" spans="1:12" x14ac:dyDescent="0.25">
      <c r="A105" s="49">
        <f>'A) Base RI'!A106</f>
        <v>5563</v>
      </c>
      <c r="B105" s="284" t="str">
        <f>'A) Base RI'!B106</f>
        <v>Mutrux</v>
      </c>
      <c r="C105" s="95">
        <f>'B) D RI'!U106</f>
        <v>4282.2314999999999</v>
      </c>
      <c r="D105" s="398">
        <f>'E) PCS'!G111/C105</f>
        <v>21.411275148935957</v>
      </c>
      <c r="E105" s="135">
        <f>'H) Péréquation directe'!I115/C105</f>
        <v>-3.7977014381265399</v>
      </c>
      <c r="F105" s="398">
        <f>+'I) Dépenses thématiques'!U105</f>
        <v>-4.9453447343984092</v>
      </c>
      <c r="G105" s="135">
        <f t="shared" si="5"/>
        <v>12.668228976411006</v>
      </c>
      <c r="H105" s="399">
        <f>G105-'C) Prél. conj.'!I105</f>
        <v>3.4534247324087843</v>
      </c>
      <c r="I105" s="403">
        <f t="shared" si="6"/>
        <v>0</v>
      </c>
      <c r="J105" s="55">
        <f t="shared" si="7"/>
        <v>0</v>
      </c>
      <c r="K105" s="399">
        <f t="shared" si="8"/>
        <v>3.4534247324087843</v>
      </c>
      <c r="L105" s="427"/>
    </row>
    <row r="106" spans="1:12" x14ac:dyDescent="0.25">
      <c r="A106" s="49">
        <f>'A) Base RI'!A107</f>
        <v>5564</v>
      </c>
      <c r="B106" s="284" t="str">
        <f>'A) Base RI'!B107</f>
        <v>Novalles</v>
      </c>
      <c r="C106" s="95">
        <f>'B) D RI'!U107</f>
        <v>2099.5480592105264</v>
      </c>
      <c r="D106" s="398">
        <f>'E) PCS'!G112/C106</f>
        <v>13.066074718950038</v>
      </c>
      <c r="E106" s="135">
        <f>'H) Péréquation directe'!I116/C106</f>
        <v>-19.158981101996904</v>
      </c>
      <c r="F106" s="398">
        <f>+'I) Dépenses thématiques'!U106</f>
        <v>-14.844647381898179</v>
      </c>
      <c r="G106" s="135">
        <f t="shared" si="5"/>
        <v>-20.937553764945044</v>
      </c>
      <c r="H106" s="399">
        <f>G106-'C) Prél. conj.'!I106</f>
        <v>-21.807157578961345</v>
      </c>
      <c r="I106" s="403">
        <f t="shared" si="6"/>
        <v>0</v>
      </c>
      <c r="J106" s="55">
        <f t="shared" si="7"/>
        <v>0</v>
      </c>
      <c r="K106" s="399">
        <f t="shared" si="8"/>
        <v>-21.807157578961345</v>
      </c>
      <c r="L106" s="427"/>
    </row>
    <row r="107" spans="1:12" x14ac:dyDescent="0.25">
      <c r="A107" s="49">
        <f>'A) Base RI'!A108</f>
        <v>5565</v>
      </c>
      <c r="B107" s="284" t="str">
        <f>'A) Base RI'!B108</f>
        <v>Onnens</v>
      </c>
      <c r="C107" s="95">
        <f>'B) D RI'!U108</f>
        <v>22703.427716535429</v>
      </c>
      <c r="D107" s="398">
        <f>'E) PCS'!G113/C107</f>
        <v>14.687205595132724</v>
      </c>
      <c r="E107" s="135">
        <f>'H) Péréquation directe'!I117/C107</f>
        <v>15.048625873430277</v>
      </c>
      <c r="F107" s="398">
        <f>+'I) Dépenses thématiques'!U107</f>
        <v>-2.9925817264986039</v>
      </c>
      <c r="G107" s="135">
        <f t="shared" si="5"/>
        <v>26.743249742064396</v>
      </c>
      <c r="H107" s="399">
        <f>G107-'C) Prél. conj.'!I107</f>
        <v>24.252515051865409</v>
      </c>
      <c r="I107" s="403">
        <f t="shared" si="6"/>
        <v>0</v>
      </c>
      <c r="J107" s="55">
        <f t="shared" si="7"/>
        <v>0</v>
      </c>
      <c r="K107" s="399">
        <f t="shared" si="8"/>
        <v>24.252515051865409</v>
      </c>
      <c r="L107" s="427"/>
    </row>
    <row r="108" spans="1:12" x14ac:dyDescent="0.25">
      <c r="A108" s="49">
        <f>'A) Base RI'!A109</f>
        <v>5566</v>
      </c>
      <c r="B108" s="284" t="str">
        <f>'A) Base RI'!B109</f>
        <v>Provence</v>
      </c>
      <c r="C108" s="95">
        <f>'B) D RI'!U109</f>
        <v>9377.8413580246925</v>
      </c>
      <c r="D108" s="398">
        <f>'E) PCS'!G114/C108</f>
        <v>15.132216344521657</v>
      </c>
      <c r="E108" s="135">
        <f>'H) Péréquation directe'!I118/C108</f>
        <v>-14.992160497968452</v>
      </c>
      <c r="F108" s="398">
        <f>+'I) Dépenses thématiques'!U108</f>
        <v>-42.1330119338975</v>
      </c>
      <c r="G108" s="135">
        <f t="shared" si="5"/>
        <v>-41.992956087344297</v>
      </c>
      <c r="H108" s="399">
        <f>G108-'C) Prél. conj.'!I108</f>
        <v>-44.928701526932215</v>
      </c>
      <c r="I108" s="403">
        <f t="shared" si="6"/>
        <v>0</v>
      </c>
      <c r="J108" s="55">
        <f t="shared" si="7"/>
        <v>0</v>
      </c>
      <c r="K108" s="399">
        <f t="shared" si="8"/>
        <v>-44.928701526932215</v>
      </c>
      <c r="L108" s="427"/>
    </row>
    <row r="109" spans="1:12" x14ac:dyDescent="0.25">
      <c r="A109" s="49">
        <f>'A) Base RI'!A110</f>
        <v>5568</v>
      </c>
      <c r="B109" s="284" t="str">
        <f>'A) Base RI'!B110</f>
        <v>Sainte-Croix</v>
      </c>
      <c r="C109" s="95">
        <f>'B) D RI'!U110</f>
        <v>109171.87199999999</v>
      </c>
      <c r="D109" s="398">
        <f>'E) PCS'!G115/C109</f>
        <v>23.656921862484413</v>
      </c>
      <c r="E109" s="135">
        <f>'H) Péréquation directe'!I119/C109</f>
        <v>-21.140713862326606</v>
      </c>
      <c r="F109" s="398">
        <f>+'I) Dépenses thématiques'!U109</f>
        <v>-14.634813791596432</v>
      </c>
      <c r="G109" s="135">
        <f t="shared" si="5"/>
        <v>-12.118605791438625</v>
      </c>
      <c r="H109" s="399">
        <f>G109-'C) Prél. conj.'!I109</f>
        <v>-23.579056748989302</v>
      </c>
      <c r="I109" s="403">
        <f t="shared" si="6"/>
        <v>0</v>
      </c>
      <c r="J109" s="55">
        <f t="shared" si="7"/>
        <v>0</v>
      </c>
      <c r="K109" s="399">
        <f t="shared" si="8"/>
        <v>-23.579056748989302</v>
      </c>
      <c r="L109" s="427"/>
    </row>
    <row r="110" spans="1:12" x14ac:dyDescent="0.25">
      <c r="A110" s="49">
        <f>'A) Base RI'!A111</f>
        <v>5571</v>
      </c>
      <c r="B110" s="284" t="str">
        <f>'A) Base RI'!B111</f>
        <v>Tévenon</v>
      </c>
      <c r="C110" s="95">
        <f>'B) D RI'!U111</f>
        <v>25325.239790209791</v>
      </c>
      <c r="D110" s="398">
        <f>'E) PCS'!G116/C110</f>
        <v>16.982437829790086</v>
      </c>
      <c r="E110" s="135">
        <f>'H) Péréquation directe'!I120/C110</f>
        <v>0.27495486858852464</v>
      </c>
      <c r="F110" s="398">
        <f>+'I) Dépenses thématiques'!U110</f>
        <v>-8.7551740182060929</v>
      </c>
      <c r="G110" s="135">
        <f t="shared" si="5"/>
        <v>8.5022186801725166</v>
      </c>
      <c r="H110" s="399">
        <f>G110-'C) Prél. conj.'!I110</f>
        <v>3.7162517553161676</v>
      </c>
      <c r="I110" s="403">
        <f t="shared" si="6"/>
        <v>0</v>
      </c>
      <c r="J110" s="55">
        <f t="shared" si="7"/>
        <v>0</v>
      </c>
      <c r="K110" s="399">
        <f t="shared" si="8"/>
        <v>3.7162517553161676</v>
      </c>
      <c r="L110" s="427"/>
    </row>
    <row r="111" spans="1:12" x14ac:dyDescent="0.25">
      <c r="A111" s="49">
        <f>'A) Base RI'!A112</f>
        <v>5581</v>
      </c>
      <c r="B111" s="284" t="str">
        <f>'A) Base RI'!B112</f>
        <v>Belmont-sur-Lausanne</v>
      </c>
      <c r="C111" s="95">
        <f>'B) D RI'!U112</f>
        <v>215435.94296296299</v>
      </c>
      <c r="D111" s="398">
        <f>'E) PCS'!G117/C111</f>
        <v>17.819364017130358</v>
      </c>
      <c r="E111" s="135">
        <f>'H) Péréquation directe'!I121/C111</f>
        <v>12.815054311374777</v>
      </c>
      <c r="F111" s="398">
        <f>+'I) Dépenses thématiques'!U111</f>
        <v>-3.7880324471321831</v>
      </c>
      <c r="G111" s="135">
        <f t="shared" si="5"/>
        <v>26.846385881372953</v>
      </c>
      <c r="H111" s="399">
        <f>G111-'C) Prél. conj.'!I111</f>
        <v>23.103481592005483</v>
      </c>
      <c r="I111" s="403">
        <f t="shared" si="6"/>
        <v>0</v>
      </c>
      <c r="J111" s="55">
        <f t="shared" si="7"/>
        <v>0</v>
      </c>
      <c r="K111" s="399">
        <f t="shared" si="8"/>
        <v>23.103481592005483</v>
      </c>
      <c r="L111" s="427"/>
    </row>
    <row r="112" spans="1:12" x14ac:dyDescent="0.25">
      <c r="A112" s="49">
        <f>'A) Base RI'!A113</f>
        <v>5582</v>
      </c>
      <c r="B112" s="284" t="str">
        <f>'A) Base RI'!B113</f>
        <v>Cheseaux-sur-Lausanne</v>
      </c>
      <c r="C112" s="95">
        <f>'B) D RI'!U113</f>
        <v>167506.84698630136</v>
      </c>
      <c r="D112" s="398">
        <f>'E) PCS'!G118/C112</f>
        <v>18.321438859729657</v>
      </c>
      <c r="E112" s="135">
        <f>'H) Péréquation directe'!I122/C112</f>
        <v>3.3524747200757519</v>
      </c>
      <c r="F112" s="398">
        <f>+'I) Dépenses thématiques'!U112</f>
        <v>-2.8745730502680265</v>
      </c>
      <c r="G112" s="135">
        <f t="shared" si="5"/>
        <v>18.799340529537382</v>
      </c>
      <c r="H112" s="399">
        <f>G112-'C) Prél. conj.'!I112</f>
        <v>12.674372574741458</v>
      </c>
      <c r="I112" s="403">
        <f t="shared" si="6"/>
        <v>0</v>
      </c>
      <c r="J112" s="55">
        <f t="shared" si="7"/>
        <v>0</v>
      </c>
      <c r="K112" s="399">
        <f t="shared" si="8"/>
        <v>12.674372574741458</v>
      </c>
      <c r="L112" s="427"/>
    </row>
    <row r="113" spans="1:12" x14ac:dyDescent="0.25">
      <c r="A113" s="49">
        <f>'A) Base RI'!A114</f>
        <v>5583</v>
      </c>
      <c r="B113" s="284" t="str">
        <f>'A) Base RI'!B114</f>
        <v>Crissier</v>
      </c>
      <c r="C113" s="95">
        <f>'B) D RI'!U114</f>
        <v>337550.36173228343</v>
      </c>
      <c r="D113" s="398">
        <f>'E) PCS'!G119/C113</f>
        <v>18.441275929529851</v>
      </c>
      <c r="E113" s="135">
        <f>'H) Péréquation directe'!I123/C113</f>
        <v>1.5960310245238456</v>
      </c>
      <c r="F113" s="398">
        <f>+'I) Dépenses thématiques'!U113</f>
        <v>-8.6371002971064623</v>
      </c>
      <c r="G113" s="135">
        <f t="shared" si="5"/>
        <v>11.400206656947235</v>
      </c>
      <c r="H113" s="399">
        <f>G113-'C) Prél. conj.'!I113</f>
        <v>5.1554016323511185</v>
      </c>
      <c r="I113" s="403">
        <f t="shared" si="6"/>
        <v>0</v>
      </c>
      <c r="J113" s="55">
        <f t="shared" si="7"/>
        <v>0</v>
      </c>
      <c r="K113" s="399">
        <f t="shared" si="8"/>
        <v>5.1554016323511185</v>
      </c>
      <c r="L113" s="427"/>
    </row>
    <row r="114" spans="1:12" x14ac:dyDescent="0.25">
      <c r="A114" s="49">
        <f>'A) Base RI'!A115</f>
        <v>5584</v>
      </c>
      <c r="B114" s="284" t="str">
        <f>'A) Base RI'!B115</f>
        <v>Epalinges</v>
      </c>
      <c r="C114" s="95">
        <f>'B) D RI'!U115</f>
        <v>516766.84201550385</v>
      </c>
      <c r="D114" s="398">
        <f>'E) PCS'!G120/C114</f>
        <v>16.880077216419163</v>
      </c>
      <c r="E114" s="135">
        <f>'H) Péréquation directe'!I124/C114</f>
        <v>9.1602589524979479</v>
      </c>
      <c r="F114" s="398">
        <f>+'I) Dépenses thématiques'!U114</f>
        <v>-7.7472021662466979</v>
      </c>
      <c r="G114" s="135">
        <f t="shared" si="5"/>
        <v>18.293134002670413</v>
      </c>
      <c r="H114" s="399">
        <f>G114-'C) Prél. conj.'!I114</f>
        <v>14.656369388148926</v>
      </c>
      <c r="I114" s="403">
        <f t="shared" si="6"/>
        <v>0</v>
      </c>
      <c r="J114" s="55">
        <f t="shared" si="7"/>
        <v>0</v>
      </c>
      <c r="K114" s="399">
        <f t="shared" si="8"/>
        <v>14.656369388148926</v>
      </c>
      <c r="L114" s="427"/>
    </row>
    <row r="115" spans="1:12" x14ac:dyDescent="0.25">
      <c r="A115" s="49">
        <f>'A) Base RI'!A116</f>
        <v>5585</v>
      </c>
      <c r="B115" s="284" t="str">
        <f>'A) Base RI'!B116</f>
        <v>Jouxtens-Mézery</v>
      </c>
      <c r="C115" s="95">
        <f>'B) D RI'!U116</f>
        <v>191744.87050847456</v>
      </c>
      <c r="D115" s="398">
        <f>'E) PCS'!G121/C115</f>
        <v>29.44152306469562</v>
      </c>
      <c r="E115" s="135">
        <f>'H) Péréquation directe'!I125/C115</f>
        <v>17.165644749135481</v>
      </c>
      <c r="F115" s="398">
        <f>+'I) Dépenses thématiques'!U115</f>
        <v>0</v>
      </c>
      <c r="G115" s="135">
        <f t="shared" si="5"/>
        <v>46.607167813831097</v>
      </c>
      <c r="H115" s="399">
        <f>G115-'C) Prél. conj.'!I115</f>
        <v>44.297697793456145</v>
      </c>
      <c r="I115" s="403">
        <f t="shared" si="6"/>
        <v>0</v>
      </c>
      <c r="J115" s="55">
        <f t="shared" si="7"/>
        <v>0</v>
      </c>
      <c r="K115" s="399">
        <f t="shared" si="8"/>
        <v>44.297697793456145</v>
      </c>
      <c r="L115" s="427"/>
    </row>
    <row r="116" spans="1:12" x14ac:dyDescent="0.25">
      <c r="A116" s="49">
        <f>'A) Base RI'!A117</f>
        <v>5586</v>
      </c>
      <c r="B116" s="284" t="str">
        <f>'A) Base RI'!B117</f>
        <v>Lausanne</v>
      </c>
      <c r="C116" s="95">
        <f>'B) D RI'!U117</f>
        <v>6461491.7137154993</v>
      </c>
      <c r="D116" s="398">
        <f>'E) PCS'!G122/C116</f>
        <v>16.547315336928595</v>
      </c>
      <c r="E116" s="135">
        <f>'H) Péréquation directe'!I126/C116</f>
        <v>-4.6043829554103413</v>
      </c>
      <c r="F116" s="398">
        <f>+'I) Dépenses thématiques'!U116</f>
        <v>-7.6685369513868133</v>
      </c>
      <c r="G116" s="135">
        <f t="shared" si="5"/>
        <v>4.2743954301314409</v>
      </c>
      <c r="H116" s="399">
        <f>G116-'C) Prél. conj.'!I116</f>
        <v>-7.6449001863418076E-2</v>
      </c>
      <c r="I116" s="403">
        <f t="shared" si="6"/>
        <v>0</v>
      </c>
      <c r="J116" s="55">
        <f t="shared" si="7"/>
        <v>0</v>
      </c>
      <c r="K116" s="399">
        <f t="shared" si="8"/>
        <v>-7.6449001863418076E-2</v>
      </c>
      <c r="L116" s="427"/>
    </row>
    <row r="117" spans="1:12" x14ac:dyDescent="0.25">
      <c r="A117" s="49">
        <f>'A) Base RI'!A118</f>
        <v>5587</v>
      </c>
      <c r="B117" s="284" t="str">
        <f>'A) Base RI'!B118</f>
        <v>Le Mont-sur-Lausanne</v>
      </c>
      <c r="C117" s="95">
        <f>'B) D RI'!U118</f>
        <v>495058.05378684809</v>
      </c>
      <c r="D117" s="398">
        <f>'E) PCS'!G123/C117</f>
        <v>19.098952674270446</v>
      </c>
      <c r="E117" s="135">
        <f>'H) Péréquation directe'!I127/C117</f>
        <v>9.7651951456679313</v>
      </c>
      <c r="F117" s="398">
        <f>+'I) Dépenses thématiques'!U117</f>
        <v>-4.7474804405279833</v>
      </c>
      <c r="G117" s="135">
        <f t="shared" si="5"/>
        <v>24.116667379410394</v>
      </c>
      <c r="H117" s="399">
        <f>G117-'C) Prél. conj.'!I117</f>
        <v>18.671135962683408</v>
      </c>
      <c r="I117" s="403">
        <f t="shared" si="6"/>
        <v>0</v>
      </c>
      <c r="J117" s="55">
        <f t="shared" si="7"/>
        <v>0</v>
      </c>
      <c r="K117" s="399">
        <f t="shared" si="8"/>
        <v>18.671135962683408</v>
      </c>
      <c r="L117" s="427"/>
    </row>
    <row r="118" spans="1:12" x14ac:dyDescent="0.25">
      <c r="A118" s="49">
        <f>'A) Base RI'!A119</f>
        <v>5588</v>
      </c>
      <c r="B118" s="284" t="str">
        <f>'A) Base RI'!B119</f>
        <v>Paudex</v>
      </c>
      <c r="C118" s="95">
        <f>'B) D RI'!U119</f>
        <v>215756.29785177234</v>
      </c>
      <c r="D118" s="398">
        <f>'E) PCS'!G124/C118</f>
        <v>30.910789084123657</v>
      </c>
      <c r="E118" s="135">
        <f>'H) Péréquation directe'!I128/C118</f>
        <v>17.193696815460576</v>
      </c>
      <c r="F118" s="398">
        <f>+'I) Dépenses thématiques'!U118</f>
        <v>0</v>
      </c>
      <c r="G118" s="135">
        <f t="shared" si="5"/>
        <v>48.104485899584233</v>
      </c>
      <c r="H118" s="399">
        <f>G118-'C) Prél. conj.'!I118</f>
        <v>47.201896533994599</v>
      </c>
      <c r="I118" s="403">
        <f t="shared" si="6"/>
        <v>0</v>
      </c>
      <c r="J118" s="55">
        <f t="shared" si="7"/>
        <v>0</v>
      </c>
      <c r="K118" s="399">
        <f t="shared" si="8"/>
        <v>47.201896533994599</v>
      </c>
      <c r="L118" s="427"/>
    </row>
    <row r="119" spans="1:12" x14ac:dyDescent="0.25">
      <c r="A119" s="49">
        <f>'A) Base RI'!A120</f>
        <v>5589</v>
      </c>
      <c r="B119" s="284" t="str">
        <f>'A) Base RI'!B120</f>
        <v>Prilly</v>
      </c>
      <c r="C119" s="95">
        <f>'B) D RI'!U120</f>
        <v>419549.81642440322</v>
      </c>
      <c r="D119" s="398">
        <f>'E) PCS'!G125/C119</f>
        <v>16.129253986718982</v>
      </c>
      <c r="E119" s="135">
        <f>'H) Péréquation directe'!I129/C119</f>
        <v>-7.1597627233532197</v>
      </c>
      <c r="F119" s="398">
        <f>+'I) Dépenses thématiques'!U119</f>
        <v>-7.897953882314809</v>
      </c>
      <c r="G119" s="135">
        <f t="shared" si="5"/>
        <v>1.0715373810509536</v>
      </c>
      <c r="H119" s="399">
        <f>G119-'C) Prél. conj.'!I119</f>
        <v>-2.8612457007342957</v>
      </c>
      <c r="I119" s="403">
        <f t="shared" si="6"/>
        <v>0</v>
      </c>
      <c r="J119" s="55">
        <f t="shared" si="7"/>
        <v>0</v>
      </c>
      <c r="K119" s="399">
        <f t="shared" si="8"/>
        <v>-2.8612457007342957</v>
      </c>
      <c r="L119" s="427"/>
    </row>
    <row r="120" spans="1:12" x14ac:dyDescent="0.25">
      <c r="A120" s="49">
        <f>'A) Base RI'!A121</f>
        <v>5590</v>
      </c>
      <c r="B120" s="284" t="str">
        <f>'A) Base RI'!B121</f>
        <v>Pully</v>
      </c>
      <c r="C120" s="95">
        <f>'B) D RI'!U121</f>
        <v>1603030.9692740045</v>
      </c>
      <c r="D120" s="398">
        <f>'E) PCS'!G126/C120</f>
        <v>23.202544069302885</v>
      </c>
      <c r="E120" s="135">
        <f>'H) Péréquation directe'!I130/C120</f>
        <v>9.9891889593273557</v>
      </c>
      <c r="F120" s="398">
        <f>+'I) Dépenses thématiques'!U120</f>
        <v>-1.5512508691470723</v>
      </c>
      <c r="G120" s="135">
        <f t="shared" si="5"/>
        <v>31.640482159483167</v>
      </c>
      <c r="H120" s="399">
        <f>G120-'C) Prél. conj.'!I120</f>
        <v>28.638310128970517</v>
      </c>
      <c r="I120" s="403">
        <f t="shared" si="6"/>
        <v>0</v>
      </c>
      <c r="J120" s="55">
        <f t="shared" si="7"/>
        <v>0</v>
      </c>
      <c r="K120" s="399">
        <f t="shared" si="8"/>
        <v>28.638310128970517</v>
      </c>
      <c r="L120" s="427"/>
    </row>
    <row r="121" spans="1:12" x14ac:dyDescent="0.25">
      <c r="A121" s="49">
        <f>'A) Base RI'!A122</f>
        <v>5591</v>
      </c>
      <c r="B121" s="284" t="str">
        <f>'A) Base RI'!B122</f>
        <v>Renens</v>
      </c>
      <c r="C121" s="95">
        <f>'B) D RI'!U122</f>
        <v>569784.47115027823</v>
      </c>
      <c r="D121" s="398">
        <f>'E) PCS'!G127/C121</f>
        <v>17.675814934259822</v>
      </c>
      <c r="E121" s="135">
        <f>'H) Péréquation directe'!I131/C121</f>
        <v>-27.732870354381689</v>
      </c>
      <c r="F121" s="398">
        <f>+'I) Dépenses thématiques'!U121</f>
        <v>-12.338039257030212</v>
      </c>
      <c r="G121" s="135">
        <f t="shared" si="5"/>
        <v>-22.39509467715208</v>
      </c>
      <c r="H121" s="399">
        <f>G121-'C) Prél. conj.'!I121</f>
        <v>-27.87443870647817</v>
      </c>
      <c r="I121" s="403">
        <f t="shared" si="6"/>
        <v>0</v>
      </c>
      <c r="J121" s="55">
        <f t="shared" si="7"/>
        <v>0</v>
      </c>
      <c r="K121" s="399">
        <f t="shared" si="8"/>
        <v>-27.87443870647817</v>
      </c>
      <c r="L121" s="427"/>
    </row>
    <row r="122" spans="1:12" x14ac:dyDescent="0.25">
      <c r="A122" s="49">
        <f>'A) Base RI'!A123</f>
        <v>5592</v>
      </c>
      <c r="B122" s="284" t="str">
        <f>'A) Base RI'!B123</f>
        <v>Romanel-sur-Lausanne</v>
      </c>
      <c r="C122" s="95">
        <f>'B) D RI'!U123</f>
        <v>121086.56368794327</v>
      </c>
      <c r="D122" s="398">
        <f>'E) PCS'!G128/C122</f>
        <v>19.359357756981389</v>
      </c>
      <c r="E122" s="135">
        <f>'H) Péréquation directe'!I132/C122</f>
        <v>2.0973992089964617</v>
      </c>
      <c r="F122" s="398">
        <f>+'I) Dépenses thématiques'!U122</f>
        <v>-2.0593190547133267</v>
      </c>
      <c r="G122" s="135">
        <f t="shared" si="5"/>
        <v>19.397437911264522</v>
      </c>
      <c r="H122" s="399">
        <f>G122-'C) Prél. conj.'!I122</f>
        <v>12.234551059216866</v>
      </c>
      <c r="I122" s="403">
        <f t="shared" si="6"/>
        <v>0</v>
      </c>
      <c r="J122" s="55">
        <f t="shared" si="7"/>
        <v>0</v>
      </c>
      <c r="K122" s="399">
        <f t="shared" si="8"/>
        <v>12.234551059216866</v>
      </c>
      <c r="L122" s="427"/>
    </row>
    <row r="123" spans="1:12" x14ac:dyDescent="0.25">
      <c r="A123" s="49">
        <f>'A) Base RI'!A124</f>
        <v>5601</v>
      </c>
      <c r="B123" s="284" t="str">
        <f>'A) Base RI'!B124</f>
        <v>Chexbres</v>
      </c>
      <c r="C123" s="95">
        <f>'B) D RI'!U124</f>
        <v>105973.06044444445</v>
      </c>
      <c r="D123" s="398">
        <f>'E) PCS'!G129/C123</f>
        <v>14.864142988898923</v>
      </c>
      <c r="E123" s="135">
        <f>'H) Péréquation directe'!I133/C123</f>
        <v>13.102688947281576</v>
      </c>
      <c r="F123" s="398">
        <f>+'I) Dépenses thématiques'!U123</f>
        <v>-2.7105061996762565</v>
      </c>
      <c r="G123" s="135">
        <f t="shared" si="5"/>
        <v>25.256325736504241</v>
      </c>
      <c r="H123" s="399">
        <f>G123-'C) Prél. conj.'!I123</f>
        <v>22.588653652539051</v>
      </c>
      <c r="I123" s="403">
        <f t="shared" si="6"/>
        <v>0</v>
      </c>
      <c r="J123" s="55">
        <f t="shared" si="7"/>
        <v>0</v>
      </c>
      <c r="K123" s="399">
        <f t="shared" si="8"/>
        <v>22.588653652539051</v>
      </c>
      <c r="L123" s="427"/>
    </row>
    <row r="124" spans="1:12" x14ac:dyDescent="0.25">
      <c r="A124" s="49">
        <f>'A) Base RI'!A125</f>
        <v>5604</v>
      </c>
      <c r="B124" s="284" t="str">
        <f>'A) Base RI'!B125</f>
        <v>Forel (Lavaux)</v>
      </c>
      <c r="C124" s="95">
        <f>'B) D RI'!U125</f>
        <v>75818.919130434777</v>
      </c>
      <c r="D124" s="398">
        <f>'E) PCS'!G130/C124</f>
        <v>15.166568574258143</v>
      </c>
      <c r="E124" s="135">
        <f>'H) Péréquation directe'!I134/C124</f>
        <v>5.304160911043116</v>
      </c>
      <c r="F124" s="398">
        <f>+'I) Dépenses thématiques'!U124</f>
        <v>-4.4589000884567573</v>
      </c>
      <c r="G124" s="135">
        <f t="shared" si="5"/>
        <v>16.011829396844501</v>
      </c>
      <c r="H124" s="399">
        <f>G124-'C) Prél. conj.'!I124</f>
        <v>13.041731727520094</v>
      </c>
      <c r="I124" s="403">
        <f t="shared" si="6"/>
        <v>0</v>
      </c>
      <c r="J124" s="55">
        <f t="shared" si="7"/>
        <v>0</v>
      </c>
      <c r="K124" s="399">
        <f t="shared" si="8"/>
        <v>13.041731727520094</v>
      </c>
      <c r="L124" s="427"/>
    </row>
    <row r="125" spans="1:12" x14ac:dyDescent="0.25">
      <c r="A125" s="49">
        <f>'A) Base RI'!A126</f>
        <v>5606</v>
      </c>
      <c r="B125" s="284" t="str">
        <f>'A) Base RI'!B126</f>
        <v>Lutry</v>
      </c>
      <c r="C125" s="95">
        <f>'B) D RI'!U126</f>
        <v>941137.19529100519</v>
      </c>
      <c r="D125" s="398">
        <f>'E) PCS'!G131/C125</f>
        <v>26.219424369833472</v>
      </c>
      <c r="E125" s="135">
        <f>'H) Péréquation directe'!I135/C125</f>
        <v>12.638099131358338</v>
      </c>
      <c r="F125" s="398">
        <f>+'I) Dépenses thématiques'!U125</f>
        <v>-2.2992782976608068</v>
      </c>
      <c r="G125" s="135">
        <f t="shared" si="5"/>
        <v>36.558245203531001</v>
      </c>
      <c r="H125" s="399">
        <f>G125-'C) Prél. conj.'!I125</f>
        <v>30.167685107624564</v>
      </c>
      <c r="I125" s="403">
        <f t="shared" si="6"/>
        <v>0</v>
      </c>
      <c r="J125" s="55">
        <f t="shared" si="7"/>
        <v>0</v>
      </c>
      <c r="K125" s="399">
        <f t="shared" si="8"/>
        <v>30.167685107624564</v>
      </c>
      <c r="L125" s="427"/>
    </row>
    <row r="126" spans="1:12" x14ac:dyDescent="0.25">
      <c r="A126" s="49">
        <f>'A) Base RI'!A127</f>
        <v>5607</v>
      </c>
      <c r="B126" s="284" t="str">
        <f>'A) Base RI'!B127</f>
        <v>Puidoux</v>
      </c>
      <c r="C126" s="95">
        <f>'B) D RI'!U127</f>
        <v>111580.38136464616</v>
      </c>
      <c r="D126" s="398">
        <f>'E) PCS'!G132/C126</f>
        <v>17.200089983591027</v>
      </c>
      <c r="E126" s="135">
        <f>'H) Péréquation directe'!I136/C126</f>
        <v>6.4902657604935339</v>
      </c>
      <c r="F126" s="398">
        <f>+'I) Dépenses thématiques'!U126</f>
        <v>-8.688422193538873</v>
      </c>
      <c r="G126" s="135">
        <f t="shared" si="5"/>
        <v>15.00193355054569</v>
      </c>
      <c r="H126" s="399">
        <f>G126-'C) Prél. conj.'!I126</f>
        <v>9.9983144718883992</v>
      </c>
      <c r="I126" s="403">
        <f t="shared" si="6"/>
        <v>0</v>
      </c>
      <c r="J126" s="55">
        <f t="shared" si="7"/>
        <v>0</v>
      </c>
      <c r="K126" s="399">
        <f t="shared" si="8"/>
        <v>9.9983144718883992</v>
      </c>
      <c r="L126" s="427"/>
    </row>
    <row r="127" spans="1:12" x14ac:dyDescent="0.25">
      <c r="A127" s="49">
        <f>'A) Base RI'!A128</f>
        <v>5609</v>
      </c>
      <c r="B127" s="284" t="str">
        <f>'A) Base RI'!B128</f>
        <v>Rivaz</v>
      </c>
      <c r="C127" s="95">
        <f>'B) D RI'!U128</f>
        <v>14896.510161290325</v>
      </c>
      <c r="D127" s="398">
        <f>'E) PCS'!G133/C127</f>
        <v>13.473612315506376</v>
      </c>
      <c r="E127" s="135">
        <f>'H) Péréquation directe'!I137/C127</f>
        <v>14.728085858701293</v>
      </c>
      <c r="F127" s="398">
        <f>+'I) Dépenses thématiques'!U127</f>
        <v>-3.3843959750564201</v>
      </c>
      <c r="G127" s="135">
        <f t="shared" si="5"/>
        <v>24.81730219915125</v>
      </c>
      <c r="H127" s="399">
        <f>G127-'C) Prél. conj.'!I127</f>
        <v>23.540160788578611</v>
      </c>
      <c r="I127" s="403">
        <f t="shared" si="6"/>
        <v>0</v>
      </c>
      <c r="J127" s="55">
        <f t="shared" si="7"/>
        <v>0</v>
      </c>
      <c r="K127" s="399">
        <f t="shared" si="8"/>
        <v>23.540160788578611</v>
      </c>
      <c r="L127" s="427"/>
    </row>
    <row r="128" spans="1:12" x14ac:dyDescent="0.25">
      <c r="A128" s="49">
        <f>'A) Base RI'!A129</f>
        <v>5610</v>
      </c>
      <c r="B128" s="284" t="str">
        <f>'A) Base RI'!B129</f>
        <v>St-Saphorin (Lavaux)</v>
      </c>
      <c r="C128" s="95">
        <f>'B) D RI'!U129</f>
        <v>23448.462152777778</v>
      </c>
      <c r="D128" s="398">
        <f>'E) PCS'!G134/C128</f>
        <v>27.328605143843852</v>
      </c>
      <c r="E128" s="135">
        <f>'H) Péréquation directe'!I138/C128</f>
        <v>16.547443806202818</v>
      </c>
      <c r="F128" s="398">
        <f>+'I) Dépenses thématiques'!U128</f>
        <v>-0.17256897518347372</v>
      </c>
      <c r="G128" s="135">
        <f t="shared" si="5"/>
        <v>43.703479974863193</v>
      </c>
      <c r="H128" s="399">
        <f>G128-'C) Prél. conj.'!I128</f>
        <v>31.343505230606169</v>
      </c>
      <c r="I128" s="403">
        <f t="shared" si="6"/>
        <v>0</v>
      </c>
      <c r="J128" s="55">
        <f t="shared" si="7"/>
        <v>0</v>
      </c>
      <c r="K128" s="399">
        <f t="shared" si="8"/>
        <v>31.343505230606169</v>
      </c>
      <c r="L128" s="427"/>
    </row>
    <row r="129" spans="1:12" x14ac:dyDescent="0.25">
      <c r="A129" s="49">
        <f>'A) Base RI'!A130</f>
        <v>5611</v>
      </c>
      <c r="B129" s="284" t="str">
        <f>'A) Base RI'!B130</f>
        <v>Savigny</v>
      </c>
      <c r="C129" s="95">
        <f>'B) D RI'!U130</f>
        <v>140983.13330917869</v>
      </c>
      <c r="D129" s="398">
        <f>'E) PCS'!G135/C129</f>
        <v>15.351122383878021</v>
      </c>
      <c r="E129" s="135">
        <f>'H) Péréquation directe'!I139/C129</f>
        <v>8.5259772720798015</v>
      </c>
      <c r="F129" s="398">
        <f>+'I) Dépenses thématiques'!U129</f>
        <v>-4.5465488324708447</v>
      </c>
      <c r="G129" s="135">
        <f t="shared" si="5"/>
        <v>19.330550823486977</v>
      </c>
      <c r="H129" s="399">
        <f>G129-'C) Prél. conj.'!I129</f>
        <v>16.175899344542692</v>
      </c>
      <c r="I129" s="403">
        <f t="shared" si="6"/>
        <v>0</v>
      </c>
      <c r="J129" s="55">
        <f t="shared" si="7"/>
        <v>0</v>
      </c>
      <c r="K129" s="399">
        <f t="shared" si="8"/>
        <v>16.175899344542692</v>
      </c>
      <c r="L129" s="427"/>
    </row>
    <row r="130" spans="1:12" x14ac:dyDescent="0.25">
      <c r="A130" s="49">
        <f>'A) Base RI'!A131</f>
        <v>5613</v>
      </c>
      <c r="B130" s="284" t="str">
        <f>'A) Base RI'!B131</f>
        <v>Bourg-en-Lavaux</v>
      </c>
      <c r="C130" s="95">
        <f>'B) D RI'!U131</f>
        <v>357210.57141333341</v>
      </c>
      <c r="D130" s="398">
        <f>'E) PCS'!G136/C130</f>
        <v>19.26356658946635</v>
      </c>
      <c r="E130" s="135">
        <f>'H) Péréquation directe'!I140/C130</f>
        <v>12.940254555183444</v>
      </c>
      <c r="F130" s="398">
        <f>+'I) Dépenses thématiques'!U130</f>
        <v>0</v>
      </c>
      <c r="G130" s="135">
        <f t="shared" si="5"/>
        <v>32.203821144649794</v>
      </c>
      <c r="H130" s="399">
        <f>G130-'C) Prél. conj.'!I130</f>
        <v>29.346387429960181</v>
      </c>
      <c r="I130" s="403">
        <f t="shared" si="6"/>
        <v>0</v>
      </c>
      <c r="J130" s="55">
        <f t="shared" si="7"/>
        <v>0</v>
      </c>
      <c r="K130" s="399">
        <f t="shared" si="8"/>
        <v>29.346387429960181</v>
      </c>
      <c r="L130" s="427"/>
    </row>
    <row r="131" spans="1:12" x14ac:dyDescent="0.25">
      <c r="A131" s="49">
        <f>'A) Base RI'!A132</f>
        <v>5621</v>
      </c>
      <c r="B131" s="284" t="str">
        <f>'A) Base RI'!B132</f>
        <v>Aclens</v>
      </c>
      <c r="C131" s="95">
        <f>'B) D RI'!U132</f>
        <v>32271.293782991204</v>
      </c>
      <c r="D131" s="398">
        <f>'E) PCS'!G137/C131</f>
        <v>22.086049518507018</v>
      </c>
      <c r="E131" s="135">
        <f>'H) Péréquation directe'!I141/C131</f>
        <v>16.655684481182867</v>
      </c>
      <c r="F131" s="398">
        <f>+'I) Dépenses thématiques'!U131</f>
        <v>-1.1152090010416977</v>
      </c>
      <c r="G131" s="135">
        <f t="shared" si="5"/>
        <v>37.626524998648186</v>
      </c>
      <c r="H131" s="399">
        <f>G131-'C) Prél. conj.'!I131</f>
        <v>30.957062768613902</v>
      </c>
      <c r="I131" s="403">
        <f t="shared" si="6"/>
        <v>0</v>
      </c>
      <c r="J131" s="55">
        <f t="shared" si="7"/>
        <v>0</v>
      </c>
      <c r="K131" s="399">
        <f t="shared" si="8"/>
        <v>30.957062768613902</v>
      </c>
      <c r="L131" s="427"/>
    </row>
    <row r="132" spans="1:12" x14ac:dyDescent="0.25">
      <c r="A132" s="49">
        <f>'A) Base RI'!A133</f>
        <v>5622</v>
      </c>
      <c r="B132" s="284" t="str">
        <f>'A) Base RI'!B133</f>
        <v>Bremblens</v>
      </c>
      <c r="C132" s="95">
        <f>'B) D RI'!U133</f>
        <v>28643.938676470589</v>
      </c>
      <c r="D132" s="398">
        <f>'E) PCS'!G138/C132</f>
        <v>16.170465064246251</v>
      </c>
      <c r="E132" s="135">
        <f>'H) Péréquation directe'!I142/C132</f>
        <v>15.541548373511155</v>
      </c>
      <c r="F132" s="398">
        <f>+'I) Dépenses thématiques'!U132</f>
        <v>-0.35097714929248724</v>
      </c>
      <c r="G132" s="135">
        <f t="shared" si="5"/>
        <v>31.36103628846492</v>
      </c>
      <c r="H132" s="399">
        <f>G132-'C) Prél. conj.'!I132</f>
        <v>27.387042129152405</v>
      </c>
      <c r="I132" s="403">
        <f t="shared" si="6"/>
        <v>0</v>
      </c>
      <c r="J132" s="55">
        <f t="shared" si="7"/>
        <v>0</v>
      </c>
      <c r="K132" s="399">
        <f t="shared" si="8"/>
        <v>27.387042129152405</v>
      </c>
      <c r="L132" s="427"/>
    </row>
    <row r="133" spans="1:12" x14ac:dyDescent="0.25">
      <c r="A133" s="49">
        <f>'A) Base RI'!A134</f>
        <v>5623</v>
      </c>
      <c r="B133" s="284" t="str">
        <f>'A) Base RI'!B134</f>
        <v>Buchillon</v>
      </c>
      <c r="C133" s="95">
        <f>'B) D RI'!U134</f>
        <v>89231.951153846152</v>
      </c>
      <c r="D133" s="398">
        <f>'E) PCS'!G139/C133</f>
        <v>26.820810572982399</v>
      </c>
      <c r="E133" s="135">
        <f>'H) Péréquation directe'!I143/C133</f>
        <v>17.718930267881522</v>
      </c>
      <c r="F133" s="398">
        <f>+'I) Dépenses thématiques'!U133</f>
        <v>0</v>
      </c>
      <c r="G133" s="135">
        <f t="shared" si="5"/>
        <v>44.539740840863921</v>
      </c>
      <c r="H133" s="399">
        <f>G133-'C) Prél. conj.'!I133</f>
        <v>43.27615740979445</v>
      </c>
      <c r="I133" s="403">
        <f t="shared" si="6"/>
        <v>0</v>
      </c>
      <c r="J133" s="55">
        <f t="shared" si="7"/>
        <v>0</v>
      </c>
      <c r="K133" s="399">
        <f t="shared" si="8"/>
        <v>43.27615740979445</v>
      </c>
      <c r="L133" s="427"/>
    </row>
    <row r="134" spans="1:12" x14ac:dyDescent="0.25">
      <c r="A134" s="49">
        <f>'A) Base RI'!A135</f>
        <v>5624</v>
      </c>
      <c r="B134" s="284" t="str">
        <f>'A) Base RI'!B135</f>
        <v>Bussigny</v>
      </c>
      <c r="C134" s="95">
        <f>'B) D RI'!U135</f>
        <v>441979.60352000006</v>
      </c>
      <c r="D134" s="398">
        <f>'E) PCS'!G140/C134</f>
        <v>17.431150190072525</v>
      </c>
      <c r="E134" s="135">
        <f>'H) Péréquation directe'!I144/C134</f>
        <v>4.798123601790472</v>
      </c>
      <c r="F134" s="398">
        <f>+'I) Dépenses thématiques'!U134</f>
        <v>-3.141426760018283</v>
      </c>
      <c r="G134" s="135">
        <f t="shared" si="5"/>
        <v>19.087847031844714</v>
      </c>
      <c r="H134" s="399">
        <f>G134-'C) Prél. conj.'!I134</f>
        <v>13.853167746705923</v>
      </c>
      <c r="I134" s="403">
        <f t="shared" si="6"/>
        <v>0</v>
      </c>
      <c r="J134" s="55">
        <f t="shared" si="7"/>
        <v>0</v>
      </c>
      <c r="K134" s="399">
        <f t="shared" si="8"/>
        <v>13.853167746705923</v>
      </c>
      <c r="L134" s="427"/>
    </row>
    <row r="135" spans="1:12" x14ac:dyDescent="0.25">
      <c r="A135" s="49">
        <f>'A) Base RI'!A136</f>
        <v>5625</v>
      </c>
      <c r="B135" s="284" t="str">
        <f>'A) Base RI'!B136</f>
        <v>Bussy-Chardonney</v>
      </c>
      <c r="C135" s="95">
        <f>'B) D RI'!U136</f>
        <v>21108.495740740738</v>
      </c>
      <c r="D135" s="398">
        <f>'E) PCS'!G141/C135</f>
        <v>13.594407527896557</v>
      </c>
      <c r="E135" s="135">
        <f>'H) Péréquation directe'!I145/C135</f>
        <v>16.219342003860561</v>
      </c>
      <c r="F135" s="398">
        <f>+'I) Dépenses thématiques'!U135</f>
        <v>-11.582233455114798</v>
      </c>
      <c r="G135" s="135">
        <f t="shared" ref="G135:G198" si="9">SUM(D135:F135)</f>
        <v>18.231516076642322</v>
      </c>
      <c r="H135" s="399">
        <f>G135-'C) Prél. conj.'!I135</f>
        <v>17.633556603119125</v>
      </c>
      <c r="I135" s="403">
        <f t="shared" ref="I135:I198" si="10">IF(H135&gt;I$5,I$5-H135,0)</f>
        <v>0</v>
      </c>
      <c r="J135" s="55">
        <f t="shared" ref="J135:J198" si="11">I135*C135</f>
        <v>0</v>
      </c>
      <c r="K135" s="399">
        <f t="shared" ref="K135:K198" si="12">H135+I135</f>
        <v>17.633556603119125</v>
      </c>
      <c r="L135" s="427"/>
    </row>
    <row r="136" spans="1:12" x14ac:dyDescent="0.25">
      <c r="A136" s="49">
        <f>'A) Base RI'!A137</f>
        <v>5627</v>
      </c>
      <c r="B136" s="284" t="str">
        <f>'A) Base RI'!B137</f>
        <v>Chavannes-près-Renens</v>
      </c>
      <c r="C136" s="95">
        <f>'B) D RI'!U137</f>
        <v>194072.91458064516</v>
      </c>
      <c r="D136" s="398">
        <f>'E) PCS'!G142/C136</f>
        <v>17.683145216497834</v>
      </c>
      <c r="E136" s="135">
        <f>'H) Péréquation directe'!I146/C136</f>
        <v>-30.800946052670152</v>
      </c>
      <c r="F136" s="398">
        <f>+'I) Dépenses thématiques'!U136</f>
        <v>-9.771114978170413</v>
      </c>
      <c r="G136" s="135">
        <f t="shared" si="9"/>
        <v>-22.888915814342731</v>
      </c>
      <c r="H136" s="399">
        <f>G136-'C) Prél. conj.'!I136</f>
        <v>-28.375590125906832</v>
      </c>
      <c r="I136" s="403">
        <f t="shared" si="10"/>
        <v>0</v>
      </c>
      <c r="J136" s="55">
        <f t="shared" si="11"/>
        <v>0</v>
      </c>
      <c r="K136" s="399">
        <f t="shared" si="12"/>
        <v>-28.375590125906832</v>
      </c>
      <c r="L136" s="427"/>
    </row>
    <row r="137" spans="1:12" x14ac:dyDescent="0.25">
      <c r="A137" s="49">
        <f>'A) Base RI'!A138</f>
        <v>5628</v>
      </c>
      <c r="B137" s="284" t="str">
        <f>'A) Base RI'!B138</f>
        <v>Chigny</v>
      </c>
      <c r="C137" s="95">
        <f>'B) D RI'!U138</f>
        <v>25790.901129032256</v>
      </c>
      <c r="D137" s="398">
        <f>'E) PCS'!G143/C137</f>
        <v>16.775444970563523</v>
      </c>
      <c r="E137" s="135">
        <f>'H) Péréquation directe'!I147/C137</f>
        <v>16.69525687859727</v>
      </c>
      <c r="F137" s="398">
        <f>+'I) Dépenses thématiques'!U137</f>
        <v>0</v>
      </c>
      <c r="G137" s="135">
        <f t="shared" si="9"/>
        <v>33.47070184916079</v>
      </c>
      <c r="H137" s="399">
        <f>G137-'C) Prél. conj.'!I137</f>
        <v>32.416378277294953</v>
      </c>
      <c r="I137" s="403">
        <f t="shared" si="10"/>
        <v>0</v>
      </c>
      <c r="J137" s="55">
        <f t="shared" si="11"/>
        <v>0</v>
      </c>
      <c r="K137" s="399">
        <f t="shared" si="12"/>
        <v>32.416378277294953</v>
      </c>
      <c r="L137" s="427"/>
    </row>
    <row r="138" spans="1:12" x14ac:dyDescent="0.25">
      <c r="A138" s="49">
        <f>'A) Base RI'!A139</f>
        <v>5629</v>
      </c>
      <c r="B138" s="284" t="str">
        <f>'A) Base RI'!B139</f>
        <v>Clarmont</v>
      </c>
      <c r="C138" s="95">
        <f>'B) D RI'!U139</f>
        <v>9948.0614965986406</v>
      </c>
      <c r="D138" s="398">
        <f>'E) PCS'!G144/C138</f>
        <v>13.557140519272982</v>
      </c>
      <c r="E138" s="135">
        <f>'H) Péréquation directe'!I148/C138</f>
        <v>15.440457694807993</v>
      </c>
      <c r="F138" s="398">
        <f>+'I) Dépenses thématiques'!U138</f>
        <v>-4.9103668123794844</v>
      </c>
      <c r="G138" s="135">
        <f t="shared" si="9"/>
        <v>24.087231401701487</v>
      </c>
      <c r="H138" s="399">
        <f>G138-'C) Prél. conj.'!I138</f>
        <v>22.72656178736224</v>
      </c>
      <c r="I138" s="403">
        <f t="shared" si="10"/>
        <v>0</v>
      </c>
      <c r="J138" s="55">
        <f t="shared" si="11"/>
        <v>0</v>
      </c>
      <c r="K138" s="399">
        <f t="shared" si="12"/>
        <v>22.72656178736224</v>
      </c>
      <c r="L138" s="427"/>
    </row>
    <row r="139" spans="1:12" x14ac:dyDescent="0.25">
      <c r="A139" s="49">
        <f>'A) Base RI'!A140</f>
        <v>5631</v>
      </c>
      <c r="B139" s="284" t="str">
        <f>'A) Base RI'!B140</f>
        <v>Denens</v>
      </c>
      <c r="C139" s="95">
        <f>'B) D RI'!U140</f>
        <v>43290.229264705871</v>
      </c>
      <c r="D139" s="398">
        <f>'E) PCS'!G145/C139</f>
        <v>21.014949215580224</v>
      </c>
      <c r="E139" s="135">
        <f>'H) Péréquation directe'!I149/C139</f>
        <v>16.541939137258161</v>
      </c>
      <c r="F139" s="398">
        <f>+'I) Dépenses thématiques'!U139</f>
        <v>0</v>
      </c>
      <c r="G139" s="135">
        <f t="shared" si="9"/>
        <v>37.556888352838385</v>
      </c>
      <c r="H139" s="399">
        <f>G139-'C) Prél. conj.'!I139</f>
        <v>31.310099306135992</v>
      </c>
      <c r="I139" s="403">
        <f t="shared" si="10"/>
        <v>0</v>
      </c>
      <c r="J139" s="55">
        <f t="shared" si="11"/>
        <v>0</v>
      </c>
      <c r="K139" s="399">
        <f t="shared" si="12"/>
        <v>31.310099306135992</v>
      </c>
      <c r="L139" s="427"/>
    </row>
    <row r="140" spans="1:12" x14ac:dyDescent="0.25">
      <c r="A140" s="49">
        <f>'A) Base RI'!A141</f>
        <v>5632</v>
      </c>
      <c r="B140" s="284" t="str">
        <f>'A) Base RI'!B141</f>
        <v>Denges</v>
      </c>
      <c r="C140" s="95">
        <f>'B) D RI'!U141</f>
        <v>80521.21435483871</v>
      </c>
      <c r="D140" s="398">
        <f>'E) PCS'!G146/C140</f>
        <v>15.155336862295973</v>
      </c>
      <c r="E140" s="135">
        <f>'H) Péréquation directe'!I150/C140</f>
        <v>13.140133365493195</v>
      </c>
      <c r="F140" s="398">
        <f>+'I) Dépenses thématiques'!U140</f>
        <v>-1.3079002187780491</v>
      </c>
      <c r="G140" s="135">
        <f t="shared" si="9"/>
        <v>26.987570009011119</v>
      </c>
      <c r="H140" s="399">
        <f>G140-'C) Prél. conj.'!I140</f>
        <v>24.02870405164888</v>
      </c>
      <c r="I140" s="403">
        <f t="shared" si="10"/>
        <v>0</v>
      </c>
      <c r="J140" s="55">
        <f t="shared" si="11"/>
        <v>0</v>
      </c>
      <c r="K140" s="399">
        <f t="shared" si="12"/>
        <v>24.02870405164888</v>
      </c>
      <c r="L140" s="427"/>
    </row>
    <row r="141" spans="1:12" x14ac:dyDescent="0.25">
      <c r="A141" s="49">
        <f>'A) Base RI'!A142</f>
        <v>5633</v>
      </c>
      <c r="B141" s="284" t="str">
        <f>'A) Base RI'!B142</f>
        <v>Echandens</v>
      </c>
      <c r="C141" s="95">
        <f>'B) D RI'!U142</f>
        <v>168845.50793388431</v>
      </c>
      <c r="D141" s="398">
        <f>'E) PCS'!G147/C141</f>
        <v>16.874308481224052</v>
      </c>
      <c r="E141" s="135">
        <f>'H) Péréquation directe'!I151/C141</f>
        <v>14.243380954653601</v>
      </c>
      <c r="F141" s="398">
        <f>+'I) Dépenses thématiques'!U141</f>
        <v>-3.5744078109144519</v>
      </c>
      <c r="G141" s="135">
        <f t="shared" si="9"/>
        <v>27.5432816249632</v>
      </c>
      <c r="H141" s="399">
        <f>G141-'C) Prél. conj.'!I141</f>
        <v>25.61915539871373</v>
      </c>
      <c r="I141" s="403">
        <f t="shared" si="10"/>
        <v>0</v>
      </c>
      <c r="J141" s="55">
        <f t="shared" si="11"/>
        <v>0</v>
      </c>
      <c r="K141" s="399">
        <f t="shared" si="12"/>
        <v>25.61915539871373</v>
      </c>
      <c r="L141" s="427"/>
    </row>
    <row r="142" spans="1:12" x14ac:dyDescent="0.25">
      <c r="A142" s="49">
        <f>'A) Base RI'!A143</f>
        <v>5634</v>
      </c>
      <c r="B142" s="284" t="str">
        <f>'A) Base RI'!B143</f>
        <v>Echichens</v>
      </c>
      <c r="C142" s="95">
        <f>'B) D RI'!U143</f>
        <v>152568.89227272727</v>
      </c>
      <c r="D142" s="398">
        <f>'E) PCS'!G148/C142</f>
        <v>15.791656979330547</v>
      </c>
      <c r="E142" s="135">
        <f>'H) Péréquation directe'!I152/C142</f>
        <v>12.793268545370225</v>
      </c>
      <c r="F142" s="398">
        <f>+'I) Dépenses thématiques'!U142</f>
        <v>-0.82197225460261003</v>
      </c>
      <c r="G142" s="135">
        <f t="shared" si="9"/>
        <v>27.762953270098162</v>
      </c>
      <c r="H142" s="399">
        <f>G142-'C) Prél. conj.'!I142</f>
        <v>24.213964174522285</v>
      </c>
      <c r="I142" s="403">
        <f t="shared" si="10"/>
        <v>0</v>
      </c>
      <c r="J142" s="55">
        <f t="shared" si="11"/>
        <v>0</v>
      </c>
      <c r="K142" s="399">
        <f t="shared" si="12"/>
        <v>24.213964174522285</v>
      </c>
      <c r="L142" s="427"/>
    </row>
    <row r="143" spans="1:12" x14ac:dyDescent="0.25">
      <c r="A143" s="49">
        <f>'A) Base RI'!A144</f>
        <v>5635</v>
      </c>
      <c r="B143" s="284" t="str">
        <f>'A) Base RI'!B144</f>
        <v>Ecublens</v>
      </c>
      <c r="C143" s="95">
        <f>'B) D RI'!U144</f>
        <v>872367.07997333352</v>
      </c>
      <c r="D143" s="398">
        <f>'E) PCS'!G149/C143</f>
        <v>18.711759121413085</v>
      </c>
      <c r="E143" s="135">
        <f>'H) Péréquation directe'!I153/C143</f>
        <v>9.514793045354514</v>
      </c>
      <c r="F143" s="398">
        <f>+'I) Dépenses thématiques'!U143</f>
        <v>-1.4463788227755783</v>
      </c>
      <c r="G143" s="135">
        <f t="shared" si="9"/>
        <v>26.780173343992018</v>
      </c>
      <c r="H143" s="399">
        <f>G143-'C) Prél. conj.'!I143</f>
        <v>24.355956012149733</v>
      </c>
      <c r="I143" s="403">
        <f t="shared" si="10"/>
        <v>0</v>
      </c>
      <c r="J143" s="55">
        <f t="shared" si="11"/>
        <v>0</v>
      </c>
      <c r="K143" s="399">
        <f t="shared" si="12"/>
        <v>24.355956012149733</v>
      </c>
      <c r="L143" s="427"/>
    </row>
    <row r="144" spans="1:12" x14ac:dyDescent="0.25">
      <c r="A144" s="49">
        <f>'A) Base RI'!A145</f>
        <v>5636</v>
      </c>
      <c r="B144" s="284" t="str">
        <f>'A) Base RI'!B145</f>
        <v>Etoy</v>
      </c>
      <c r="C144" s="95">
        <f>'B) D RI'!U145</f>
        <v>187063.54000000004</v>
      </c>
      <c r="D144" s="398">
        <f>'E) PCS'!G150/C144</f>
        <v>21.637094951471632</v>
      </c>
      <c r="E144" s="135">
        <f>'H) Péréquation directe'!I154/C144</f>
        <v>14.40593165710729</v>
      </c>
      <c r="F144" s="398">
        <f>+'I) Dépenses thématiques'!U144</f>
        <v>0</v>
      </c>
      <c r="G144" s="135">
        <f t="shared" si="9"/>
        <v>36.04302660857892</v>
      </c>
      <c r="H144" s="399">
        <f>G144-'C) Prél. conj.'!I144</f>
        <v>30.110193759376987</v>
      </c>
      <c r="I144" s="403">
        <f t="shared" si="10"/>
        <v>0</v>
      </c>
      <c r="J144" s="55">
        <f t="shared" si="11"/>
        <v>0</v>
      </c>
      <c r="K144" s="399">
        <f t="shared" si="12"/>
        <v>30.110193759376987</v>
      </c>
      <c r="L144" s="427"/>
    </row>
    <row r="145" spans="1:12" x14ac:dyDescent="0.25">
      <c r="A145" s="49">
        <f>'A) Base RI'!A146</f>
        <v>5637</v>
      </c>
      <c r="B145" s="284" t="str">
        <f>'A) Base RI'!B146</f>
        <v>Lavigny</v>
      </c>
      <c r="C145" s="95">
        <f>'B) D RI'!U146</f>
        <v>37900.997397260275</v>
      </c>
      <c r="D145" s="398">
        <f>'E) PCS'!G151/C145</f>
        <v>18.62728530924328</v>
      </c>
      <c r="E145" s="135">
        <f>'H) Péréquation directe'!I155/C145</f>
        <v>8.5275076058863313</v>
      </c>
      <c r="F145" s="398">
        <f>+'I) Dépenses thématiques'!U145</f>
        <v>-3.0234300806216177</v>
      </c>
      <c r="G145" s="135">
        <f t="shared" si="9"/>
        <v>24.131362834507993</v>
      </c>
      <c r="H145" s="399">
        <f>G145-'C) Prél. conj.'!I145</f>
        <v>17.700548430198445</v>
      </c>
      <c r="I145" s="403">
        <f t="shared" si="10"/>
        <v>0</v>
      </c>
      <c r="J145" s="55">
        <f t="shared" si="11"/>
        <v>0</v>
      </c>
      <c r="K145" s="399">
        <f t="shared" si="12"/>
        <v>17.700548430198445</v>
      </c>
      <c r="L145" s="427"/>
    </row>
    <row r="146" spans="1:12" x14ac:dyDescent="0.25">
      <c r="A146" s="49">
        <f>'A) Base RI'!A147</f>
        <v>5638</v>
      </c>
      <c r="B146" s="284" t="str">
        <f>'A) Base RI'!B147</f>
        <v>Lonay</v>
      </c>
      <c r="C146" s="95">
        <f>'B) D RI'!U147</f>
        <v>174162.36418181815</v>
      </c>
      <c r="D146" s="398">
        <f>'E) PCS'!G152/C146</f>
        <v>39.502681819339728</v>
      </c>
      <c r="E146" s="135">
        <f>'H) Péréquation directe'!I156/C146</f>
        <v>14.42616922267645</v>
      </c>
      <c r="F146" s="398">
        <f>+'I) Dépenses thématiques'!U146</f>
        <v>-2.11793786012236</v>
      </c>
      <c r="G146" s="135">
        <f t="shared" si="9"/>
        <v>51.810913181893817</v>
      </c>
      <c r="H146" s="399">
        <f>G146-'C) Prél. conj.'!I146</f>
        <v>27.552723848925062</v>
      </c>
      <c r="I146" s="403">
        <f t="shared" si="10"/>
        <v>0</v>
      </c>
      <c r="J146" s="55">
        <f t="shared" si="11"/>
        <v>0</v>
      </c>
      <c r="K146" s="399">
        <f t="shared" si="12"/>
        <v>27.552723848925062</v>
      </c>
      <c r="L146" s="427"/>
    </row>
    <row r="147" spans="1:12" x14ac:dyDescent="0.25">
      <c r="A147" s="49">
        <f>'A) Base RI'!A148</f>
        <v>5639</v>
      </c>
      <c r="B147" s="284" t="str">
        <f>'A) Base RI'!B148</f>
        <v>Lully</v>
      </c>
      <c r="C147" s="95">
        <f>'B) D RI'!U148</f>
        <v>53711.269344262299</v>
      </c>
      <c r="D147" s="398">
        <f>'E) PCS'!G153/C147</f>
        <v>17.734663113770939</v>
      </c>
      <c r="E147" s="135">
        <f>'H) Péréquation directe'!I157/C147</f>
        <v>16.731116226486492</v>
      </c>
      <c r="F147" s="398">
        <f>+'I) Dépenses thématiques'!U147</f>
        <v>0</v>
      </c>
      <c r="G147" s="135">
        <f t="shared" si="9"/>
        <v>34.465779340257427</v>
      </c>
      <c r="H147" s="399">
        <f>G147-'C) Prél. conj.'!I147</f>
        <v>32.666897351810782</v>
      </c>
      <c r="I147" s="403">
        <f t="shared" si="10"/>
        <v>0</v>
      </c>
      <c r="J147" s="55">
        <f t="shared" si="11"/>
        <v>0</v>
      </c>
      <c r="K147" s="399">
        <f t="shared" si="12"/>
        <v>32.666897351810782</v>
      </c>
      <c r="L147" s="427"/>
    </row>
    <row r="148" spans="1:12" x14ac:dyDescent="0.25">
      <c r="A148" s="49">
        <f>'A) Base RI'!A149</f>
        <v>5640</v>
      </c>
      <c r="B148" s="284" t="str">
        <f>'A) Base RI'!B149</f>
        <v>Lussy-sur-Morges</v>
      </c>
      <c r="C148" s="95">
        <f>'B) D RI'!U149</f>
        <v>70527.814108527149</v>
      </c>
      <c r="D148" s="398">
        <f>'E) PCS'!G154/C148</f>
        <v>27.920996144846299</v>
      </c>
      <c r="E148" s="135">
        <f>'H) Péréquation directe'!I158/C148</f>
        <v>17.345308547469852</v>
      </c>
      <c r="F148" s="398">
        <f>+'I) Dépenses thématiques'!U148</f>
        <v>0</v>
      </c>
      <c r="G148" s="135">
        <f t="shared" si="9"/>
        <v>45.266304692316155</v>
      </c>
      <c r="H148" s="399">
        <f>G148-'C) Prél. conj.'!I148</f>
        <v>39.950806193764592</v>
      </c>
      <c r="I148" s="403">
        <f t="shared" si="10"/>
        <v>0</v>
      </c>
      <c r="J148" s="55">
        <f t="shared" si="11"/>
        <v>0</v>
      </c>
      <c r="K148" s="399">
        <f t="shared" si="12"/>
        <v>39.950806193764592</v>
      </c>
      <c r="L148" s="427"/>
    </row>
    <row r="149" spans="1:12" x14ac:dyDescent="0.25">
      <c r="A149" s="49">
        <f>'A) Base RI'!A150</f>
        <v>5642</v>
      </c>
      <c r="B149" s="284" t="str">
        <f>'A) Base RI'!B150</f>
        <v>Morges</v>
      </c>
      <c r="C149" s="95">
        <f>'B) D RI'!U150</f>
        <v>999726.82119402988</v>
      </c>
      <c r="D149" s="398">
        <f>'E) PCS'!G155/C149</f>
        <v>17.903124607443758</v>
      </c>
      <c r="E149" s="135">
        <f>'H) Péréquation directe'!I159/C149</f>
        <v>6.9204039117239056</v>
      </c>
      <c r="F149" s="398">
        <f>+'I) Dépenses thématiques'!U149</f>
        <v>0</v>
      </c>
      <c r="G149" s="135">
        <f t="shared" si="9"/>
        <v>24.823528519167663</v>
      </c>
      <c r="H149" s="399">
        <f>G149-'C) Prél. conj.'!I149</f>
        <v>21.694953838872113</v>
      </c>
      <c r="I149" s="403">
        <f t="shared" si="10"/>
        <v>0</v>
      </c>
      <c r="J149" s="55">
        <f t="shared" si="11"/>
        <v>0</v>
      </c>
      <c r="K149" s="399">
        <f t="shared" si="12"/>
        <v>21.694953838872113</v>
      </c>
      <c r="L149" s="427"/>
    </row>
    <row r="150" spans="1:12" x14ac:dyDescent="0.25">
      <c r="A150" s="49">
        <f>'A) Base RI'!A151</f>
        <v>5643</v>
      </c>
      <c r="B150" s="284" t="str">
        <f>'A) Base RI'!B151</f>
        <v>Préverenges</v>
      </c>
      <c r="C150" s="95">
        <f>'B) D RI'!U151</f>
        <v>257752.82112000001</v>
      </c>
      <c r="D150" s="398">
        <f>'E) PCS'!G156/C150</f>
        <v>14.419371590017022</v>
      </c>
      <c r="E150" s="135">
        <f>'H) Péréquation directe'!I160/C150</f>
        <v>11.104817807431131</v>
      </c>
      <c r="F150" s="398">
        <f>+'I) Dépenses thématiques'!U150</f>
        <v>0</v>
      </c>
      <c r="G150" s="135">
        <f t="shared" si="9"/>
        <v>25.524189397448154</v>
      </c>
      <c r="H150" s="399">
        <f>G150-'C) Prél. conj.'!I150</f>
        <v>23.580062684023339</v>
      </c>
      <c r="I150" s="403">
        <f t="shared" si="10"/>
        <v>0</v>
      </c>
      <c r="J150" s="55">
        <f t="shared" si="11"/>
        <v>0</v>
      </c>
      <c r="K150" s="399">
        <f t="shared" si="12"/>
        <v>23.580062684023339</v>
      </c>
      <c r="L150" s="427"/>
    </row>
    <row r="151" spans="1:12" x14ac:dyDescent="0.25">
      <c r="A151" s="49">
        <f>'A) Base RI'!A152</f>
        <v>5644</v>
      </c>
      <c r="B151" s="284" t="str">
        <f>'A) Base RI'!B152</f>
        <v>Reverolle</v>
      </c>
      <c r="C151" s="95">
        <f>'B) D RI'!U152</f>
        <v>16363.457972972968</v>
      </c>
      <c r="D151" s="398">
        <f>'E) PCS'!G157/C151</f>
        <v>13.516943328041885</v>
      </c>
      <c r="E151" s="135">
        <f>'H) Péréquation directe'!I161/C151</f>
        <v>11.389181517933665</v>
      </c>
      <c r="F151" s="398">
        <f>+'I) Dépenses thématiques'!U151</f>
        <v>-19.751555734490115</v>
      </c>
      <c r="G151" s="135">
        <f t="shared" si="9"/>
        <v>5.1545691114854328</v>
      </c>
      <c r="H151" s="399">
        <f>G151-'C) Prél. conj.'!I151</f>
        <v>3.8340966883772825</v>
      </c>
      <c r="I151" s="403">
        <f t="shared" si="10"/>
        <v>0</v>
      </c>
      <c r="J151" s="55">
        <f t="shared" si="11"/>
        <v>0</v>
      </c>
      <c r="K151" s="399">
        <f t="shared" si="12"/>
        <v>3.8340966883772825</v>
      </c>
      <c r="L151" s="427"/>
    </row>
    <row r="152" spans="1:12" x14ac:dyDescent="0.25">
      <c r="A152" s="49">
        <f>'A) Base RI'!A153</f>
        <v>5645</v>
      </c>
      <c r="B152" s="284" t="str">
        <f>'A) Base RI'!B153</f>
        <v>Romanel-sur-Morges</v>
      </c>
      <c r="C152" s="95">
        <f>'B) D RI'!U153</f>
        <v>26586.021785714285</v>
      </c>
      <c r="D152" s="398">
        <f>'E) PCS'!G158/C152</f>
        <v>18.161910425760979</v>
      </c>
      <c r="E152" s="135">
        <f>'H) Péréquation directe'!I162/C152</f>
        <v>16.467616400828469</v>
      </c>
      <c r="F152" s="398">
        <f>+'I) Dépenses thématiques'!U152</f>
        <v>-8.8249113615170086E-3</v>
      </c>
      <c r="G152" s="135">
        <f t="shared" si="9"/>
        <v>34.620701915227933</v>
      </c>
      <c r="H152" s="399">
        <f>G152-'C) Prél. conj.'!I152</f>
        <v>30.356045626526491</v>
      </c>
      <c r="I152" s="403">
        <f t="shared" si="10"/>
        <v>0</v>
      </c>
      <c r="J152" s="55">
        <f t="shared" si="11"/>
        <v>0</v>
      </c>
      <c r="K152" s="399">
        <f t="shared" si="12"/>
        <v>30.356045626526491</v>
      </c>
      <c r="L152" s="427"/>
    </row>
    <row r="153" spans="1:12" x14ac:dyDescent="0.25">
      <c r="A153" s="49">
        <f>'A) Base RI'!A154</f>
        <v>5646</v>
      </c>
      <c r="B153" s="284" t="str">
        <f>'A) Base RI'!B154</f>
        <v>Saint-Prex</v>
      </c>
      <c r="C153" s="95">
        <f>'B) D RI'!U154</f>
        <v>527982.74983050849</v>
      </c>
      <c r="D153" s="398">
        <f>'E) PCS'!G159/C153</f>
        <v>24.523480624485185</v>
      </c>
      <c r="E153" s="135">
        <f>'H) Péréquation directe'!I163/C153</f>
        <v>14.222468513346284</v>
      </c>
      <c r="F153" s="398">
        <f>+'I) Dépenses thématiques'!U153</f>
        <v>0</v>
      </c>
      <c r="G153" s="135">
        <f t="shared" si="9"/>
        <v>38.745949137831467</v>
      </c>
      <c r="H153" s="399">
        <f>G153-'C) Prél. conj.'!I153</f>
        <v>35.111281801415558</v>
      </c>
      <c r="I153" s="403">
        <f t="shared" si="10"/>
        <v>0</v>
      </c>
      <c r="J153" s="55">
        <f t="shared" si="11"/>
        <v>0</v>
      </c>
      <c r="K153" s="399">
        <f t="shared" si="12"/>
        <v>35.111281801415558</v>
      </c>
      <c r="L153" s="427"/>
    </row>
    <row r="154" spans="1:12" x14ac:dyDescent="0.25">
      <c r="A154" s="49">
        <f>'A) Base RI'!A155</f>
        <v>5648</v>
      </c>
      <c r="B154" s="284" t="str">
        <f>'A) Base RI'!B155</f>
        <v>Saint-Sulpice</v>
      </c>
      <c r="C154" s="95">
        <f>'B) D RI'!U155</f>
        <v>394426.68886363629</v>
      </c>
      <c r="D154" s="398">
        <f>'E) PCS'!G160/C154</f>
        <v>22.366708224388908</v>
      </c>
      <c r="E154" s="135">
        <f>'H) Péréquation directe'!I164/C154</f>
        <v>14.122577510758786</v>
      </c>
      <c r="F154" s="398">
        <f>+'I) Dépenses thématiques'!U154</f>
        <v>0</v>
      </c>
      <c r="G154" s="135">
        <f t="shared" si="9"/>
        <v>36.489285735147696</v>
      </c>
      <c r="H154" s="399">
        <f>G154-'C) Prél. conj.'!I154</f>
        <v>32.678407814258158</v>
      </c>
      <c r="I154" s="403">
        <f t="shared" si="10"/>
        <v>0</v>
      </c>
      <c r="J154" s="55">
        <f t="shared" si="11"/>
        <v>0</v>
      </c>
      <c r="K154" s="399">
        <f t="shared" si="12"/>
        <v>32.678407814258158</v>
      </c>
      <c r="L154" s="427"/>
    </row>
    <row r="155" spans="1:12" x14ac:dyDescent="0.25">
      <c r="A155" s="49">
        <f>'A) Base RI'!A156</f>
        <v>5649</v>
      </c>
      <c r="B155" s="284" t="str">
        <f>'A) Base RI'!B156</f>
        <v>Tolochenaz</v>
      </c>
      <c r="C155" s="95">
        <f>'B) D RI'!U156</f>
        <v>155778.42171874997</v>
      </c>
      <c r="D155" s="398">
        <f>'E) PCS'!G161/C155</f>
        <v>22.3904532915377</v>
      </c>
      <c r="E155" s="135">
        <f>'H) Péréquation directe'!I165/C155</f>
        <v>15.866759028185088</v>
      </c>
      <c r="F155" s="398">
        <f>+'I) Dépenses thématiques'!U155</f>
        <v>-1.285704191104879</v>
      </c>
      <c r="G155" s="135">
        <f t="shared" si="9"/>
        <v>36.971508128617913</v>
      </c>
      <c r="H155" s="399">
        <f>G155-'C) Prél. conj.'!I155</f>
        <v>34.755759495452409</v>
      </c>
      <c r="I155" s="403">
        <f t="shared" si="10"/>
        <v>0</v>
      </c>
      <c r="J155" s="55">
        <f t="shared" si="11"/>
        <v>0</v>
      </c>
      <c r="K155" s="399">
        <f t="shared" si="12"/>
        <v>34.755759495452409</v>
      </c>
      <c r="L155" s="427"/>
    </row>
    <row r="156" spans="1:12" x14ac:dyDescent="0.25">
      <c r="A156" s="49">
        <f>'A) Base RI'!A157</f>
        <v>5650</v>
      </c>
      <c r="B156" s="284" t="str">
        <f>'A) Base RI'!B157</f>
        <v>Vaux-sur-Morges</v>
      </c>
      <c r="C156" s="95">
        <f>'B) D RI'!U157</f>
        <v>83125.71642857141</v>
      </c>
      <c r="D156" s="398">
        <f>'E) PCS'!G162/C156</f>
        <v>47.201083335169535</v>
      </c>
      <c r="E156" s="135">
        <f>'H) Péréquation directe'!I166/C156</f>
        <v>18.36006766103802</v>
      </c>
      <c r="F156" s="398">
        <f>+'I) Dépenses thématiques'!U156</f>
        <v>0</v>
      </c>
      <c r="G156" s="135">
        <f t="shared" si="9"/>
        <v>65.561150996207559</v>
      </c>
      <c r="H156" s="399">
        <f>G156-'C) Prél. conj.'!I156</f>
        <v>57.959022712080113</v>
      </c>
      <c r="I156" s="403">
        <f t="shared" si="10"/>
        <v>-9.9590227120801131</v>
      </c>
      <c r="J156" s="55">
        <f t="shared" si="11"/>
        <v>-827850.89787007368</v>
      </c>
      <c r="K156" s="399">
        <f t="shared" si="12"/>
        <v>48</v>
      </c>
      <c r="L156" s="427"/>
    </row>
    <row r="157" spans="1:12" x14ac:dyDescent="0.25">
      <c r="A157" s="49">
        <f>'A) Base RI'!A158</f>
        <v>5651</v>
      </c>
      <c r="B157" s="284" t="str">
        <f>'A) Base RI'!B158</f>
        <v>Villars-Sainte-Croix</v>
      </c>
      <c r="C157" s="95">
        <f>'B) D RI'!U158</f>
        <v>57697.031735537188</v>
      </c>
      <c r="D157" s="398">
        <f>'E) PCS'!G163/C157</f>
        <v>17.317899195519907</v>
      </c>
      <c r="E157" s="135">
        <f>'H) Péréquation directe'!I167/C157</f>
        <v>16.582888267984139</v>
      </c>
      <c r="F157" s="398">
        <f>+'I) Dépenses thématiques'!U157</f>
        <v>0</v>
      </c>
      <c r="G157" s="135">
        <f t="shared" si="9"/>
        <v>33.900787463504045</v>
      </c>
      <c r="H157" s="399">
        <f>G157-'C) Prél. conj.'!I157</f>
        <v>31.374911077557531</v>
      </c>
      <c r="I157" s="403">
        <f t="shared" si="10"/>
        <v>0</v>
      </c>
      <c r="J157" s="55">
        <f t="shared" si="11"/>
        <v>0</v>
      </c>
      <c r="K157" s="399">
        <f t="shared" si="12"/>
        <v>31.374911077557531</v>
      </c>
      <c r="L157" s="427"/>
    </row>
    <row r="158" spans="1:12" x14ac:dyDescent="0.25">
      <c r="A158" s="49">
        <f>'A) Base RI'!A159</f>
        <v>5652</v>
      </c>
      <c r="B158" s="284" t="str">
        <f>'A) Base RI'!B159</f>
        <v>Villars-sous-Yens</v>
      </c>
      <c r="C158" s="95">
        <f>'B) D RI'!U159</f>
        <v>25902.630833333329</v>
      </c>
      <c r="D158" s="398">
        <f>'E) PCS'!G164/C158</f>
        <v>13.373352326598852</v>
      </c>
      <c r="E158" s="135">
        <f>'H) Péréquation directe'!I168/C158</f>
        <v>11.7311239604846</v>
      </c>
      <c r="F158" s="398">
        <f>+'I) Dépenses thématiques'!U158</f>
        <v>-1.0107164468525522</v>
      </c>
      <c r="G158" s="135">
        <f t="shared" si="9"/>
        <v>24.093759840230899</v>
      </c>
      <c r="H158" s="399">
        <f>G158-'C) Prél. conj.'!I158</f>
        <v>22.916878418565783</v>
      </c>
      <c r="I158" s="403">
        <f t="shared" si="10"/>
        <v>0</v>
      </c>
      <c r="J158" s="55">
        <f t="shared" si="11"/>
        <v>0</v>
      </c>
      <c r="K158" s="399">
        <f t="shared" si="12"/>
        <v>22.916878418565783</v>
      </c>
      <c r="L158" s="427"/>
    </row>
    <row r="159" spans="1:12" x14ac:dyDescent="0.25">
      <c r="A159" s="49">
        <f>'A) Base RI'!A160</f>
        <v>5653</v>
      </c>
      <c r="B159" s="284" t="str">
        <f>'A) Base RI'!B160</f>
        <v>Vufflens-le-Château</v>
      </c>
      <c r="C159" s="95">
        <f>'B) D RI'!U160</f>
        <v>67687.367350427332</v>
      </c>
      <c r="D159" s="398">
        <f>'E) PCS'!G165/C159</f>
        <v>20.486225381963376</v>
      </c>
      <c r="E159" s="135">
        <f>'H) Péréquation directe'!I169/C159</f>
        <v>17.006558048390101</v>
      </c>
      <c r="F159" s="398">
        <f>+'I) Dépenses thématiques'!U159</f>
        <v>0</v>
      </c>
      <c r="G159" s="135">
        <f t="shared" si="9"/>
        <v>37.492783430353477</v>
      </c>
      <c r="H159" s="399">
        <f>G159-'C) Prél. conj.'!I159</f>
        <v>35.031043499808696</v>
      </c>
      <c r="I159" s="403">
        <f t="shared" si="10"/>
        <v>0</v>
      </c>
      <c r="J159" s="55">
        <f t="shared" si="11"/>
        <v>0</v>
      </c>
      <c r="K159" s="399">
        <f t="shared" si="12"/>
        <v>35.031043499808696</v>
      </c>
      <c r="L159" s="427"/>
    </row>
    <row r="160" spans="1:12" x14ac:dyDescent="0.25">
      <c r="A160" s="49">
        <f>'A) Base RI'!A161</f>
        <v>5654</v>
      </c>
      <c r="B160" s="284" t="str">
        <f>'A) Base RI'!B161</f>
        <v>Vullierens</v>
      </c>
      <c r="C160" s="95">
        <f>'B) D RI'!U161</f>
        <v>20665.692500000001</v>
      </c>
      <c r="D160" s="398">
        <f>'E) PCS'!G166/C160</f>
        <v>16.381468092906022</v>
      </c>
      <c r="E160" s="135">
        <f>'H) Péréquation directe'!I170/C160</f>
        <v>8.0941408885852102</v>
      </c>
      <c r="F160" s="398">
        <f>+'I) Dépenses thématiques'!U160</f>
        <v>-4.9493790251645331</v>
      </c>
      <c r="G160" s="135">
        <f t="shared" si="9"/>
        <v>19.526229956326702</v>
      </c>
      <c r="H160" s="399">
        <f>G160-'C) Prél. conj.'!I160</f>
        <v>15.341232768354415</v>
      </c>
      <c r="I160" s="403">
        <f t="shared" si="10"/>
        <v>0</v>
      </c>
      <c r="J160" s="55">
        <f t="shared" si="11"/>
        <v>0</v>
      </c>
      <c r="K160" s="399">
        <f t="shared" si="12"/>
        <v>15.341232768354415</v>
      </c>
      <c r="L160" s="427"/>
    </row>
    <row r="161" spans="1:12" x14ac:dyDescent="0.25">
      <c r="A161" s="49">
        <f>'A) Base RI'!A162</f>
        <v>5655</v>
      </c>
      <c r="B161" s="284" t="str">
        <f>'A) Base RI'!B162</f>
        <v>Yens</v>
      </c>
      <c r="C161" s="95">
        <f>'B) D RI'!U162</f>
        <v>73454.856083916078</v>
      </c>
      <c r="D161" s="398">
        <f>'E) PCS'!G167/C161</f>
        <v>13.446410614732223</v>
      </c>
      <c r="E161" s="135">
        <f>'H) Péréquation directe'!I171/C161</f>
        <v>14.583040623561779</v>
      </c>
      <c r="F161" s="398">
        <f>+'I) Dépenses thématiques'!U161</f>
        <v>0</v>
      </c>
      <c r="G161" s="135">
        <f t="shared" si="9"/>
        <v>28.029451238294001</v>
      </c>
      <c r="H161" s="399">
        <f>G161-'C) Prél. conj.'!I161</f>
        <v>26.958871780481694</v>
      </c>
      <c r="I161" s="403">
        <f t="shared" si="10"/>
        <v>0</v>
      </c>
      <c r="J161" s="55">
        <f t="shared" si="11"/>
        <v>0</v>
      </c>
      <c r="K161" s="399">
        <f t="shared" si="12"/>
        <v>26.958871780481694</v>
      </c>
      <c r="L161" s="427"/>
    </row>
    <row r="162" spans="1:12" x14ac:dyDescent="0.25">
      <c r="A162" s="49">
        <f>'A) Base RI'!A163</f>
        <v>5661</v>
      </c>
      <c r="B162" s="284" t="str">
        <f>'A) Base RI'!B163</f>
        <v>Boulens</v>
      </c>
      <c r="C162" s="95">
        <f>'B) D RI'!U163</f>
        <v>11226.588951048951</v>
      </c>
      <c r="D162" s="398">
        <f>'E) PCS'!G168/C162</f>
        <v>14.841830072308003</v>
      </c>
      <c r="E162" s="135">
        <f>'H) Péréquation directe'!I172/C162</f>
        <v>2.2999992366768582</v>
      </c>
      <c r="F162" s="398">
        <f>+'I) Dépenses thématiques'!U162</f>
        <v>-1.5458635437790791</v>
      </c>
      <c r="G162" s="135">
        <f t="shared" si="9"/>
        <v>15.595965765205781</v>
      </c>
      <c r="H162" s="399">
        <f>G162-'C) Prél. conj.'!I162</f>
        <v>12.950606597831513</v>
      </c>
      <c r="I162" s="403">
        <f t="shared" si="10"/>
        <v>0</v>
      </c>
      <c r="J162" s="55">
        <f t="shared" si="11"/>
        <v>0</v>
      </c>
      <c r="K162" s="399">
        <f t="shared" si="12"/>
        <v>12.950606597831513</v>
      </c>
      <c r="L162" s="427"/>
    </row>
    <row r="163" spans="1:12" x14ac:dyDescent="0.25">
      <c r="A163" s="49">
        <f>'A) Base RI'!A164</f>
        <v>5663</v>
      </c>
      <c r="B163" s="284" t="str">
        <f>'A) Base RI'!B164</f>
        <v>Bussy-sur-Moudon</v>
      </c>
      <c r="C163" s="95">
        <f>'B) D RI'!U164</f>
        <v>5263.6754140127387</v>
      </c>
      <c r="D163" s="398">
        <f>'E) PCS'!G169/C163</f>
        <v>14.592548551823661</v>
      </c>
      <c r="E163" s="135">
        <f>'H) Péréquation directe'!I173/C163</f>
        <v>-15.722808092533446</v>
      </c>
      <c r="F163" s="398">
        <f>+'I) Dépenses thématiques'!U163</f>
        <v>-2.0778157191850544</v>
      </c>
      <c r="G163" s="135">
        <f t="shared" si="9"/>
        <v>-3.2080752598948394</v>
      </c>
      <c r="H163" s="399">
        <f>G163-'C) Prél. conj.'!I163</f>
        <v>-5.6041529067847655</v>
      </c>
      <c r="I163" s="403">
        <f t="shared" si="10"/>
        <v>0</v>
      </c>
      <c r="J163" s="55">
        <f t="shared" si="11"/>
        <v>0</v>
      </c>
      <c r="K163" s="399">
        <f t="shared" si="12"/>
        <v>-5.6041529067847655</v>
      </c>
      <c r="L163" s="427"/>
    </row>
    <row r="164" spans="1:12" x14ac:dyDescent="0.25">
      <c r="A164" s="49">
        <f>'A) Base RI'!A165</f>
        <v>5665</v>
      </c>
      <c r="B164" s="284" t="str">
        <f>'A) Base RI'!B165</f>
        <v>Chavannes-sur-Moudon</v>
      </c>
      <c r="C164" s="95">
        <f>'B) D RI'!U165</f>
        <v>4920.86942857143</v>
      </c>
      <c r="D164" s="398">
        <f>'E) PCS'!G170/C164</f>
        <v>13.281380813130561</v>
      </c>
      <c r="E164" s="135">
        <f>'H) Péréquation directe'!I174/C164</f>
        <v>-10.125199956750828</v>
      </c>
      <c r="F164" s="398">
        <f>+'I) Dépenses thématiques'!U164</f>
        <v>-0.52156096922012951</v>
      </c>
      <c r="G164" s="135">
        <f t="shared" si="9"/>
        <v>2.6346198871596029</v>
      </c>
      <c r="H164" s="399">
        <f>G164-'C) Prél. conj.'!I164</f>
        <v>1.5497099789627766</v>
      </c>
      <c r="I164" s="403">
        <f t="shared" si="10"/>
        <v>0</v>
      </c>
      <c r="J164" s="55">
        <f t="shared" si="11"/>
        <v>0</v>
      </c>
      <c r="K164" s="399">
        <f t="shared" si="12"/>
        <v>1.5497099789627766</v>
      </c>
      <c r="L164" s="427"/>
    </row>
    <row r="165" spans="1:12" x14ac:dyDescent="0.25">
      <c r="A165" s="49">
        <f>'A) Base RI'!A166</f>
        <v>5669</v>
      </c>
      <c r="B165" s="284" t="str">
        <f>'A) Base RI'!B166</f>
        <v>Curtilles</v>
      </c>
      <c r="C165" s="95">
        <f>'B) D RI'!U166</f>
        <v>9338.3773972602739</v>
      </c>
      <c r="D165" s="398">
        <f>'E) PCS'!G171/C165</f>
        <v>16.995974404669063</v>
      </c>
      <c r="E165" s="135">
        <f>'H) Péréquation directe'!I175/C165</f>
        <v>3.3394586042350549</v>
      </c>
      <c r="F165" s="398">
        <f>+'I) Dépenses thématiques'!U165</f>
        <v>-5.9416763831621261E-3</v>
      </c>
      <c r="G165" s="135">
        <f t="shared" si="9"/>
        <v>20.329491332520956</v>
      </c>
      <c r="H165" s="399">
        <f>G165-'C) Prél. conj.'!I165</f>
        <v>15.529987832785626</v>
      </c>
      <c r="I165" s="403">
        <f t="shared" si="10"/>
        <v>0</v>
      </c>
      <c r="J165" s="55">
        <f t="shared" si="11"/>
        <v>0</v>
      </c>
      <c r="K165" s="399">
        <f t="shared" si="12"/>
        <v>15.529987832785626</v>
      </c>
      <c r="L165" s="427"/>
    </row>
    <row r="166" spans="1:12" x14ac:dyDescent="0.25">
      <c r="A166" s="49">
        <f>'A) Base RI'!A167</f>
        <v>5671</v>
      </c>
      <c r="B166" s="284" t="str">
        <f>'A) Base RI'!B167</f>
        <v>Dompierre</v>
      </c>
      <c r="C166" s="95">
        <f>'B) D RI'!U167</f>
        <v>6463.9784615384606</v>
      </c>
      <c r="D166" s="398">
        <f>'E) PCS'!G172/C166</f>
        <v>20.456599758657067</v>
      </c>
      <c r="E166" s="135">
        <f>'H) Péréquation directe'!I176/C166</f>
        <v>-6.5414655496143821</v>
      </c>
      <c r="F166" s="398">
        <f>+'I) Dépenses thématiques'!U166</f>
        <v>0</v>
      </c>
      <c r="G166" s="135">
        <f t="shared" si="9"/>
        <v>13.915134209042684</v>
      </c>
      <c r="H166" s="399">
        <f>G166-'C) Prél. conj.'!I166</f>
        <v>5.65500535531935</v>
      </c>
      <c r="I166" s="403">
        <f t="shared" si="10"/>
        <v>0</v>
      </c>
      <c r="J166" s="55">
        <f t="shared" si="11"/>
        <v>0</v>
      </c>
      <c r="K166" s="399">
        <f t="shared" si="12"/>
        <v>5.65500535531935</v>
      </c>
      <c r="L166" s="427"/>
    </row>
    <row r="167" spans="1:12" x14ac:dyDescent="0.25">
      <c r="A167" s="49">
        <f>'A) Base RI'!A168</f>
        <v>5673</v>
      </c>
      <c r="B167" s="284" t="str">
        <f>'A) Base RI'!B168</f>
        <v>Hermenches</v>
      </c>
      <c r="C167" s="95">
        <f>'B) D RI'!U168</f>
        <v>10227.295238095237</v>
      </c>
      <c r="D167" s="398">
        <f>'E) PCS'!G173/C167</f>
        <v>12.711199860874235</v>
      </c>
      <c r="E167" s="135">
        <f>'H) Péréquation directe'!I177/C167</f>
        <v>-2.1678215105461205</v>
      </c>
      <c r="F167" s="398">
        <f>+'I) Dépenses thématiques'!U167</f>
        <v>-21.362198123415769</v>
      </c>
      <c r="G167" s="135">
        <f t="shared" si="9"/>
        <v>-10.818819773087656</v>
      </c>
      <c r="H167" s="399">
        <f>G167-'C) Prél. conj.'!I167</f>
        <v>-11.333548729028156</v>
      </c>
      <c r="I167" s="403">
        <f t="shared" si="10"/>
        <v>0</v>
      </c>
      <c r="J167" s="55">
        <f t="shared" si="11"/>
        <v>0</v>
      </c>
      <c r="K167" s="399">
        <f t="shared" si="12"/>
        <v>-11.333548729028156</v>
      </c>
      <c r="L167" s="427"/>
    </row>
    <row r="168" spans="1:12" x14ac:dyDescent="0.25">
      <c r="A168" s="49">
        <f>'A) Base RI'!A169</f>
        <v>5674</v>
      </c>
      <c r="B168" s="284" t="str">
        <f>'A) Base RI'!B169</f>
        <v>Lovatens</v>
      </c>
      <c r="C168" s="95">
        <f>'B) D RI'!U169</f>
        <v>4222.7234666666664</v>
      </c>
      <c r="D168" s="398">
        <f>'E) PCS'!G174/C168</f>
        <v>16.69639853457787</v>
      </c>
      <c r="E168" s="135">
        <f>'H) Péréquation directe'!I178/C168</f>
        <v>-0.77887751774406644</v>
      </c>
      <c r="F168" s="398">
        <f>+'I) Dépenses thématiques'!U168</f>
        <v>-6.0872821540196531</v>
      </c>
      <c r="G168" s="135">
        <f t="shared" si="9"/>
        <v>9.8302388628141522</v>
      </c>
      <c r="H168" s="399">
        <f>G168-'C) Prél. conj.'!I168</f>
        <v>5.3303112331700158</v>
      </c>
      <c r="I168" s="403">
        <f t="shared" si="10"/>
        <v>0</v>
      </c>
      <c r="J168" s="55">
        <f t="shared" si="11"/>
        <v>0</v>
      </c>
      <c r="K168" s="399">
        <f t="shared" si="12"/>
        <v>5.3303112331700158</v>
      </c>
      <c r="L168" s="427"/>
    </row>
    <row r="169" spans="1:12" x14ac:dyDescent="0.25">
      <c r="A169" s="49">
        <f>'A) Base RI'!A170</f>
        <v>5675</v>
      </c>
      <c r="B169" s="284" t="str">
        <f>'A) Base RI'!B170</f>
        <v>Lucens</v>
      </c>
      <c r="C169" s="95">
        <f>'B) D RI'!U170</f>
        <v>105170.58216835017</v>
      </c>
      <c r="D169" s="398">
        <f>'E) PCS'!G175/C169</f>
        <v>17.209666411981775</v>
      </c>
      <c r="E169" s="135">
        <f>'H) Péréquation directe'!I179/C169</f>
        <v>-14.104343518245374</v>
      </c>
      <c r="F169" s="398">
        <f>+'I) Dépenses thématiques'!U169</f>
        <v>-5.0162530824961289</v>
      </c>
      <c r="G169" s="135">
        <f t="shared" si="9"/>
        <v>-1.9109301887597274</v>
      </c>
      <c r="H169" s="399">
        <f>G169-'C) Prél. conj.'!I169</f>
        <v>-6.9241256958077688</v>
      </c>
      <c r="I169" s="403">
        <f t="shared" si="10"/>
        <v>0</v>
      </c>
      <c r="J169" s="55">
        <f t="shared" si="11"/>
        <v>0</v>
      </c>
      <c r="K169" s="399">
        <f t="shared" si="12"/>
        <v>-6.9241256958077688</v>
      </c>
      <c r="L169" s="427"/>
    </row>
    <row r="170" spans="1:12" x14ac:dyDescent="0.25">
      <c r="A170" s="49">
        <f>'A) Base RI'!A171</f>
        <v>5678</v>
      </c>
      <c r="B170" s="284" t="str">
        <f>'A) Base RI'!B171</f>
        <v>Moudon</v>
      </c>
      <c r="C170" s="95">
        <f>'B) D RI'!U171</f>
        <v>124836.852</v>
      </c>
      <c r="D170" s="398">
        <f>'E) PCS'!G176/C170</f>
        <v>19.689322414838838</v>
      </c>
      <c r="E170" s="135">
        <f>'H) Péréquation directe'!I180/C170</f>
        <v>-30.114276231658803</v>
      </c>
      <c r="F170" s="398">
        <f>+'I) Dépenses thématiques'!U170</f>
        <v>-10.695142232519608</v>
      </c>
      <c r="G170" s="135">
        <f t="shared" si="9"/>
        <v>-21.120096049339573</v>
      </c>
      <c r="H170" s="399">
        <f>G170-'C) Prél. conj.'!I170</f>
        <v>-28.612947559244677</v>
      </c>
      <c r="I170" s="403">
        <f t="shared" si="10"/>
        <v>0</v>
      </c>
      <c r="J170" s="55">
        <f t="shared" si="11"/>
        <v>0</v>
      </c>
      <c r="K170" s="399">
        <f t="shared" si="12"/>
        <v>-28.612947559244677</v>
      </c>
      <c r="L170" s="427"/>
    </row>
    <row r="171" spans="1:12" x14ac:dyDescent="0.25">
      <c r="A171" s="49">
        <f>'A) Base RI'!A172</f>
        <v>5680</v>
      </c>
      <c r="B171" s="284" t="str">
        <f>'A) Base RI'!B172</f>
        <v>Ogens</v>
      </c>
      <c r="C171" s="95">
        <f>'B) D RI'!U172</f>
        <v>8501.5391880341886</v>
      </c>
      <c r="D171" s="398">
        <f>'E) PCS'!G177/C171</f>
        <v>15.148121711333463</v>
      </c>
      <c r="E171" s="135">
        <f>'H) Péréquation directe'!I181/C171</f>
        <v>-6.1523548341890377</v>
      </c>
      <c r="F171" s="398">
        <f>+'I) Dépenses thématiques'!U171</f>
        <v>-2.1640328973209506</v>
      </c>
      <c r="G171" s="135">
        <f t="shared" si="9"/>
        <v>6.8317339798234755</v>
      </c>
      <c r="H171" s="399">
        <f>G171-'C) Prél. conj.'!I171</f>
        <v>3.8800831734237482</v>
      </c>
      <c r="I171" s="403">
        <f t="shared" si="10"/>
        <v>0</v>
      </c>
      <c r="J171" s="55">
        <f t="shared" si="11"/>
        <v>0</v>
      </c>
      <c r="K171" s="399">
        <f t="shared" si="12"/>
        <v>3.8800831734237482</v>
      </c>
      <c r="L171" s="427"/>
    </row>
    <row r="172" spans="1:12" x14ac:dyDescent="0.25">
      <c r="A172" s="49">
        <f>'A) Base RI'!A173</f>
        <v>5683</v>
      </c>
      <c r="B172" s="284" t="str">
        <f>'A) Base RI'!B173</f>
        <v>Prévonloup</v>
      </c>
      <c r="C172" s="95">
        <f>'B) D RI'!U173</f>
        <v>5386.44</v>
      </c>
      <c r="D172" s="398">
        <f>'E) PCS'!G178/C172</f>
        <v>16.177588303438128</v>
      </c>
      <c r="E172" s="135">
        <f>'H) Péréquation directe'!I182/C172</f>
        <v>-5.8786106059695165</v>
      </c>
      <c r="F172" s="398">
        <f>+'I) Dépenses thématiques'!U172</f>
        <v>0</v>
      </c>
      <c r="G172" s="135">
        <f t="shared" si="9"/>
        <v>10.298977697468612</v>
      </c>
      <c r="H172" s="399">
        <f>G172-'C) Prél. conj.'!I172</f>
        <v>6.3178602989642183</v>
      </c>
      <c r="I172" s="403">
        <f t="shared" si="10"/>
        <v>0</v>
      </c>
      <c r="J172" s="55">
        <f t="shared" si="11"/>
        <v>0</v>
      </c>
      <c r="K172" s="399">
        <f t="shared" si="12"/>
        <v>6.3178602989642183</v>
      </c>
      <c r="L172" s="427"/>
    </row>
    <row r="173" spans="1:12" x14ac:dyDescent="0.25">
      <c r="A173" s="49">
        <f>'A) Base RI'!A174</f>
        <v>5684</v>
      </c>
      <c r="B173" s="284" t="str">
        <f>'A) Base RI'!B174</f>
        <v>Rossenges</v>
      </c>
      <c r="C173" s="95">
        <f>'B) D RI'!U174</f>
        <v>3253.4816666666666</v>
      </c>
      <c r="D173" s="398">
        <f>'E) PCS'!G179/C173</f>
        <v>12.196470904933735</v>
      </c>
      <c r="E173" s="135">
        <f>'H) Péréquation directe'!I183/C173</f>
        <v>6.4801722705902884</v>
      </c>
      <c r="F173" s="398">
        <f>+'I) Dépenses thématiques'!U173</f>
        <v>0</v>
      </c>
      <c r="G173" s="135">
        <f t="shared" si="9"/>
        <v>18.676643175524024</v>
      </c>
      <c r="H173" s="399">
        <f>G173-'C) Prél. conj.'!I173</f>
        <v>18.676643175524024</v>
      </c>
      <c r="I173" s="403">
        <f t="shared" si="10"/>
        <v>0</v>
      </c>
      <c r="J173" s="55">
        <f t="shared" si="11"/>
        <v>0</v>
      </c>
      <c r="K173" s="399">
        <f t="shared" si="12"/>
        <v>18.676643175524024</v>
      </c>
      <c r="L173" s="427"/>
    </row>
    <row r="174" spans="1:12" x14ac:dyDescent="0.25">
      <c r="A174" s="49">
        <f>'A) Base RI'!A175</f>
        <v>5688</v>
      </c>
      <c r="B174" s="284" t="str">
        <f>'A) Base RI'!B175</f>
        <v>Syens</v>
      </c>
      <c r="C174" s="95">
        <f>'B) D RI'!U175</f>
        <v>6154.6576923076918</v>
      </c>
      <c r="D174" s="398">
        <f>'E) PCS'!G180/C174</f>
        <v>14.307083817855844</v>
      </c>
      <c r="E174" s="135">
        <f>'H) Péréquation directe'!I184/C174</f>
        <v>10.905911735843548</v>
      </c>
      <c r="F174" s="398">
        <f>+'I) Dépenses thématiques'!U174</f>
        <v>-3.9828471057879247</v>
      </c>
      <c r="G174" s="135">
        <f t="shared" si="9"/>
        <v>21.230148447911468</v>
      </c>
      <c r="H174" s="399">
        <f>G174-'C) Prél. conj.'!I174</f>
        <v>19.11953553498936</v>
      </c>
      <c r="I174" s="403">
        <f t="shared" si="10"/>
        <v>0</v>
      </c>
      <c r="J174" s="55">
        <f t="shared" si="11"/>
        <v>0</v>
      </c>
      <c r="K174" s="399">
        <f t="shared" si="12"/>
        <v>19.11953553498936</v>
      </c>
      <c r="L174" s="427"/>
    </row>
    <row r="175" spans="1:12" x14ac:dyDescent="0.25">
      <c r="A175" s="49">
        <f>'A) Base RI'!A176</f>
        <v>5690</v>
      </c>
      <c r="B175" s="284" t="str">
        <f>'A) Base RI'!B176</f>
        <v>Villars-le-Comte</v>
      </c>
      <c r="C175" s="95">
        <f>'B) D RI'!U176</f>
        <v>3510.0358095238093</v>
      </c>
      <c r="D175" s="398">
        <f>'E) PCS'!G181/C175</f>
        <v>14.962040980789155</v>
      </c>
      <c r="E175" s="135">
        <f>'H) Péréquation directe'!I185/C175</f>
        <v>-2.3844900593367195</v>
      </c>
      <c r="F175" s="398">
        <f>+'I) Dépenses thématiques'!U175</f>
        <v>-5.9770145609150758</v>
      </c>
      <c r="G175" s="135">
        <f t="shared" si="9"/>
        <v>6.600536360537359</v>
      </c>
      <c r="H175" s="399">
        <f>G175-'C) Prél. conj.'!I175</f>
        <v>3.8349662846819395</v>
      </c>
      <c r="I175" s="403">
        <f t="shared" si="10"/>
        <v>0</v>
      </c>
      <c r="J175" s="55">
        <f t="shared" si="11"/>
        <v>0</v>
      </c>
      <c r="K175" s="399">
        <f t="shared" si="12"/>
        <v>3.8349662846819395</v>
      </c>
      <c r="L175" s="427"/>
    </row>
    <row r="176" spans="1:12" x14ac:dyDescent="0.25">
      <c r="A176" s="49">
        <f>'A) Base RI'!A177</f>
        <v>5692</v>
      </c>
      <c r="B176" s="284" t="str">
        <f>'A) Base RI'!B177</f>
        <v>Vucherens</v>
      </c>
      <c r="C176" s="95">
        <f>'B) D RI'!U177</f>
        <v>18793.189090909087</v>
      </c>
      <c r="D176" s="398">
        <f>'E) PCS'!G182/C176</f>
        <v>17.533383629795178</v>
      </c>
      <c r="E176" s="135">
        <f>'H) Péréquation directe'!I186/C176</f>
        <v>0.21398400034141687</v>
      </c>
      <c r="F176" s="398">
        <f>+'I) Dépenses thématiques'!U176</f>
        <v>-4.2636784564311228</v>
      </c>
      <c r="G176" s="135">
        <f t="shared" si="9"/>
        <v>13.483689173705471</v>
      </c>
      <c r="H176" s="399">
        <f>G176-'C) Prél. conj.'!I176</f>
        <v>8.146776448844026</v>
      </c>
      <c r="I176" s="403">
        <f t="shared" si="10"/>
        <v>0</v>
      </c>
      <c r="J176" s="55">
        <f t="shared" si="11"/>
        <v>0</v>
      </c>
      <c r="K176" s="399">
        <f t="shared" si="12"/>
        <v>8.146776448844026</v>
      </c>
      <c r="L176" s="427"/>
    </row>
    <row r="177" spans="1:12" x14ac:dyDescent="0.25">
      <c r="A177" s="49">
        <f>'A) Base RI'!A178</f>
        <v>5693</v>
      </c>
      <c r="B177" s="284" t="str">
        <f>'A) Base RI'!B178</f>
        <v>Montanaire</v>
      </c>
      <c r="C177" s="95">
        <f>'B) D RI'!U178</f>
        <v>75692.909285714297</v>
      </c>
      <c r="D177" s="398">
        <f>'E) PCS'!G183/C177</f>
        <v>15.654264606746132</v>
      </c>
      <c r="E177" s="135">
        <f>'H) Péréquation directe'!I187/C177</f>
        <v>-6.2119593813175946</v>
      </c>
      <c r="F177" s="398">
        <f>+'I) Dépenses thématiques'!U177</f>
        <v>-6.5213785145736365</v>
      </c>
      <c r="G177" s="135">
        <f t="shared" si="9"/>
        <v>2.9209267108549009</v>
      </c>
      <c r="H177" s="399">
        <f>G177-'C) Prél. conj.'!I177</f>
        <v>-0.53686699095749635</v>
      </c>
      <c r="I177" s="403">
        <f t="shared" si="10"/>
        <v>0</v>
      </c>
      <c r="J177" s="55">
        <f t="shared" si="11"/>
        <v>0</v>
      </c>
      <c r="K177" s="399">
        <f t="shared" si="12"/>
        <v>-0.53686699095749635</v>
      </c>
      <c r="L177" s="427"/>
    </row>
    <row r="178" spans="1:12" x14ac:dyDescent="0.25">
      <c r="A178" s="49">
        <f>'A) Base RI'!A179</f>
        <v>5701</v>
      </c>
      <c r="B178" s="284" t="str">
        <f>'A) Base RI'!B179</f>
        <v>Arnex-sur-Nyon</v>
      </c>
      <c r="C178" s="95">
        <f>'B) D RI'!U179</f>
        <v>14488.714857142857</v>
      </c>
      <c r="D178" s="398">
        <f>'E) PCS'!G184/C178</f>
        <v>21.928131364197878</v>
      </c>
      <c r="E178" s="135">
        <f>'H) Péréquation directe'!I188/C178</f>
        <v>16.708338703239459</v>
      </c>
      <c r="F178" s="398">
        <f>+'I) Dépenses thématiques'!U178</f>
        <v>0</v>
      </c>
      <c r="G178" s="135">
        <f t="shared" si="9"/>
        <v>38.636470067437337</v>
      </c>
      <c r="H178" s="399">
        <f>G178-'C) Prél. conj.'!I178</f>
        <v>32.997916489324467</v>
      </c>
      <c r="I178" s="403">
        <f t="shared" si="10"/>
        <v>0</v>
      </c>
      <c r="J178" s="55">
        <f t="shared" si="11"/>
        <v>0</v>
      </c>
      <c r="K178" s="399">
        <f t="shared" si="12"/>
        <v>32.997916489324467</v>
      </c>
      <c r="L178" s="427"/>
    </row>
    <row r="179" spans="1:12" x14ac:dyDescent="0.25">
      <c r="A179" s="49">
        <f>'A) Base RI'!A180</f>
        <v>5702</v>
      </c>
      <c r="B179" s="284" t="str">
        <f>'A) Base RI'!B180</f>
        <v>Arzier-Le Muids</v>
      </c>
      <c r="C179" s="95">
        <f>'B) D RI'!U180</f>
        <v>174862.96255208339</v>
      </c>
      <c r="D179" s="398">
        <f>'E) PCS'!G185/C179</f>
        <v>19.020802063495168</v>
      </c>
      <c r="E179" s="135">
        <f>'H) Péréquation directe'!I189/C179</f>
        <v>14.051591249489036</v>
      </c>
      <c r="F179" s="398">
        <f>+'I) Dépenses thématiques'!U179</f>
        <v>-2.6780372541524118</v>
      </c>
      <c r="G179" s="135">
        <f t="shared" si="9"/>
        <v>30.394356058831793</v>
      </c>
      <c r="H179" s="399">
        <f>G179-'C) Prél. conj.'!I179</f>
        <v>26.068755891931339</v>
      </c>
      <c r="I179" s="403">
        <f t="shared" si="10"/>
        <v>0</v>
      </c>
      <c r="J179" s="55">
        <f t="shared" si="11"/>
        <v>0</v>
      </c>
      <c r="K179" s="399">
        <f t="shared" si="12"/>
        <v>26.068755891931339</v>
      </c>
      <c r="L179" s="427"/>
    </row>
    <row r="180" spans="1:12" x14ac:dyDescent="0.25">
      <c r="A180" s="49">
        <f>'A) Base RI'!A181</f>
        <v>5703</v>
      </c>
      <c r="B180" s="284" t="str">
        <f>'A) Base RI'!B181</f>
        <v>Bassins</v>
      </c>
      <c r="C180" s="95">
        <f>'B) D RI'!U181</f>
        <v>66800.247822660094</v>
      </c>
      <c r="D180" s="398">
        <f>'E) PCS'!G186/C180</f>
        <v>15.922328788885649</v>
      </c>
      <c r="E180" s="135">
        <f>'H) Péréquation directe'!I190/C180</f>
        <v>12.620889769150761</v>
      </c>
      <c r="F180" s="398">
        <f>+'I) Dépenses thématiques'!U180</f>
        <v>0</v>
      </c>
      <c r="G180" s="135">
        <f t="shared" si="9"/>
        <v>28.543218558036408</v>
      </c>
      <c r="H180" s="399">
        <f>G180-'C) Prél. conj.'!I180</f>
        <v>24.81736067408449</v>
      </c>
      <c r="I180" s="403">
        <f t="shared" si="10"/>
        <v>0</v>
      </c>
      <c r="J180" s="55">
        <f t="shared" si="11"/>
        <v>0</v>
      </c>
      <c r="K180" s="399">
        <f t="shared" si="12"/>
        <v>24.81736067408449</v>
      </c>
      <c r="L180" s="427"/>
    </row>
    <row r="181" spans="1:12" x14ac:dyDescent="0.25">
      <c r="A181" s="49">
        <f>'A) Base RI'!A182</f>
        <v>5704</v>
      </c>
      <c r="B181" s="284" t="str">
        <f>'A) Base RI'!B182</f>
        <v>Begnins</v>
      </c>
      <c r="C181" s="95">
        <f>'B) D RI'!U182</f>
        <v>202343.35360000003</v>
      </c>
      <c r="D181" s="398">
        <f>'E) PCS'!G187/C181</f>
        <v>25.590154742221127</v>
      </c>
      <c r="E181" s="135">
        <f>'H) Péréquation directe'!I191/C181</f>
        <v>16.413286233126126</v>
      </c>
      <c r="F181" s="398">
        <f>+'I) Dépenses thématiques'!U181</f>
        <v>0</v>
      </c>
      <c r="G181" s="135">
        <f t="shared" si="9"/>
        <v>42.003440975347253</v>
      </c>
      <c r="H181" s="399">
        <f>G181-'C) Prél. conj.'!I181</f>
        <v>40.422784337461025</v>
      </c>
      <c r="I181" s="403">
        <f t="shared" si="10"/>
        <v>0</v>
      </c>
      <c r="J181" s="55">
        <f t="shared" si="11"/>
        <v>0</v>
      </c>
      <c r="K181" s="399">
        <f t="shared" si="12"/>
        <v>40.422784337461025</v>
      </c>
      <c r="L181" s="427"/>
    </row>
    <row r="182" spans="1:12" x14ac:dyDescent="0.25">
      <c r="A182" s="49">
        <f>'A) Base RI'!A183</f>
        <v>5705</v>
      </c>
      <c r="B182" s="284" t="str">
        <f>'A) Base RI'!B183</f>
        <v>Bogis-Bossey</v>
      </c>
      <c r="C182" s="95">
        <f>'B) D RI'!U183</f>
        <v>51953.338389261742</v>
      </c>
      <c r="D182" s="398">
        <f>'E) PCS'!G188/C182</f>
        <v>20.338622203064872</v>
      </c>
      <c r="E182" s="135">
        <f>'H) Péréquation directe'!I192/C182</f>
        <v>16.521975216548057</v>
      </c>
      <c r="F182" s="398">
        <f>+'I) Dépenses thématiques'!U182</f>
        <v>0</v>
      </c>
      <c r="G182" s="135">
        <f t="shared" si="9"/>
        <v>36.86059741961293</v>
      </c>
      <c r="H182" s="399">
        <f>G182-'C) Prél. conj.'!I182</f>
        <v>31.351349142717602</v>
      </c>
      <c r="I182" s="403">
        <f t="shared" si="10"/>
        <v>0</v>
      </c>
      <c r="J182" s="55">
        <f t="shared" si="11"/>
        <v>0</v>
      </c>
      <c r="K182" s="399">
        <f t="shared" si="12"/>
        <v>31.351349142717602</v>
      </c>
      <c r="L182" s="427"/>
    </row>
    <row r="183" spans="1:12" x14ac:dyDescent="0.25">
      <c r="A183" s="49">
        <f>'A) Base RI'!A184</f>
        <v>5706</v>
      </c>
      <c r="B183" s="284" t="str">
        <f>'A) Base RI'!B184</f>
        <v>Borex</v>
      </c>
      <c r="C183" s="95">
        <f>'B) D RI'!U184</f>
        <v>71207.99596491229</v>
      </c>
      <c r="D183" s="398">
        <f>'E) PCS'!G189/C183</f>
        <v>17.146423618079062</v>
      </c>
      <c r="E183" s="135">
        <f>'H) Péréquation directe'!I193/C183</f>
        <v>16.092947503486538</v>
      </c>
      <c r="F183" s="398">
        <f>+'I) Dépenses thématiques'!U183</f>
        <v>0</v>
      </c>
      <c r="G183" s="135">
        <f t="shared" si="9"/>
        <v>33.239371121565597</v>
      </c>
      <c r="H183" s="399">
        <f>G183-'C) Prél. conj.'!I183</f>
        <v>30.94968380779342</v>
      </c>
      <c r="I183" s="403">
        <f t="shared" si="10"/>
        <v>0</v>
      </c>
      <c r="J183" s="55">
        <f t="shared" si="11"/>
        <v>0</v>
      </c>
      <c r="K183" s="399">
        <f t="shared" si="12"/>
        <v>30.94968380779342</v>
      </c>
      <c r="L183" s="427"/>
    </row>
    <row r="184" spans="1:12" x14ac:dyDescent="0.25">
      <c r="A184" s="49">
        <f>'A) Base RI'!A185</f>
        <v>5707</v>
      </c>
      <c r="B184" s="284" t="str">
        <f>'A) Base RI'!B185</f>
        <v>Chavannes-de-Bogis</v>
      </c>
      <c r="C184" s="95">
        <f>'B) D RI'!U185</f>
        <v>88021.415574712664</v>
      </c>
      <c r="D184" s="398">
        <f>'E) PCS'!G190/C184</f>
        <v>23.255865811537092</v>
      </c>
      <c r="E184" s="135">
        <f>'H) Péréquation directe'!I194/C184</f>
        <v>15.927416882058701</v>
      </c>
      <c r="F184" s="398">
        <f>+'I) Dépenses thématiques'!U184</f>
        <v>0</v>
      </c>
      <c r="G184" s="135">
        <f t="shared" si="9"/>
        <v>39.183282693595793</v>
      </c>
      <c r="H184" s="399">
        <f>G184-'C) Prél. conj.'!I184</f>
        <v>31.953930542812945</v>
      </c>
      <c r="I184" s="403">
        <f t="shared" si="10"/>
        <v>0</v>
      </c>
      <c r="J184" s="55">
        <f t="shared" si="11"/>
        <v>0</v>
      </c>
      <c r="K184" s="399">
        <f t="shared" si="12"/>
        <v>31.953930542812945</v>
      </c>
      <c r="L184" s="427"/>
    </row>
    <row r="185" spans="1:12" x14ac:dyDescent="0.25">
      <c r="A185" s="49">
        <f>'A) Base RI'!A186</f>
        <v>5708</v>
      </c>
      <c r="B185" s="284" t="str">
        <f>'A) Base RI'!B186</f>
        <v>Chavannes-des-Bois</v>
      </c>
      <c r="C185" s="95">
        <f>'B) D RI'!U186</f>
        <v>67001.640000000014</v>
      </c>
      <c r="D185" s="398">
        <f>'E) PCS'!G191/C185</f>
        <v>18.966736524432122</v>
      </c>
      <c r="E185" s="135">
        <f>'H) Péréquation directe'!I195/C185</f>
        <v>16.766270524216406</v>
      </c>
      <c r="F185" s="398">
        <f>+'I) Dépenses thématiques'!U185</f>
        <v>0</v>
      </c>
      <c r="G185" s="135">
        <f t="shared" si="9"/>
        <v>35.733007048648531</v>
      </c>
      <c r="H185" s="399">
        <f>G185-'C) Prél. conj.'!I185</f>
        <v>33.56930142890549</v>
      </c>
      <c r="I185" s="403">
        <f t="shared" si="10"/>
        <v>0</v>
      </c>
      <c r="J185" s="55">
        <f t="shared" si="11"/>
        <v>0</v>
      </c>
      <c r="K185" s="399">
        <f t="shared" si="12"/>
        <v>33.56930142890549</v>
      </c>
      <c r="L185" s="427"/>
    </row>
    <row r="186" spans="1:12" x14ac:dyDescent="0.25">
      <c r="A186" s="49">
        <f>'A) Base RI'!A187</f>
        <v>5709</v>
      </c>
      <c r="B186" s="284" t="str">
        <f>'A) Base RI'!B187</f>
        <v>Chéserex</v>
      </c>
      <c r="C186" s="95">
        <f>'B) D RI'!U187</f>
        <v>88342.385614035084</v>
      </c>
      <c r="D186" s="398">
        <f>'E) PCS'!G192/C186</f>
        <v>27.226318636820473</v>
      </c>
      <c r="E186" s="135">
        <f>'H) Péréquation directe'!I196/C186</f>
        <v>16.202234403517831</v>
      </c>
      <c r="F186" s="398">
        <f>+'I) Dépenses thématiques'!U186</f>
        <v>0</v>
      </c>
      <c r="G186" s="135">
        <f t="shared" si="9"/>
        <v>43.428553040338301</v>
      </c>
      <c r="H186" s="399">
        <f>G186-'C) Prél. conj.'!I186</f>
        <v>32.880538137603345</v>
      </c>
      <c r="I186" s="403">
        <f t="shared" si="10"/>
        <v>0</v>
      </c>
      <c r="J186" s="55">
        <f t="shared" si="11"/>
        <v>0</v>
      </c>
      <c r="K186" s="399">
        <f t="shared" si="12"/>
        <v>32.880538137603345</v>
      </c>
      <c r="L186" s="427"/>
    </row>
    <row r="187" spans="1:12" x14ac:dyDescent="0.25">
      <c r="A187" s="49">
        <f>'A) Base RI'!A188</f>
        <v>5710</v>
      </c>
      <c r="B187" s="284" t="str">
        <f>'A) Base RI'!B188</f>
        <v>Coinsins</v>
      </c>
      <c r="C187" s="95">
        <f>'B) D RI'!U188</f>
        <v>43412.265098039228</v>
      </c>
      <c r="D187" s="398">
        <f>'E) PCS'!G193/C187</f>
        <v>21.168719278720197</v>
      </c>
      <c r="E187" s="135">
        <f>'H) Péréquation directe'!I197/C187</f>
        <v>17.194431768175715</v>
      </c>
      <c r="F187" s="398">
        <f>+'I) Dépenses thématiques'!U187</f>
        <v>0</v>
      </c>
      <c r="G187" s="135">
        <f t="shared" si="9"/>
        <v>38.363151046895908</v>
      </c>
      <c r="H187" s="399">
        <f>G187-'C) Prél. conj.'!I187</f>
        <v>36.218506905666679</v>
      </c>
      <c r="I187" s="403">
        <f t="shared" si="10"/>
        <v>0</v>
      </c>
      <c r="J187" s="55">
        <f t="shared" si="11"/>
        <v>0</v>
      </c>
      <c r="K187" s="399">
        <f t="shared" si="12"/>
        <v>36.218506905666679</v>
      </c>
      <c r="L187" s="427"/>
    </row>
    <row r="188" spans="1:12" x14ac:dyDescent="0.25">
      <c r="A188" s="49">
        <f>'A) Base RI'!A189</f>
        <v>5711</v>
      </c>
      <c r="B188" s="284" t="str">
        <f>'A) Base RI'!B189</f>
        <v>Commugny</v>
      </c>
      <c r="C188" s="95">
        <f>'B) D RI'!U189</f>
        <v>286273.03470547468</v>
      </c>
      <c r="D188" s="398">
        <f>'E) PCS'!G194/C188</f>
        <v>25.018544045133947</v>
      </c>
      <c r="E188" s="135">
        <f>'H) Péréquation directe'!I198/C188</f>
        <v>15.776400220944774</v>
      </c>
      <c r="F188" s="398">
        <f>+'I) Dépenses thématiques'!U188</f>
        <v>0</v>
      </c>
      <c r="G188" s="135">
        <f t="shared" si="9"/>
        <v>40.794944266078723</v>
      </c>
      <c r="H188" s="399">
        <f>G188-'C) Prél. conj.'!I188</f>
        <v>36.941233153765907</v>
      </c>
      <c r="I188" s="403">
        <f t="shared" si="10"/>
        <v>0</v>
      </c>
      <c r="J188" s="55">
        <f t="shared" si="11"/>
        <v>0</v>
      </c>
      <c r="K188" s="399">
        <f t="shared" si="12"/>
        <v>36.941233153765907</v>
      </c>
      <c r="L188" s="427"/>
    </row>
    <row r="189" spans="1:12" x14ac:dyDescent="0.25">
      <c r="A189" s="49">
        <f>'A) Base RI'!A190</f>
        <v>5712</v>
      </c>
      <c r="B189" s="284" t="str">
        <f>'A) Base RI'!B190</f>
        <v>Coppet</v>
      </c>
      <c r="C189" s="95">
        <f>'B) D RI'!U190</f>
        <v>333754.3945283019</v>
      </c>
      <c r="D189" s="398">
        <f>'E) PCS'!G195/C189</f>
        <v>25.364904724021304</v>
      </c>
      <c r="E189" s="135">
        <f>'H) Péréquation directe'!I199/C189</f>
        <v>15.871840278771847</v>
      </c>
      <c r="F189" s="398">
        <f>+'I) Dépenses thématiques'!U189</f>
        <v>0</v>
      </c>
      <c r="G189" s="135">
        <f t="shared" si="9"/>
        <v>41.23674500279315</v>
      </c>
      <c r="H189" s="399">
        <f>G189-'C) Prél. conj.'!I189</f>
        <v>38.037232224813991</v>
      </c>
      <c r="I189" s="403">
        <f t="shared" si="10"/>
        <v>0</v>
      </c>
      <c r="J189" s="55">
        <f t="shared" si="11"/>
        <v>0</v>
      </c>
      <c r="K189" s="399">
        <f t="shared" si="12"/>
        <v>38.037232224813991</v>
      </c>
      <c r="L189" s="427"/>
    </row>
    <row r="190" spans="1:12" x14ac:dyDescent="0.25">
      <c r="A190" s="49">
        <f>'A) Base RI'!A191</f>
        <v>5713</v>
      </c>
      <c r="B190" s="284" t="str">
        <f>'A) Base RI'!B191</f>
        <v>Crans</v>
      </c>
      <c r="C190" s="95">
        <f>'B) D RI'!U191</f>
        <v>302504.79982142855</v>
      </c>
      <c r="D190" s="398">
        <f>'E) PCS'!G196/C190</f>
        <v>31.425986588371117</v>
      </c>
      <c r="E190" s="135">
        <f>'H) Péréquation directe'!I200/C190</f>
        <v>16.656450256313153</v>
      </c>
      <c r="F190" s="398">
        <f>+'I) Dépenses thématiques'!U190</f>
        <v>0</v>
      </c>
      <c r="G190" s="135">
        <f t="shared" si="9"/>
        <v>48.082436844684267</v>
      </c>
      <c r="H190" s="399">
        <f>G190-'C) Prél. conj.'!I190</f>
        <v>42.611100485799966</v>
      </c>
      <c r="I190" s="403">
        <f t="shared" si="10"/>
        <v>0</v>
      </c>
      <c r="J190" s="55">
        <f t="shared" si="11"/>
        <v>0</v>
      </c>
      <c r="K190" s="399">
        <f t="shared" si="12"/>
        <v>42.611100485799966</v>
      </c>
      <c r="L190" s="427"/>
    </row>
    <row r="191" spans="1:12" x14ac:dyDescent="0.25">
      <c r="A191" s="49">
        <f>'A) Base RI'!A192</f>
        <v>5714</v>
      </c>
      <c r="B191" s="284" t="str">
        <f>'A) Base RI'!B192</f>
        <v>Crassier</v>
      </c>
      <c r="C191" s="95">
        <f>'B) D RI'!U192</f>
        <v>62136.029852941167</v>
      </c>
      <c r="D191" s="398">
        <f>'E) PCS'!G197/C191</f>
        <v>18.4399948572079</v>
      </c>
      <c r="E191" s="135">
        <f>'H) Péréquation directe'!I201/C191</f>
        <v>15.364846418963404</v>
      </c>
      <c r="F191" s="398">
        <f>+'I) Dépenses thématiques'!U191</f>
        <v>0</v>
      </c>
      <c r="G191" s="135">
        <f t="shared" si="9"/>
        <v>33.804841276171302</v>
      </c>
      <c r="H191" s="399">
        <f>G191-'C) Prél. conj.'!I191</f>
        <v>28.155699452486136</v>
      </c>
      <c r="I191" s="403">
        <f t="shared" si="10"/>
        <v>0</v>
      </c>
      <c r="J191" s="55">
        <f t="shared" si="11"/>
        <v>0</v>
      </c>
      <c r="K191" s="399">
        <f t="shared" si="12"/>
        <v>28.155699452486136</v>
      </c>
      <c r="L191" s="427"/>
    </row>
    <row r="192" spans="1:12" x14ac:dyDescent="0.25">
      <c r="A192" s="49">
        <f>'A) Base RI'!A193</f>
        <v>5715</v>
      </c>
      <c r="B192" s="284" t="str">
        <f>'A) Base RI'!B193</f>
        <v>Duillier</v>
      </c>
      <c r="C192" s="95">
        <f>'B) D RI'!U193</f>
        <v>70395.129393939395</v>
      </c>
      <c r="D192" s="398">
        <f>'E) PCS'!G198/C192</f>
        <v>21.936516049029041</v>
      </c>
      <c r="E192" s="135">
        <f>'H) Péréquation directe'!I202/C192</f>
        <v>16.157648796876916</v>
      </c>
      <c r="F192" s="398">
        <f>+'I) Dépenses thématiques'!U192</f>
        <v>0</v>
      </c>
      <c r="G192" s="135">
        <f t="shared" si="9"/>
        <v>38.094164845905958</v>
      </c>
      <c r="H192" s="399">
        <f>G192-'C) Prél. conj.'!I192</f>
        <v>31.517191779927611</v>
      </c>
      <c r="I192" s="403">
        <f t="shared" si="10"/>
        <v>0</v>
      </c>
      <c r="J192" s="55">
        <f t="shared" si="11"/>
        <v>0</v>
      </c>
      <c r="K192" s="399">
        <f t="shared" si="12"/>
        <v>31.517191779927611</v>
      </c>
      <c r="L192" s="427"/>
    </row>
    <row r="193" spans="1:12" x14ac:dyDescent="0.25">
      <c r="A193" s="49">
        <f>'A) Base RI'!A194</f>
        <v>5716</v>
      </c>
      <c r="B193" s="284" t="str">
        <f>'A) Base RI'!B194</f>
        <v>Eysins</v>
      </c>
      <c r="C193" s="95">
        <f>'B) D RI'!U194</f>
        <v>203854.36605042018</v>
      </c>
      <c r="D193" s="398">
        <f>'E) PCS'!G199/C193</f>
        <v>26.612902209543453</v>
      </c>
      <c r="E193" s="135">
        <f>'H) Péréquation directe'!I203/C193</f>
        <v>16.781155204296333</v>
      </c>
      <c r="F193" s="398">
        <f>+'I) Dépenses thématiques'!U193</f>
        <v>0</v>
      </c>
      <c r="G193" s="135">
        <f t="shared" si="9"/>
        <v>43.394057413839789</v>
      </c>
      <c r="H193" s="399">
        <f>G193-'C) Prél. conj.'!I193</f>
        <v>42.300609849685742</v>
      </c>
      <c r="I193" s="403">
        <f t="shared" si="10"/>
        <v>0</v>
      </c>
      <c r="J193" s="55">
        <f t="shared" si="11"/>
        <v>0</v>
      </c>
      <c r="K193" s="399">
        <f t="shared" si="12"/>
        <v>42.300609849685742</v>
      </c>
      <c r="L193" s="427"/>
    </row>
    <row r="194" spans="1:12" x14ac:dyDescent="0.25">
      <c r="A194" s="49">
        <f>'A) Base RI'!A195</f>
        <v>5717</v>
      </c>
      <c r="B194" s="284" t="str">
        <f>'A) Base RI'!B195</f>
        <v>Founex</v>
      </c>
      <c r="C194" s="95">
        <f>'B) D RI'!U195</f>
        <v>390728.72</v>
      </c>
      <c r="D194" s="398">
        <f>'E) PCS'!G200/C194</f>
        <v>24.907570267604171</v>
      </c>
      <c r="E194" s="135">
        <f>'H) Péréquation directe'!I204/C194</f>
        <v>15.497253700126695</v>
      </c>
      <c r="F194" s="398">
        <f>+'I) Dépenses thématiques'!U194</f>
        <v>0</v>
      </c>
      <c r="G194" s="135">
        <f t="shared" si="9"/>
        <v>40.404823967730863</v>
      </c>
      <c r="H194" s="399">
        <f>G194-'C) Prél. conj.'!I194</f>
        <v>38.117729228444745</v>
      </c>
      <c r="I194" s="403">
        <f t="shared" si="10"/>
        <v>0</v>
      </c>
      <c r="J194" s="55">
        <f t="shared" si="11"/>
        <v>0</v>
      </c>
      <c r="K194" s="399">
        <f t="shared" si="12"/>
        <v>38.117729228444745</v>
      </c>
      <c r="L194" s="427"/>
    </row>
    <row r="195" spans="1:12" x14ac:dyDescent="0.25">
      <c r="A195" s="49">
        <f>'A) Base RI'!A196</f>
        <v>5718</v>
      </c>
      <c r="B195" s="284" t="str">
        <f>'A) Base RI'!B196</f>
        <v>Genolier</v>
      </c>
      <c r="C195" s="95">
        <f>'B) D RI'!U196</f>
        <v>192274.57272727272</v>
      </c>
      <c r="D195" s="398">
        <f>'E) PCS'!G201/C195</f>
        <v>24.599370082389978</v>
      </c>
      <c r="E195" s="135">
        <f>'H) Péréquation directe'!I205/C195</f>
        <v>16.148787830271075</v>
      </c>
      <c r="F195" s="398">
        <f>+'I) Dépenses thématiques'!U195</f>
        <v>0</v>
      </c>
      <c r="G195" s="135">
        <f t="shared" si="9"/>
        <v>40.748157912661057</v>
      </c>
      <c r="H195" s="399">
        <f>G195-'C) Prél. conj.'!I195</f>
        <v>37.191282319079285</v>
      </c>
      <c r="I195" s="403">
        <f t="shared" si="10"/>
        <v>0</v>
      </c>
      <c r="J195" s="55">
        <f t="shared" si="11"/>
        <v>0</v>
      </c>
      <c r="K195" s="399">
        <f t="shared" si="12"/>
        <v>37.191282319079285</v>
      </c>
      <c r="L195" s="427"/>
    </row>
    <row r="196" spans="1:12" x14ac:dyDescent="0.25">
      <c r="A196" s="49">
        <f>'A) Base RI'!A197</f>
        <v>5719</v>
      </c>
      <c r="B196" s="284" t="str">
        <f>'A) Base RI'!B197</f>
        <v>Gingins</v>
      </c>
      <c r="C196" s="95">
        <f>'B) D RI'!U197</f>
        <v>151294.23883333337</v>
      </c>
      <c r="D196" s="398">
        <f>'E) PCS'!G202/C196</f>
        <v>28.586732018551697</v>
      </c>
      <c r="E196" s="135">
        <f>'H) Péréquation directe'!I206/C196</f>
        <v>17.217856349942622</v>
      </c>
      <c r="F196" s="398">
        <f>+'I) Dépenses thématiques'!U196</f>
        <v>0</v>
      </c>
      <c r="G196" s="135">
        <f t="shared" si="9"/>
        <v>45.804588368494322</v>
      </c>
      <c r="H196" s="399">
        <f>G196-'C) Prél. conj.'!I196</f>
        <v>43.150176058436685</v>
      </c>
      <c r="I196" s="403">
        <f t="shared" si="10"/>
        <v>0</v>
      </c>
      <c r="J196" s="55">
        <f t="shared" si="11"/>
        <v>0</v>
      </c>
      <c r="K196" s="399">
        <f t="shared" si="12"/>
        <v>43.150176058436685</v>
      </c>
      <c r="L196" s="427"/>
    </row>
    <row r="197" spans="1:12" x14ac:dyDescent="0.25">
      <c r="A197" s="49">
        <f>'A) Base RI'!A198</f>
        <v>5720</v>
      </c>
      <c r="B197" s="284" t="str">
        <f>'A) Base RI'!B198</f>
        <v>Givrins</v>
      </c>
      <c r="C197" s="95">
        <f>'B) D RI'!U198</f>
        <v>74789.829883913771</v>
      </c>
      <c r="D197" s="398">
        <f>'E) PCS'!G203/C197</f>
        <v>22.046367805768394</v>
      </c>
      <c r="E197" s="135">
        <f>'H) Péréquation directe'!I207/C197</f>
        <v>16.939517929487792</v>
      </c>
      <c r="F197" s="398">
        <f>+'I) Dépenses thématiques'!U197</f>
        <v>-0.61234766355465442</v>
      </c>
      <c r="G197" s="135">
        <f t="shared" si="9"/>
        <v>38.373538071701539</v>
      </c>
      <c r="H197" s="399">
        <f>G197-'C) Prél. conj.'!I197</f>
        <v>34.746326251310059</v>
      </c>
      <c r="I197" s="403">
        <f t="shared" si="10"/>
        <v>0</v>
      </c>
      <c r="J197" s="55">
        <f t="shared" si="11"/>
        <v>0</v>
      </c>
      <c r="K197" s="399">
        <f t="shared" si="12"/>
        <v>34.746326251310059</v>
      </c>
      <c r="L197" s="427"/>
    </row>
    <row r="198" spans="1:12" x14ac:dyDescent="0.25">
      <c r="A198" s="49">
        <f>'A) Base RI'!A199</f>
        <v>5721</v>
      </c>
      <c r="B198" s="284" t="str">
        <f>'A) Base RI'!B199</f>
        <v>Gland</v>
      </c>
      <c r="C198" s="95">
        <f>'B) D RI'!U199</f>
        <v>723023.81196721317</v>
      </c>
      <c r="D198" s="398">
        <f>'E) PCS'!G204/C198</f>
        <v>17.025693261814187</v>
      </c>
      <c r="E198" s="135">
        <f>'H) Péréquation directe'!I208/C198</f>
        <v>7.5000252022708649</v>
      </c>
      <c r="F198" s="398">
        <f>+'I) Dépenses thématiques'!U198</f>
        <v>0</v>
      </c>
      <c r="G198" s="135">
        <f t="shared" si="9"/>
        <v>24.525718464085053</v>
      </c>
      <c r="H198" s="399">
        <f>G198-'C) Prél. conj.'!I198</f>
        <v>21.032440887060336</v>
      </c>
      <c r="I198" s="403">
        <f t="shared" si="10"/>
        <v>0</v>
      </c>
      <c r="J198" s="55">
        <f t="shared" si="11"/>
        <v>0</v>
      </c>
      <c r="K198" s="399">
        <f t="shared" si="12"/>
        <v>21.032440887060336</v>
      </c>
      <c r="L198" s="427"/>
    </row>
    <row r="199" spans="1:12" x14ac:dyDescent="0.25">
      <c r="A199" s="49">
        <f>'A) Base RI'!A200</f>
        <v>5722</v>
      </c>
      <c r="B199" s="284" t="str">
        <f>'A) Base RI'!B200</f>
        <v>Grens</v>
      </c>
      <c r="C199" s="95">
        <f>'B) D RI'!U200</f>
        <v>22316.761129032264</v>
      </c>
      <c r="D199" s="398">
        <f>'E) PCS'!G205/C199</f>
        <v>14.36967760904791</v>
      </c>
      <c r="E199" s="135">
        <f>'H) Péréquation directe'!I209/C199</f>
        <v>16.412658534644123</v>
      </c>
      <c r="F199" s="398">
        <f>+'I) Dépenses thématiques'!U199</f>
        <v>0</v>
      </c>
      <c r="G199" s="135">
        <f t="shared" ref="G199:G262" si="13">SUM(D199:F199)</f>
        <v>30.782336143692035</v>
      </c>
      <c r="H199" s="399">
        <f>G199-'C) Prél. conj.'!I199</f>
        <v>30.227805182480971</v>
      </c>
      <c r="I199" s="403">
        <f t="shared" ref="I199:I262" si="14">IF(H199&gt;I$5,I$5-H199,0)</f>
        <v>0</v>
      </c>
      <c r="J199" s="55">
        <f t="shared" ref="J199:J262" si="15">I199*C199</f>
        <v>0</v>
      </c>
      <c r="K199" s="399">
        <f t="shared" ref="K199:K262" si="16">H199+I199</f>
        <v>30.227805182480971</v>
      </c>
      <c r="L199" s="427"/>
    </row>
    <row r="200" spans="1:12" x14ac:dyDescent="0.25">
      <c r="A200" s="49">
        <f>'A) Base RI'!A201</f>
        <v>5723</v>
      </c>
      <c r="B200" s="284" t="str">
        <f>'A) Base RI'!B201</f>
        <v>Mies</v>
      </c>
      <c r="C200" s="95">
        <f>'B) D RI'!U201</f>
        <v>245974.84538461536</v>
      </c>
      <c r="D200" s="398">
        <f>'E) PCS'!G206/C200</f>
        <v>29.960477002200935</v>
      </c>
      <c r="E200" s="135">
        <f>'H) Péréquation directe'!I210/C200</f>
        <v>16.450093548656554</v>
      </c>
      <c r="F200" s="398">
        <f>+'I) Dépenses thématiques'!U200</f>
        <v>0</v>
      </c>
      <c r="G200" s="135">
        <f t="shared" si="13"/>
        <v>46.410570550857486</v>
      </c>
      <c r="H200" s="399">
        <f>G200-'C) Prél. conj.'!I200</f>
        <v>39.602707688370096</v>
      </c>
      <c r="I200" s="403">
        <f t="shared" si="14"/>
        <v>0</v>
      </c>
      <c r="J200" s="55">
        <f t="shared" si="15"/>
        <v>0</v>
      </c>
      <c r="K200" s="399">
        <f t="shared" si="16"/>
        <v>39.602707688370096</v>
      </c>
      <c r="L200" s="427"/>
    </row>
    <row r="201" spans="1:12" x14ac:dyDescent="0.25">
      <c r="A201" s="49">
        <f>'A) Base RI'!A202</f>
        <v>5724</v>
      </c>
      <c r="B201" s="284" t="str">
        <f>'A) Base RI'!B202</f>
        <v>Nyon</v>
      </c>
      <c r="C201" s="95">
        <f>'B) D RI'!U202</f>
        <v>1461873.0345355188</v>
      </c>
      <c r="D201" s="398">
        <f>'E) PCS'!G207/C201</f>
        <v>20.84221543559395</v>
      </c>
      <c r="E201" s="135">
        <f>'H) Péréquation directe'!I211/C201</f>
        <v>6.8744709692411172</v>
      </c>
      <c r="F201" s="398">
        <f>+'I) Dépenses thématiques'!U201</f>
        <v>-0.55532510252836353</v>
      </c>
      <c r="G201" s="135">
        <f t="shared" si="13"/>
        <v>27.161361302306702</v>
      </c>
      <c r="H201" s="399">
        <f>G201-'C) Prél. conj.'!I201</f>
        <v>22.521049165243898</v>
      </c>
      <c r="I201" s="403">
        <f t="shared" si="14"/>
        <v>0</v>
      </c>
      <c r="J201" s="55">
        <f t="shared" si="15"/>
        <v>0</v>
      </c>
      <c r="K201" s="399">
        <f t="shared" si="16"/>
        <v>22.521049165243898</v>
      </c>
      <c r="L201" s="427"/>
    </row>
    <row r="202" spans="1:12" x14ac:dyDescent="0.25">
      <c r="A202" s="49">
        <f>'A) Base RI'!A203</f>
        <v>5725</v>
      </c>
      <c r="B202" s="284" t="str">
        <f>'A) Base RI'!B203</f>
        <v>Prangins</v>
      </c>
      <c r="C202" s="95">
        <f>'B) D RI'!U203</f>
        <v>355082.58820779232</v>
      </c>
      <c r="D202" s="398">
        <f>'E) PCS'!G208/C202</f>
        <v>22.851500087777531</v>
      </c>
      <c r="E202" s="135">
        <f>'H) Péréquation directe'!I212/C202</f>
        <v>14.845873391806668</v>
      </c>
      <c r="F202" s="398">
        <f>+'I) Dépenses thématiques'!U202</f>
        <v>0</v>
      </c>
      <c r="G202" s="135">
        <f t="shared" si="13"/>
        <v>37.697373479584201</v>
      </c>
      <c r="H202" s="399">
        <f>G202-'C) Prél. conj.'!I202</f>
        <v>34.740421829830062</v>
      </c>
      <c r="I202" s="403">
        <f t="shared" si="14"/>
        <v>0</v>
      </c>
      <c r="J202" s="55">
        <f t="shared" si="15"/>
        <v>0</v>
      </c>
      <c r="K202" s="399">
        <f t="shared" si="16"/>
        <v>34.740421829830062</v>
      </c>
      <c r="L202" s="427"/>
    </row>
    <row r="203" spans="1:12" x14ac:dyDescent="0.25">
      <c r="A203" s="49">
        <f>'A) Base RI'!A204</f>
        <v>5726</v>
      </c>
      <c r="B203" s="284" t="str">
        <f>'A) Base RI'!B204</f>
        <v>La Rippe</v>
      </c>
      <c r="C203" s="95">
        <f>'B) D RI'!U204</f>
        <v>70366.469687500008</v>
      </c>
      <c r="D203" s="398">
        <f>'E) PCS'!G209/C203</f>
        <v>18.496481475649436</v>
      </c>
      <c r="E203" s="135">
        <f>'H) Péréquation directe'!I213/C203</f>
        <v>16.062316880570744</v>
      </c>
      <c r="F203" s="398">
        <f>+'I) Dépenses thématiques'!U203</f>
        <v>0</v>
      </c>
      <c r="G203" s="135">
        <f t="shared" si="13"/>
        <v>34.55879835622018</v>
      </c>
      <c r="H203" s="399">
        <f>G203-'C) Prél. conj.'!I203</f>
        <v>31.051857605946378</v>
      </c>
      <c r="I203" s="403">
        <f t="shared" si="14"/>
        <v>0</v>
      </c>
      <c r="J203" s="55">
        <f t="shared" si="15"/>
        <v>0</v>
      </c>
      <c r="K203" s="399">
        <f t="shared" si="16"/>
        <v>31.051857605946378</v>
      </c>
      <c r="L203" s="427"/>
    </row>
    <row r="204" spans="1:12" x14ac:dyDescent="0.25">
      <c r="A204" s="49">
        <f>'A) Base RI'!A205</f>
        <v>5727</v>
      </c>
      <c r="B204" s="284" t="str">
        <f>'A) Base RI'!B205</f>
        <v>Saint-Cergue</v>
      </c>
      <c r="C204" s="95">
        <f>'B) D RI'!U205</f>
        <v>106173.30404040407</v>
      </c>
      <c r="D204" s="398">
        <f>'E) PCS'!G210/C204</f>
        <v>19.133812797578454</v>
      </c>
      <c r="E204" s="135">
        <f>'H) Péréquation directe'!I214/C204</f>
        <v>7.259041162721064</v>
      </c>
      <c r="F204" s="398">
        <f>+'I) Dépenses thématiques'!U204</f>
        <v>-4.4393593284796378</v>
      </c>
      <c r="G204" s="135">
        <f t="shared" si="13"/>
        <v>21.953494631819879</v>
      </c>
      <c r="H204" s="399">
        <f>G204-'C) Prél. conj.'!I204</f>
        <v>15.016152739175158</v>
      </c>
      <c r="I204" s="403">
        <f t="shared" si="14"/>
        <v>0</v>
      </c>
      <c r="J204" s="55">
        <f t="shared" si="15"/>
        <v>0</v>
      </c>
      <c r="K204" s="399">
        <f t="shared" si="16"/>
        <v>15.016152739175158</v>
      </c>
      <c r="L204" s="427"/>
    </row>
    <row r="205" spans="1:12" x14ac:dyDescent="0.25">
      <c r="A205" s="49">
        <f>'A) Base RI'!A206</f>
        <v>5728</v>
      </c>
      <c r="B205" s="284" t="str">
        <f>'A) Base RI'!B206</f>
        <v>Signy-Avenex</v>
      </c>
      <c r="C205" s="95">
        <f>'B) D RI'!U206</f>
        <v>56477.02620689656</v>
      </c>
      <c r="D205" s="398">
        <f>'E) PCS'!G211/C205</f>
        <v>24.886116032299959</v>
      </c>
      <c r="E205" s="135">
        <f>'H) Péréquation directe'!I215/C205</f>
        <v>17.364248688507427</v>
      </c>
      <c r="F205" s="398">
        <f>+'I) Dépenses thématiques'!U205</f>
        <v>0</v>
      </c>
      <c r="G205" s="135">
        <f t="shared" si="13"/>
        <v>42.250364720807383</v>
      </c>
      <c r="H205" s="399">
        <f>G205-'C) Prél. conj.'!I205</f>
        <v>39.121042377372476</v>
      </c>
      <c r="I205" s="403">
        <f t="shared" si="14"/>
        <v>0</v>
      </c>
      <c r="J205" s="55">
        <f t="shared" si="15"/>
        <v>0</v>
      </c>
      <c r="K205" s="399">
        <f t="shared" si="16"/>
        <v>39.121042377372476</v>
      </c>
      <c r="L205" s="427"/>
    </row>
    <row r="206" spans="1:12" x14ac:dyDescent="0.25">
      <c r="A206" s="49">
        <f>'A) Base RI'!A207</f>
        <v>5729</v>
      </c>
      <c r="B206" s="284" t="str">
        <f>'A) Base RI'!B207</f>
        <v>Tannay</v>
      </c>
      <c r="C206" s="95">
        <f>'B) D RI'!U207</f>
        <v>161688.04044077132</v>
      </c>
      <c r="D206" s="398">
        <f>'E) PCS'!G212/C206</f>
        <v>26.412829285930666</v>
      </c>
      <c r="E206" s="135">
        <f>'H) Péréquation directe'!I216/C206</f>
        <v>16.491433205398746</v>
      </c>
      <c r="F206" s="398">
        <f>+'I) Dépenses thématiques'!U206</f>
        <v>0</v>
      </c>
      <c r="G206" s="135">
        <f t="shared" si="13"/>
        <v>42.904262491329412</v>
      </c>
      <c r="H206" s="399">
        <f>G206-'C) Prél. conj.'!I206</f>
        <v>38.994866513266651</v>
      </c>
      <c r="I206" s="403">
        <f t="shared" si="14"/>
        <v>0</v>
      </c>
      <c r="J206" s="55">
        <f t="shared" si="15"/>
        <v>0</v>
      </c>
      <c r="K206" s="399">
        <f t="shared" si="16"/>
        <v>38.994866513266651</v>
      </c>
      <c r="L206" s="427"/>
    </row>
    <row r="207" spans="1:12" x14ac:dyDescent="0.25">
      <c r="A207" s="49">
        <f>'A) Base RI'!A208</f>
        <v>5730</v>
      </c>
      <c r="B207" s="284" t="str">
        <f>'A) Base RI'!B208</f>
        <v>Trélex</v>
      </c>
      <c r="C207" s="95">
        <f>'B) D RI'!U208</f>
        <v>125085.64878878882</v>
      </c>
      <c r="D207" s="398">
        <f>'E) PCS'!G213/C207</f>
        <v>26.129785361070077</v>
      </c>
      <c r="E207" s="135">
        <f>'H) Péréquation directe'!I217/C207</f>
        <v>16.431017557217519</v>
      </c>
      <c r="F207" s="398">
        <f>+'I) Dépenses thématiques'!U207</f>
        <v>0</v>
      </c>
      <c r="G207" s="135">
        <f t="shared" si="13"/>
        <v>42.560802918287592</v>
      </c>
      <c r="H207" s="399">
        <f>G207-'C) Prél. conj.'!I207</f>
        <v>36.306995366624541</v>
      </c>
      <c r="I207" s="403">
        <f t="shared" si="14"/>
        <v>0</v>
      </c>
      <c r="J207" s="55">
        <f t="shared" si="15"/>
        <v>0</v>
      </c>
      <c r="K207" s="399">
        <f t="shared" si="16"/>
        <v>36.306995366624541</v>
      </c>
      <c r="L207" s="427"/>
    </row>
    <row r="208" spans="1:12" x14ac:dyDescent="0.25">
      <c r="A208" s="49">
        <f>'A) Base RI'!A209</f>
        <v>5731</v>
      </c>
      <c r="B208" s="284" t="str">
        <f>'A) Base RI'!B209</f>
        <v>Le Vaud</v>
      </c>
      <c r="C208" s="95">
        <f>'B) D RI'!U209</f>
        <v>69596.613288288281</v>
      </c>
      <c r="D208" s="398">
        <f>'E) PCS'!G214/C208</f>
        <v>14.672728938158514</v>
      </c>
      <c r="E208" s="135">
        <f>'H) Péréquation directe'!I218/C208</f>
        <v>14.919458875003484</v>
      </c>
      <c r="F208" s="398">
        <f>+'I) Dépenses thématiques'!U208</f>
        <v>-2.2229432289962419</v>
      </c>
      <c r="G208" s="135">
        <f t="shared" si="13"/>
        <v>27.369244584165756</v>
      </c>
      <c r="H208" s="399">
        <f>G208-'C) Prél. conj.'!I208</f>
        <v>25.420906100534133</v>
      </c>
      <c r="I208" s="403">
        <f t="shared" si="14"/>
        <v>0</v>
      </c>
      <c r="J208" s="55">
        <f t="shared" si="15"/>
        <v>0</v>
      </c>
      <c r="K208" s="399">
        <f t="shared" si="16"/>
        <v>25.420906100534133</v>
      </c>
      <c r="L208" s="427"/>
    </row>
    <row r="209" spans="1:12" x14ac:dyDescent="0.25">
      <c r="A209" s="49">
        <f>'A) Base RI'!A210</f>
        <v>5732</v>
      </c>
      <c r="B209" s="284" t="str">
        <f>'A) Base RI'!B210</f>
        <v>Vich</v>
      </c>
      <c r="C209" s="95">
        <f>'B) D RI'!U210</f>
        <v>86538.031587301579</v>
      </c>
      <c r="D209" s="398">
        <f>'E) PCS'!G215/C209</f>
        <v>19.768024359808113</v>
      </c>
      <c r="E209" s="135">
        <f>'H) Péréquation directe'!I219/C209</f>
        <v>16.578960351558081</v>
      </c>
      <c r="F209" s="398">
        <f>+'I) Dépenses thématiques'!U209</f>
        <v>0</v>
      </c>
      <c r="G209" s="135">
        <f t="shared" si="13"/>
        <v>36.34698471136619</v>
      </c>
      <c r="H209" s="399">
        <f>G209-'C) Prél. conj.'!I209</f>
        <v>34.819557375944846</v>
      </c>
      <c r="I209" s="403">
        <f t="shared" si="14"/>
        <v>0</v>
      </c>
      <c r="J209" s="55">
        <f t="shared" si="15"/>
        <v>0</v>
      </c>
      <c r="K209" s="399">
        <f t="shared" si="16"/>
        <v>34.819557375944846</v>
      </c>
      <c r="L209" s="427"/>
    </row>
    <row r="210" spans="1:12" x14ac:dyDescent="0.25">
      <c r="A210" s="49">
        <f>'A) Base RI'!A211</f>
        <v>5741</v>
      </c>
      <c r="B210" s="284" t="str">
        <f>'A) Base RI'!B211</f>
        <v>L'Abergement</v>
      </c>
      <c r="C210" s="95">
        <f>'B) D RI'!U211</f>
        <v>8987.3782921810707</v>
      </c>
      <c r="D210" s="398">
        <f>'E) PCS'!G216/C210</f>
        <v>15.682798505860397</v>
      </c>
      <c r="E210" s="135">
        <f>'H) Péréquation directe'!I220/C210</f>
        <v>5.4975017759666835</v>
      </c>
      <c r="F210" s="398">
        <f>+'I) Dépenses thématiques'!U210</f>
        <v>-12.099851924825025</v>
      </c>
      <c r="G210" s="135">
        <f t="shared" si="13"/>
        <v>9.0804483570020551</v>
      </c>
      <c r="H210" s="399">
        <f>G210-'C) Prél. conj.'!I210</f>
        <v>5.5941207560753927</v>
      </c>
      <c r="I210" s="403">
        <f t="shared" si="14"/>
        <v>0</v>
      </c>
      <c r="J210" s="55">
        <f t="shared" si="15"/>
        <v>0</v>
      </c>
      <c r="K210" s="399">
        <f t="shared" si="16"/>
        <v>5.5941207560753927</v>
      </c>
      <c r="L210" s="427"/>
    </row>
    <row r="211" spans="1:12" x14ac:dyDescent="0.25">
      <c r="A211" s="49">
        <f>'A) Base RI'!A212</f>
        <v>5742</v>
      </c>
      <c r="B211" s="284" t="str">
        <f>'A) Base RI'!B212</f>
        <v>Agiez</v>
      </c>
      <c r="C211" s="95">
        <f>'B) D RI'!U212</f>
        <v>10160.069605263159</v>
      </c>
      <c r="D211" s="398">
        <f>'E) PCS'!G217/C211</f>
        <v>12.41906386815797</v>
      </c>
      <c r="E211" s="135">
        <f>'H) Péréquation directe'!I221/C211</f>
        <v>-4.0817603053606177</v>
      </c>
      <c r="F211" s="398">
        <f>+'I) Dépenses thématiques'!U211</f>
        <v>-5.1061195621730144</v>
      </c>
      <c r="G211" s="135">
        <f t="shared" si="13"/>
        <v>3.2311840006243377</v>
      </c>
      <c r="H211" s="399">
        <f>G211-'C) Prél. conj.'!I211</f>
        <v>3.0085910374001039</v>
      </c>
      <c r="I211" s="403">
        <f t="shared" si="14"/>
        <v>0</v>
      </c>
      <c r="J211" s="55">
        <f t="shared" si="15"/>
        <v>0</v>
      </c>
      <c r="K211" s="399">
        <f t="shared" si="16"/>
        <v>3.0085910374001039</v>
      </c>
      <c r="L211" s="427"/>
    </row>
    <row r="212" spans="1:12" x14ac:dyDescent="0.25">
      <c r="A212" s="49">
        <f>'A) Base RI'!A213</f>
        <v>5743</v>
      </c>
      <c r="B212" s="284" t="str">
        <f>'A) Base RI'!B213</f>
        <v>Arnex-sur-Orbe</v>
      </c>
      <c r="C212" s="95">
        <f>'B) D RI'!U213</f>
        <v>18533.117816901413</v>
      </c>
      <c r="D212" s="398">
        <f>'E) PCS'!G218/C212</f>
        <v>14.743239908741394</v>
      </c>
      <c r="E212" s="135">
        <f>'H) Péréquation directe'!I222/C212</f>
        <v>-0.64531688631935225</v>
      </c>
      <c r="F212" s="398">
        <f>+'I) Dépenses thématiques'!U212</f>
        <v>-5.4204610412058178</v>
      </c>
      <c r="G212" s="135">
        <f t="shared" si="13"/>
        <v>8.6774619812162257</v>
      </c>
      <c r="H212" s="399">
        <f>G212-'C) Prél. conj.'!I212</f>
        <v>6.1306929774085663</v>
      </c>
      <c r="I212" s="403">
        <f t="shared" si="14"/>
        <v>0</v>
      </c>
      <c r="J212" s="55">
        <f t="shared" si="15"/>
        <v>0</v>
      </c>
      <c r="K212" s="399">
        <f t="shared" si="16"/>
        <v>6.1306929774085663</v>
      </c>
      <c r="L212" s="427"/>
    </row>
    <row r="213" spans="1:12" x14ac:dyDescent="0.25">
      <c r="A213" s="49">
        <f>'A) Base RI'!A214</f>
        <v>5744</v>
      </c>
      <c r="B213" s="284" t="str">
        <f>'A) Base RI'!B214</f>
        <v>Ballaigues</v>
      </c>
      <c r="C213" s="95">
        <f>'B) D RI'!U214</f>
        <v>49245.2596923077</v>
      </c>
      <c r="D213" s="398">
        <f>'E) PCS'!G219/C213</f>
        <v>24.295674030733689</v>
      </c>
      <c r="E213" s="135">
        <f>'H) Péréquation directe'!I223/C213</f>
        <v>12.319191416292639</v>
      </c>
      <c r="F213" s="398">
        <f>+'I) Dépenses thématiques'!U213</f>
        <v>-8.0331843013656954</v>
      </c>
      <c r="G213" s="135">
        <f t="shared" si="13"/>
        <v>28.581681145660639</v>
      </c>
      <c r="H213" s="399">
        <f>G213-'C) Prél. conj.'!I213</f>
        <v>16.482478019860679</v>
      </c>
      <c r="I213" s="403">
        <f t="shared" si="14"/>
        <v>0</v>
      </c>
      <c r="J213" s="55">
        <f t="shared" si="15"/>
        <v>0</v>
      </c>
      <c r="K213" s="399">
        <f t="shared" si="16"/>
        <v>16.482478019860679</v>
      </c>
      <c r="L213" s="427"/>
    </row>
    <row r="214" spans="1:12" x14ac:dyDescent="0.25">
      <c r="A214" s="49">
        <f>'A) Base RI'!A215</f>
        <v>5745</v>
      </c>
      <c r="B214" s="284" t="str">
        <f>'A) Base RI'!B215</f>
        <v>Baulmes</v>
      </c>
      <c r="C214" s="95">
        <f>'B) D RI'!U215</f>
        <v>28471.572156862745</v>
      </c>
      <c r="D214" s="398">
        <f>'E) PCS'!G220/C214</f>
        <v>18.168903128315989</v>
      </c>
      <c r="E214" s="135">
        <f>'H) Péréquation directe'!I224/C214</f>
        <v>-8.6288363025908268</v>
      </c>
      <c r="F214" s="398">
        <f>+'I) Dépenses thématiques'!U214</f>
        <v>-15.346724990592268</v>
      </c>
      <c r="G214" s="135">
        <f t="shared" si="13"/>
        <v>-5.8066581648671054</v>
      </c>
      <c r="H214" s="399">
        <f>G214-'C) Prél. conj.'!I214</f>
        <v>-11.779090388249358</v>
      </c>
      <c r="I214" s="403">
        <f t="shared" si="14"/>
        <v>0</v>
      </c>
      <c r="J214" s="55">
        <f t="shared" si="15"/>
        <v>0</v>
      </c>
      <c r="K214" s="399">
        <f t="shared" si="16"/>
        <v>-11.779090388249358</v>
      </c>
      <c r="L214" s="427"/>
    </row>
    <row r="215" spans="1:12" x14ac:dyDescent="0.25">
      <c r="A215" s="49">
        <f>'A) Base RI'!A216</f>
        <v>5746</v>
      </c>
      <c r="B215" s="284" t="str">
        <f>'A) Base RI'!B216</f>
        <v>Bavois</v>
      </c>
      <c r="C215" s="95">
        <f>'B) D RI'!U216</f>
        <v>27408.124908675796</v>
      </c>
      <c r="D215" s="398">
        <f>'E) PCS'!G221/C215</f>
        <v>18.396670501448575</v>
      </c>
      <c r="E215" s="135">
        <f>'H) Péréquation directe'!I225/C215</f>
        <v>-1.2625820247999104</v>
      </c>
      <c r="F215" s="398">
        <f>+'I) Dépenses thématiques'!U215</f>
        <v>-6.9533088272708827</v>
      </c>
      <c r="G215" s="135">
        <f t="shared" si="13"/>
        <v>10.180779649377781</v>
      </c>
      <c r="H215" s="399">
        <f>G215-'C) Prél. conj.'!I215</f>
        <v>3.9805800528629414</v>
      </c>
      <c r="I215" s="403">
        <f t="shared" si="14"/>
        <v>0</v>
      </c>
      <c r="J215" s="55">
        <f t="shared" si="15"/>
        <v>0</v>
      </c>
      <c r="K215" s="399">
        <f t="shared" si="16"/>
        <v>3.9805800528629414</v>
      </c>
      <c r="L215" s="427"/>
    </row>
    <row r="216" spans="1:12" x14ac:dyDescent="0.25">
      <c r="A216" s="49">
        <f>'A) Base RI'!A217</f>
        <v>5747</v>
      </c>
      <c r="B216" s="284" t="str">
        <f>'A) Base RI'!B217</f>
        <v>Bofflens</v>
      </c>
      <c r="C216" s="95">
        <f>'B) D RI'!U217</f>
        <v>5808.1759420289845</v>
      </c>
      <c r="D216" s="398">
        <f>'E) PCS'!G222/C216</f>
        <v>12.227595995117701</v>
      </c>
      <c r="E216" s="135">
        <f>'H) Péréquation directe'!I226/C216</f>
        <v>0.61110142921959199</v>
      </c>
      <c r="F216" s="398">
        <f>+'I) Dépenses thématiques'!U216</f>
        <v>-4.0367569064437774</v>
      </c>
      <c r="G216" s="135">
        <f t="shared" si="13"/>
        <v>8.8019405178935166</v>
      </c>
      <c r="H216" s="399">
        <f>G216-'C) Prél. conj.'!I216</f>
        <v>8.7708154277095502</v>
      </c>
      <c r="I216" s="403">
        <f t="shared" si="14"/>
        <v>0</v>
      </c>
      <c r="J216" s="55">
        <f t="shared" si="15"/>
        <v>0</v>
      </c>
      <c r="K216" s="399">
        <f t="shared" si="16"/>
        <v>8.7708154277095502</v>
      </c>
      <c r="L216" s="427"/>
    </row>
    <row r="217" spans="1:12" x14ac:dyDescent="0.25">
      <c r="A217" s="49">
        <f>'A) Base RI'!A218</f>
        <v>5748</v>
      </c>
      <c r="B217" s="284" t="str">
        <f>'A) Base RI'!B218</f>
        <v>Bretonnières</v>
      </c>
      <c r="C217" s="95">
        <f>'B) D RI'!U218</f>
        <v>6643.6153664302601</v>
      </c>
      <c r="D217" s="398">
        <f>'E) PCS'!G223/C217</f>
        <v>14.738333891964814</v>
      </c>
      <c r="E217" s="135">
        <f>'H) Péréquation directe'!I227/C217</f>
        <v>-4.9485994458961757</v>
      </c>
      <c r="F217" s="398">
        <f>+'I) Dépenses thématiques'!U217</f>
        <v>-8.6772118224529056</v>
      </c>
      <c r="G217" s="135">
        <f t="shared" si="13"/>
        <v>1.1125226236157335</v>
      </c>
      <c r="H217" s="399">
        <f>G217-'C) Prél. conj.'!I217</f>
        <v>-1.4293403634153456</v>
      </c>
      <c r="I217" s="403">
        <f t="shared" si="14"/>
        <v>0</v>
      </c>
      <c r="J217" s="55">
        <f t="shared" si="15"/>
        <v>0</v>
      </c>
      <c r="K217" s="399">
        <f t="shared" si="16"/>
        <v>-1.4293403634153456</v>
      </c>
      <c r="L217" s="427"/>
    </row>
    <row r="218" spans="1:12" x14ac:dyDescent="0.25">
      <c r="A218" s="49">
        <f>'A) Base RI'!A219</f>
        <v>5749</v>
      </c>
      <c r="B218" s="284" t="str">
        <f>'A) Base RI'!B219</f>
        <v>Chavornay</v>
      </c>
      <c r="C218" s="95">
        <f>'B) D RI'!U219</f>
        <v>153338.61687943264</v>
      </c>
      <c r="D218" s="398">
        <f>'E) PCS'!G224/C218</f>
        <v>15.300768143862642</v>
      </c>
      <c r="E218" s="135">
        <f>'H) Péréquation directe'!I228/C218</f>
        <v>-8.4158719595650382</v>
      </c>
      <c r="F218" s="398">
        <f>+'I) Dépenses thématiques'!U218</f>
        <v>-4.1337896412762731</v>
      </c>
      <c r="G218" s="135">
        <f t="shared" si="13"/>
        <v>2.7511065430213311</v>
      </c>
      <c r="H218" s="399">
        <f>G218-'C) Prél. conj.'!I218</f>
        <v>-0.35319069590757479</v>
      </c>
      <c r="I218" s="403">
        <f t="shared" si="14"/>
        <v>0</v>
      </c>
      <c r="J218" s="55">
        <f t="shared" si="15"/>
        <v>0</v>
      </c>
      <c r="K218" s="399">
        <f t="shared" si="16"/>
        <v>-0.35319069590757479</v>
      </c>
      <c r="L218" s="427"/>
    </row>
    <row r="219" spans="1:12" x14ac:dyDescent="0.25">
      <c r="A219" s="49">
        <f>'A) Base RI'!A220</f>
        <v>5750</v>
      </c>
      <c r="B219" s="284" t="str">
        <f>'A) Base RI'!B220</f>
        <v>Les Clées</v>
      </c>
      <c r="C219" s="95">
        <f>'B) D RI'!U220</f>
        <v>4819.774166666667</v>
      </c>
      <c r="D219" s="398">
        <f>'E) PCS'!G225/C219</f>
        <v>16.876558440155389</v>
      </c>
      <c r="E219" s="135">
        <f>'H) Péréquation directe'!I229/C219</f>
        <v>-7.2005554045872531</v>
      </c>
      <c r="F219" s="398">
        <f>+'I) Dépenses thématiques'!U219</f>
        <v>-9.4905949518035833</v>
      </c>
      <c r="G219" s="135">
        <f t="shared" si="13"/>
        <v>0.18540808376455331</v>
      </c>
      <c r="H219" s="399">
        <f>G219-'C) Prél. conj.'!I219</f>
        <v>-4.4946794514570998</v>
      </c>
      <c r="I219" s="403">
        <f t="shared" si="14"/>
        <v>0</v>
      </c>
      <c r="J219" s="55">
        <f t="shared" si="15"/>
        <v>0</v>
      </c>
      <c r="K219" s="399">
        <f t="shared" si="16"/>
        <v>-4.4946794514570998</v>
      </c>
      <c r="L219" s="427"/>
    </row>
    <row r="220" spans="1:12" x14ac:dyDescent="0.25">
      <c r="A220" s="49">
        <f>'A) Base RI'!A221</f>
        <v>5752</v>
      </c>
      <c r="B220" s="284" t="str">
        <f>'A) Base RI'!B221</f>
        <v>Croy</v>
      </c>
      <c r="C220" s="95">
        <f>'B) D RI'!U221</f>
        <v>9670.9952316602321</v>
      </c>
      <c r="D220" s="398">
        <f>'E) PCS'!G226/C220</f>
        <v>14.181553054199183</v>
      </c>
      <c r="E220" s="135">
        <f>'H) Péréquation directe'!I230/C220</f>
        <v>-7.1831798856907056</v>
      </c>
      <c r="F220" s="398">
        <f>+'I) Dépenses thématiques'!U220</f>
        <v>0</v>
      </c>
      <c r="G220" s="135">
        <f t="shared" si="13"/>
        <v>6.9983731685084773</v>
      </c>
      <c r="H220" s="399">
        <f>G220-'C) Prél. conj.'!I220</f>
        <v>5.0132910192430282</v>
      </c>
      <c r="I220" s="403">
        <f t="shared" si="14"/>
        <v>0</v>
      </c>
      <c r="J220" s="55">
        <f t="shared" si="15"/>
        <v>0</v>
      </c>
      <c r="K220" s="399">
        <f t="shared" si="16"/>
        <v>5.0132910192430282</v>
      </c>
      <c r="L220" s="427"/>
    </row>
    <row r="221" spans="1:12" x14ac:dyDescent="0.25">
      <c r="A221" s="49">
        <f>'A) Base RI'!A222</f>
        <v>5754</v>
      </c>
      <c r="B221" s="284" t="str">
        <f>'A) Base RI'!B222</f>
        <v>Juriens</v>
      </c>
      <c r="C221" s="95">
        <f>'B) D RI'!U222</f>
        <v>9073.6935443037964</v>
      </c>
      <c r="D221" s="398">
        <f>'E) PCS'!G227/C221</f>
        <v>19.371043165076664</v>
      </c>
      <c r="E221" s="135">
        <f>'H) Péréquation directe'!I231/C221</f>
        <v>-7.4625112263497924</v>
      </c>
      <c r="F221" s="398">
        <f>+'I) Dépenses thématiques'!U221</f>
        <v>-4.3151466803206429</v>
      </c>
      <c r="G221" s="135">
        <f t="shared" si="13"/>
        <v>7.5933852584062276</v>
      </c>
      <c r="H221" s="399">
        <f>G221-'C) Prél. conj.'!I221</f>
        <v>0.41881299826329865</v>
      </c>
      <c r="I221" s="403">
        <f t="shared" si="14"/>
        <v>0</v>
      </c>
      <c r="J221" s="55">
        <f t="shared" si="15"/>
        <v>0</v>
      </c>
      <c r="K221" s="399">
        <f t="shared" si="16"/>
        <v>0.41881299826329865</v>
      </c>
      <c r="L221" s="427"/>
    </row>
    <row r="222" spans="1:12" x14ac:dyDescent="0.25">
      <c r="A222" s="49">
        <f>'A) Base RI'!A223</f>
        <v>5755</v>
      </c>
      <c r="B222" s="284" t="str">
        <f>'A) Base RI'!B223</f>
        <v>Lignerolle</v>
      </c>
      <c r="C222" s="95">
        <f>'B) D RI'!U223</f>
        <v>10746.718034576888</v>
      </c>
      <c r="D222" s="398">
        <f>'E) PCS'!G228/C222</f>
        <v>15.607429011591014</v>
      </c>
      <c r="E222" s="135">
        <f>'H) Péréquation directe'!I232/C222</f>
        <v>-6.8058731331327973</v>
      </c>
      <c r="F222" s="398">
        <f>+'I) Dépenses thématiques'!U222</f>
        <v>-27.059228904208904</v>
      </c>
      <c r="G222" s="135">
        <f t="shared" si="13"/>
        <v>-18.257673025750687</v>
      </c>
      <c r="H222" s="399">
        <f>G222-'C) Prél. conj.'!I222</f>
        <v>-21.668631132407967</v>
      </c>
      <c r="I222" s="403">
        <f t="shared" si="14"/>
        <v>0</v>
      </c>
      <c r="J222" s="55">
        <f t="shared" si="15"/>
        <v>0</v>
      </c>
      <c r="K222" s="399">
        <f t="shared" si="16"/>
        <v>-21.668631132407967</v>
      </c>
      <c r="L222" s="427"/>
    </row>
    <row r="223" spans="1:12" x14ac:dyDescent="0.25">
      <c r="A223" s="49">
        <f>'A) Base RI'!A224</f>
        <v>5756</v>
      </c>
      <c r="B223" s="284" t="str">
        <f>'A) Base RI'!B224</f>
        <v>Montcherand</v>
      </c>
      <c r="C223" s="95">
        <f>'B) D RI'!U224</f>
        <v>17739.52444444444</v>
      </c>
      <c r="D223" s="398">
        <f>'E) PCS'!G229/C223</f>
        <v>13.88586681257801</v>
      </c>
      <c r="E223" s="135">
        <f>'H) Péréquation directe'!I233/C223</f>
        <v>7.4776803156185263</v>
      </c>
      <c r="F223" s="398">
        <f>+'I) Dépenses thématiques'!U223</f>
        <v>-1.9776518498679554</v>
      </c>
      <c r="G223" s="135">
        <f t="shared" si="13"/>
        <v>19.385895278328583</v>
      </c>
      <c r="H223" s="399">
        <f>G223-'C) Prél. conj.'!I223</f>
        <v>17.696499370684307</v>
      </c>
      <c r="I223" s="403">
        <f t="shared" si="14"/>
        <v>0</v>
      </c>
      <c r="J223" s="55">
        <f t="shared" si="15"/>
        <v>0</v>
      </c>
      <c r="K223" s="399">
        <f t="shared" si="16"/>
        <v>17.696499370684307</v>
      </c>
      <c r="L223" s="427"/>
    </row>
    <row r="224" spans="1:12" x14ac:dyDescent="0.25">
      <c r="A224" s="49">
        <f>'A) Base RI'!A225</f>
        <v>5757</v>
      </c>
      <c r="B224" s="284" t="str">
        <f>'A) Base RI'!B225</f>
        <v>Orbe</v>
      </c>
      <c r="C224" s="95">
        <f>'B) D RI'!U225</f>
        <v>216184.82317880794</v>
      </c>
      <c r="D224" s="398">
        <f>'E) PCS'!G230/C224</f>
        <v>19.901354626684661</v>
      </c>
      <c r="E224" s="135">
        <f>'H) Péréquation directe'!I234/C224</f>
        <v>-12.69765242129186</v>
      </c>
      <c r="F224" s="398">
        <f>+'I) Dépenses thématiques'!U224</f>
        <v>-9.2084693164635549</v>
      </c>
      <c r="G224" s="135">
        <f t="shared" si="13"/>
        <v>-2.0047671110707537</v>
      </c>
      <c r="H224" s="399">
        <f>G224-'C) Prél. conj.'!I224</f>
        <v>-9.7096508328216817</v>
      </c>
      <c r="I224" s="403">
        <f t="shared" si="14"/>
        <v>0</v>
      </c>
      <c r="J224" s="55">
        <f t="shared" si="15"/>
        <v>0</v>
      </c>
      <c r="K224" s="399">
        <f t="shared" si="16"/>
        <v>-9.7096508328216817</v>
      </c>
      <c r="L224" s="427"/>
    </row>
    <row r="225" spans="1:12" x14ac:dyDescent="0.25">
      <c r="A225" s="49">
        <f>'A) Base RI'!A226</f>
        <v>5758</v>
      </c>
      <c r="B225" s="284" t="str">
        <f>'A) Base RI'!B226</f>
        <v>La Praz</v>
      </c>
      <c r="C225" s="95">
        <f>'B) D RI'!U226</f>
        <v>4771.8661445783146</v>
      </c>
      <c r="D225" s="398">
        <f>'E) PCS'!G231/C225</f>
        <v>16.78308111923473</v>
      </c>
      <c r="E225" s="135">
        <f>'H) Péréquation directe'!I235/C225</f>
        <v>-9.3681304925867313</v>
      </c>
      <c r="F225" s="398">
        <f>+'I) Dépenses thématiques'!U225</f>
        <v>-8.3802231497974944</v>
      </c>
      <c r="G225" s="135">
        <f t="shared" si="13"/>
        <v>-0.96527252314949585</v>
      </c>
      <c r="H225" s="399">
        <f>G225-'C) Prél. conj.'!I225</f>
        <v>-5.55188273745049</v>
      </c>
      <c r="I225" s="403">
        <f t="shared" si="14"/>
        <v>0</v>
      </c>
      <c r="J225" s="55">
        <f t="shared" si="15"/>
        <v>0</v>
      </c>
      <c r="K225" s="399">
        <f t="shared" si="16"/>
        <v>-5.55188273745049</v>
      </c>
      <c r="L225" s="427"/>
    </row>
    <row r="226" spans="1:12" x14ac:dyDescent="0.25">
      <c r="A226" s="49">
        <f>'A) Base RI'!A227</f>
        <v>5759</v>
      </c>
      <c r="B226" s="284" t="str">
        <f>'A) Base RI'!B227</f>
        <v>Premier</v>
      </c>
      <c r="C226" s="95">
        <f>'B) D RI'!U227</f>
        <v>5900.0572327044019</v>
      </c>
      <c r="D226" s="398">
        <f>'E) PCS'!G232/C226</f>
        <v>12.420739068412802</v>
      </c>
      <c r="E226" s="135">
        <f>'H) Péréquation directe'!I236/C226</f>
        <v>-9.0379043443589833</v>
      </c>
      <c r="F226" s="398">
        <f>+'I) Dépenses thématiques'!U226</f>
        <v>-12.346721532708724</v>
      </c>
      <c r="G226" s="135">
        <f t="shared" si="13"/>
        <v>-8.9638868086549053</v>
      </c>
      <c r="H226" s="399">
        <f>G226-'C) Prél. conj.'!I226</f>
        <v>-9.1881549721339724</v>
      </c>
      <c r="I226" s="403">
        <f t="shared" si="14"/>
        <v>0</v>
      </c>
      <c r="J226" s="55">
        <f t="shared" si="15"/>
        <v>0</v>
      </c>
      <c r="K226" s="399">
        <f t="shared" si="16"/>
        <v>-9.1881549721339724</v>
      </c>
      <c r="L226" s="427"/>
    </row>
    <row r="227" spans="1:12" x14ac:dyDescent="0.25">
      <c r="A227" s="49">
        <f>'A) Base RI'!A228</f>
        <v>5760</v>
      </c>
      <c r="B227" s="284" t="str">
        <f>'A) Base RI'!B228</f>
        <v>Rances</v>
      </c>
      <c r="C227" s="95">
        <f>'B) D RI'!U228</f>
        <v>14481.892461873636</v>
      </c>
      <c r="D227" s="398">
        <f>'E) PCS'!G233/C227</f>
        <v>16.084970294654681</v>
      </c>
      <c r="E227" s="135">
        <f>'H) Péréquation directe'!I237/C227</f>
        <v>-2.368782068423684</v>
      </c>
      <c r="F227" s="398">
        <f>+'I) Dépenses thématiques'!U227</f>
        <v>-8.8053910231739732</v>
      </c>
      <c r="G227" s="135">
        <f t="shared" si="13"/>
        <v>4.9107972030570242</v>
      </c>
      <c r="H227" s="399">
        <f>G227-'C) Prél. conj.'!I227</f>
        <v>1.0222978133360789</v>
      </c>
      <c r="I227" s="403">
        <f t="shared" si="14"/>
        <v>0</v>
      </c>
      <c r="J227" s="55">
        <f t="shared" si="15"/>
        <v>0</v>
      </c>
      <c r="K227" s="399">
        <f t="shared" si="16"/>
        <v>1.0222978133360789</v>
      </c>
      <c r="L227" s="427"/>
    </row>
    <row r="228" spans="1:12" x14ac:dyDescent="0.25">
      <c r="A228" s="49">
        <f>'A) Base RI'!A229</f>
        <v>5761</v>
      </c>
      <c r="B228" s="284" t="str">
        <f>'A) Base RI'!B229</f>
        <v>Romainmôtier-Envy</v>
      </c>
      <c r="C228" s="95">
        <f>'B) D RI'!U229</f>
        <v>12913.984792368126</v>
      </c>
      <c r="D228" s="398">
        <f>'E) PCS'!G234/C228</f>
        <v>19.581715005295635</v>
      </c>
      <c r="E228" s="135">
        <f>'H) Péréquation directe'!I238/C228</f>
        <v>-14.564981451999644</v>
      </c>
      <c r="F228" s="398">
        <f>+'I) Dépenses thématiques'!U228</f>
        <v>-13.255869927358304</v>
      </c>
      <c r="G228" s="135">
        <f t="shared" si="13"/>
        <v>-8.2391363740623138</v>
      </c>
      <c r="H228" s="399">
        <f>G228-'C) Prél. conj.'!I228</f>
        <v>-15.624380474424214</v>
      </c>
      <c r="I228" s="403">
        <f t="shared" si="14"/>
        <v>0</v>
      </c>
      <c r="J228" s="55">
        <f t="shared" si="15"/>
        <v>0</v>
      </c>
      <c r="K228" s="399">
        <f t="shared" si="16"/>
        <v>-15.624380474424214</v>
      </c>
      <c r="L228" s="427"/>
    </row>
    <row r="229" spans="1:12" x14ac:dyDescent="0.25">
      <c r="A229" s="49">
        <f>'A) Base RI'!A230</f>
        <v>5762</v>
      </c>
      <c r="B229" s="284" t="str">
        <f>'A) Base RI'!B230</f>
        <v>Sergey</v>
      </c>
      <c r="C229" s="95">
        <f>'B) D RI'!U230</f>
        <v>3849.6283333333336</v>
      </c>
      <c r="D229" s="398">
        <f>'E) PCS'!G235/C229</f>
        <v>13.144515672891854</v>
      </c>
      <c r="E229" s="135">
        <f>'H) Péréquation directe'!I239/C229</f>
        <v>-4.6814872867944004</v>
      </c>
      <c r="F229" s="398">
        <f>+'I) Dépenses thématiques'!U229</f>
        <v>-6.8672236540583773</v>
      </c>
      <c r="G229" s="135">
        <f t="shared" si="13"/>
        <v>1.5958047320390767</v>
      </c>
      <c r="H229" s="399">
        <f>G229-'C) Prél. conj.'!I229</f>
        <v>0.64775996408095782</v>
      </c>
      <c r="I229" s="403">
        <f t="shared" si="14"/>
        <v>0</v>
      </c>
      <c r="J229" s="55">
        <f t="shared" si="15"/>
        <v>0</v>
      </c>
      <c r="K229" s="399">
        <f t="shared" si="16"/>
        <v>0.64775996408095782</v>
      </c>
      <c r="L229" s="427"/>
    </row>
    <row r="230" spans="1:12" x14ac:dyDescent="0.25">
      <c r="A230" s="49">
        <f>'A) Base RI'!A231</f>
        <v>5763</v>
      </c>
      <c r="B230" s="284" t="str">
        <f>'A) Base RI'!B231</f>
        <v>Valeyres-sous-Rances</v>
      </c>
      <c r="C230" s="95">
        <f>'B) D RI'!U231</f>
        <v>22663.97352941176</v>
      </c>
      <c r="D230" s="398">
        <f>'E) PCS'!G236/C230</f>
        <v>13.233561553204098</v>
      </c>
      <c r="E230" s="135">
        <f>'H) Péréquation directe'!I240/C230</f>
        <v>9.5328073404681923</v>
      </c>
      <c r="F230" s="398">
        <f>+'I) Dépenses thématiques'!U230</f>
        <v>-3.1528641075996378</v>
      </c>
      <c r="G230" s="135">
        <f t="shared" si="13"/>
        <v>19.613504786072653</v>
      </c>
      <c r="H230" s="399">
        <f>G230-'C) Prél. conj.'!I230</f>
        <v>18.576414137802288</v>
      </c>
      <c r="I230" s="403">
        <f t="shared" si="14"/>
        <v>0</v>
      </c>
      <c r="J230" s="55">
        <f t="shared" si="15"/>
        <v>0</v>
      </c>
      <c r="K230" s="399">
        <f t="shared" si="16"/>
        <v>18.576414137802288</v>
      </c>
      <c r="L230" s="427"/>
    </row>
    <row r="231" spans="1:12" x14ac:dyDescent="0.25">
      <c r="A231" s="49">
        <f>'A) Base RI'!A232</f>
        <v>5764</v>
      </c>
      <c r="B231" s="284" t="str">
        <f>'A) Base RI'!B232</f>
        <v>Vallorbe</v>
      </c>
      <c r="C231" s="95">
        <f>'B) D RI'!U232</f>
        <v>83682.382797202779</v>
      </c>
      <c r="D231" s="398">
        <f>'E) PCS'!G237/C231</f>
        <v>22.849720372751225</v>
      </c>
      <c r="E231" s="135">
        <f>'H) Péréquation directe'!I241/C231</f>
        <v>-22.60505672512711</v>
      </c>
      <c r="F231" s="398">
        <f>+'I) Dépenses thématiques'!U231</f>
        <v>-25.814058394511786</v>
      </c>
      <c r="G231" s="135">
        <f t="shared" si="13"/>
        <v>-25.569394746887671</v>
      </c>
      <c r="H231" s="399">
        <f>G231-'C) Prél. conj.'!I231</f>
        <v>-36.222644214705163</v>
      </c>
      <c r="I231" s="403">
        <f t="shared" si="14"/>
        <v>0</v>
      </c>
      <c r="J231" s="55">
        <f t="shared" si="15"/>
        <v>0</v>
      </c>
      <c r="K231" s="399">
        <f t="shared" si="16"/>
        <v>-36.222644214705163</v>
      </c>
      <c r="L231" s="427"/>
    </row>
    <row r="232" spans="1:12" x14ac:dyDescent="0.25">
      <c r="A232" s="49">
        <f>'A) Base RI'!A233</f>
        <v>5765</v>
      </c>
      <c r="B232" s="284" t="str">
        <f>'A) Base RI'!B233</f>
        <v>Vaulion</v>
      </c>
      <c r="C232" s="95">
        <f>'B) D RI'!U233</f>
        <v>10279.479012345679</v>
      </c>
      <c r="D232" s="398">
        <f>'E) PCS'!G238/C232</f>
        <v>17.052256391732438</v>
      </c>
      <c r="E232" s="135">
        <f>'H) Péréquation directe'!I242/C232</f>
        <v>-21.800846414793224</v>
      </c>
      <c r="F232" s="398">
        <f>+'I) Dépenses thématiques'!U232</f>
        <v>-12.893151079617093</v>
      </c>
      <c r="G232" s="135">
        <f t="shared" si="13"/>
        <v>-17.641741102677877</v>
      </c>
      <c r="H232" s="399">
        <f>G232-'C) Prél. conj.'!I232</f>
        <v>-22.497526589476578</v>
      </c>
      <c r="I232" s="403">
        <f t="shared" si="14"/>
        <v>0</v>
      </c>
      <c r="J232" s="55">
        <f t="shared" si="15"/>
        <v>0</v>
      </c>
      <c r="K232" s="399">
        <f t="shared" si="16"/>
        <v>-22.497526589476578</v>
      </c>
      <c r="L232" s="427"/>
    </row>
    <row r="233" spans="1:12" x14ac:dyDescent="0.25">
      <c r="A233" s="49">
        <f>'A) Base RI'!A234</f>
        <v>5766</v>
      </c>
      <c r="B233" s="284" t="str">
        <f>'A) Base RI'!B234</f>
        <v>Vuiteboeuf</v>
      </c>
      <c r="C233" s="95">
        <f>'B) D RI'!U234</f>
        <v>15554.101904761903</v>
      </c>
      <c r="D233" s="398">
        <f>'E) PCS'!G239/C233</f>
        <v>15.533036096403363</v>
      </c>
      <c r="E233" s="135">
        <f>'H) Péréquation directe'!I243/C233</f>
        <v>-4.9252844318619573</v>
      </c>
      <c r="F233" s="398">
        <f>+'I) Dépenses thématiques'!U233</f>
        <v>-3.9092460956708606</v>
      </c>
      <c r="G233" s="135">
        <f t="shared" si="13"/>
        <v>6.6985055688705444</v>
      </c>
      <c r="H233" s="399">
        <f>G233-'C) Prél. conj.'!I233</f>
        <v>3.3619403774009169</v>
      </c>
      <c r="I233" s="403">
        <f t="shared" si="14"/>
        <v>0</v>
      </c>
      <c r="J233" s="55">
        <f t="shared" si="15"/>
        <v>0</v>
      </c>
      <c r="K233" s="399">
        <f t="shared" si="16"/>
        <v>3.3619403774009169</v>
      </c>
      <c r="L233" s="427"/>
    </row>
    <row r="234" spans="1:12" x14ac:dyDescent="0.25">
      <c r="A234" s="49">
        <f>'A) Base RI'!A235</f>
        <v>5785</v>
      </c>
      <c r="B234" s="284" t="str">
        <f>'A) Base RI'!B235</f>
        <v>Corcelles-le-Jorat</v>
      </c>
      <c r="C234" s="95">
        <f>'B) D RI'!U235</f>
        <v>14579.940909090908</v>
      </c>
      <c r="D234" s="398">
        <f>'E) PCS'!G240/C234</f>
        <v>14.799526722281792</v>
      </c>
      <c r="E234" s="135">
        <f>'H) Péréquation directe'!I244/C234</f>
        <v>-0.28018017587700045</v>
      </c>
      <c r="F234" s="398">
        <f>+'I) Dépenses thématiques'!U234</f>
        <v>-4.2391906283446099</v>
      </c>
      <c r="G234" s="135">
        <f t="shared" si="13"/>
        <v>10.280155918060181</v>
      </c>
      <c r="H234" s="399">
        <f>G234-'C) Prél. conj.'!I234</f>
        <v>7.6771001007121251</v>
      </c>
      <c r="I234" s="403">
        <f t="shared" si="14"/>
        <v>0</v>
      </c>
      <c r="J234" s="55">
        <f t="shared" si="15"/>
        <v>0</v>
      </c>
      <c r="K234" s="399">
        <f t="shared" si="16"/>
        <v>7.6771001007121251</v>
      </c>
      <c r="L234" s="427"/>
    </row>
    <row r="235" spans="1:12" x14ac:dyDescent="0.25">
      <c r="A235" s="49">
        <f>'A) Base RI'!A236</f>
        <v>5788</v>
      </c>
      <c r="B235" s="284" t="str">
        <f>'A) Base RI'!B236</f>
        <v>Essertes</v>
      </c>
      <c r="C235" s="95">
        <f>'B) D RI'!U236</f>
        <v>13314.951048951047</v>
      </c>
      <c r="D235" s="398">
        <f>'E) PCS'!G241/C235</f>
        <v>13.291747180932427</v>
      </c>
      <c r="E235" s="135">
        <f>'H) Péréquation directe'!I245/C235</f>
        <v>5.8946725302861482</v>
      </c>
      <c r="F235" s="398">
        <f>+'I) Dépenses thématiques'!U235</f>
        <v>-2.8312754262257385</v>
      </c>
      <c r="G235" s="135">
        <f t="shared" si="13"/>
        <v>16.355144284992839</v>
      </c>
      <c r="H235" s="399">
        <f>G235-'C) Prél. conj.'!I235</f>
        <v>15.259868008994147</v>
      </c>
      <c r="I235" s="403">
        <f t="shared" si="14"/>
        <v>0</v>
      </c>
      <c r="J235" s="55">
        <f t="shared" si="15"/>
        <v>0</v>
      </c>
      <c r="K235" s="399">
        <f t="shared" si="16"/>
        <v>15.259868008994147</v>
      </c>
      <c r="L235" s="427"/>
    </row>
    <row r="236" spans="1:12" x14ac:dyDescent="0.25">
      <c r="A236" s="49">
        <f>'A) Base RI'!A237</f>
        <v>5790</v>
      </c>
      <c r="B236" s="284" t="str">
        <f>'A) Base RI'!B237</f>
        <v>Maracon</v>
      </c>
      <c r="C236" s="95">
        <f>'B) D RI'!U237</f>
        <v>15172.050604026846</v>
      </c>
      <c r="D236" s="398">
        <f>'E) PCS'!G242/C236</f>
        <v>14.382709987948415</v>
      </c>
      <c r="E236" s="135">
        <f>'H) Péréquation directe'!I246/C236</f>
        <v>-2.3480567105262433</v>
      </c>
      <c r="F236" s="398">
        <f>+'I) Dépenses thématiques'!U236</f>
        <v>-7.1426038051228726</v>
      </c>
      <c r="G236" s="135">
        <f t="shared" si="13"/>
        <v>4.8920494722992984</v>
      </c>
      <c r="H236" s="399">
        <f>G236-'C) Prél. conj.'!I236</f>
        <v>2.705810389284617</v>
      </c>
      <c r="I236" s="403">
        <f t="shared" si="14"/>
        <v>0</v>
      </c>
      <c r="J236" s="55">
        <f t="shared" si="15"/>
        <v>0</v>
      </c>
      <c r="K236" s="399">
        <f t="shared" si="16"/>
        <v>2.705810389284617</v>
      </c>
      <c r="L236" s="427"/>
    </row>
    <row r="237" spans="1:12" x14ac:dyDescent="0.25">
      <c r="A237" s="49">
        <f>'A) Base RI'!A238</f>
        <v>5792</v>
      </c>
      <c r="B237" s="284" t="str">
        <f>'A) Base RI'!B238</f>
        <v>Montpreveyres</v>
      </c>
      <c r="C237" s="95">
        <f>'B) D RI'!U238</f>
        <v>20145.836291390729</v>
      </c>
      <c r="D237" s="398">
        <f>'E) PCS'!G243/C237</f>
        <v>16.540389108885286</v>
      </c>
      <c r="E237" s="135">
        <f>'H) Péréquation directe'!I247/C237</f>
        <v>1.1214381454034845</v>
      </c>
      <c r="F237" s="398">
        <f>+'I) Dépenses thématiques'!U237</f>
        <v>-7.2461366279462709</v>
      </c>
      <c r="G237" s="135">
        <f t="shared" si="13"/>
        <v>10.415690626342499</v>
      </c>
      <c r="H237" s="399">
        <f>G237-'C) Prél. conj.'!I237</f>
        <v>6.0717724223909473</v>
      </c>
      <c r="I237" s="403">
        <f t="shared" si="14"/>
        <v>0</v>
      </c>
      <c r="J237" s="55">
        <f t="shared" si="15"/>
        <v>0</v>
      </c>
      <c r="K237" s="399">
        <f t="shared" si="16"/>
        <v>6.0717724223909473</v>
      </c>
      <c r="L237" s="427"/>
    </row>
    <row r="238" spans="1:12" x14ac:dyDescent="0.25">
      <c r="A238" s="49">
        <f>'A) Base RI'!A239</f>
        <v>5798</v>
      </c>
      <c r="B238" s="284" t="str">
        <f>'A) Base RI'!B239</f>
        <v>Ropraz</v>
      </c>
      <c r="C238" s="95">
        <f>'B) D RI'!U239</f>
        <v>17444.805161290325</v>
      </c>
      <c r="D238" s="398">
        <f>'E) PCS'!G244/C238</f>
        <v>16.152842407044279</v>
      </c>
      <c r="E238" s="135">
        <f>'H) Péréquation directe'!I248/C238</f>
        <v>3.2921667816524152</v>
      </c>
      <c r="F238" s="398">
        <f>+'I) Dépenses thématiques'!U238</f>
        <v>-2.9658353047739716</v>
      </c>
      <c r="G238" s="135">
        <f t="shared" si="13"/>
        <v>16.479173883922723</v>
      </c>
      <c r="H238" s="399">
        <f>G238-'C) Prél. conj.'!I238</f>
        <v>12.522802381812177</v>
      </c>
      <c r="I238" s="403">
        <f t="shared" si="14"/>
        <v>0</v>
      </c>
      <c r="J238" s="55">
        <f t="shared" si="15"/>
        <v>0</v>
      </c>
      <c r="K238" s="399">
        <f t="shared" si="16"/>
        <v>12.522802381812177</v>
      </c>
      <c r="L238" s="427"/>
    </row>
    <row r="239" spans="1:12" x14ac:dyDescent="0.25">
      <c r="A239" s="49">
        <f>'A) Base RI'!A240</f>
        <v>5799</v>
      </c>
      <c r="B239" s="284" t="str">
        <f>'A) Base RI'!B240</f>
        <v>Servion</v>
      </c>
      <c r="C239" s="95">
        <f>'B) D RI'!U240</f>
        <v>71744.263478260895</v>
      </c>
      <c r="D239" s="398">
        <f>'E) PCS'!G245/C239</f>
        <v>15.669095306123548</v>
      </c>
      <c r="E239" s="135">
        <f>'H) Péréquation directe'!I249/C239</f>
        <v>3.5190702821914557</v>
      </c>
      <c r="F239" s="398">
        <f>+'I) Dépenses thématiques'!U239</f>
        <v>-4.7059953334490467</v>
      </c>
      <c r="G239" s="135">
        <f t="shared" si="13"/>
        <v>14.482170254865959</v>
      </c>
      <c r="H239" s="399">
        <f>G239-'C) Prél. conj.'!I239</f>
        <v>11.009545853676144</v>
      </c>
      <c r="I239" s="403">
        <f t="shared" si="14"/>
        <v>0</v>
      </c>
      <c r="J239" s="55">
        <f t="shared" si="15"/>
        <v>0</v>
      </c>
      <c r="K239" s="399">
        <f t="shared" si="16"/>
        <v>11.009545853676144</v>
      </c>
      <c r="L239" s="427"/>
    </row>
    <row r="240" spans="1:12" x14ac:dyDescent="0.25">
      <c r="A240" s="49">
        <f>'A) Base RI'!A241</f>
        <v>5803</v>
      </c>
      <c r="B240" s="284" t="str">
        <f>'A) Base RI'!B241</f>
        <v>Vulliens</v>
      </c>
      <c r="C240" s="95">
        <f>'B) D RI'!U241</f>
        <v>17996.188026315795</v>
      </c>
      <c r="D240" s="398">
        <f>'E) PCS'!G246/C240</f>
        <v>15.199085120843451</v>
      </c>
      <c r="E240" s="135">
        <f>'H) Péréquation directe'!I250/C240</f>
        <v>-1.7905566385671354</v>
      </c>
      <c r="F240" s="398">
        <f>+'I) Dépenses thématiques'!U240</f>
        <v>-3.2625032454789795</v>
      </c>
      <c r="G240" s="135">
        <f t="shared" si="13"/>
        <v>10.146025236797335</v>
      </c>
      <c r="H240" s="399">
        <f>G240-'C) Prél. conj.'!I240</f>
        <v>7.1434110208876209</v>
      </c>
      <c r="I240" s="403">
        <f t="shared" si="14"/>
        <v>0</v>
      </c>
      <c r="J240" s="55">
        <f t="shared" si="15"/>
        <v>0</v>
      </c>
      <c r="K240" s="399">
        <f t="shared" si="16"/>
        <v>7.1434110208876209</v>
      </c>
      <c r="L240" s="427"/>
    </row>
    <row r="241" spans="1:12" x14ac:dyDescent="0.25">
      <c r="A241" s="49">
        <f>'A) Base RI'!A242</f>
        <v>5804</v>
      </c>
      <c r="B241" s="284" t="str">
        <f>'A) Base RI'!B242</f>
        <v>Jorat-Menthue</v>
      </c>
      <c r="C241" s="95">
        <f>'B) D RI'!U242</f>
        <v>46854.424539007086</v>
      </c>
      <c r="D241" s="398">
        <f>'E) PCS'!G247/C241</f>
        <v>14.027429151546702</v>
      </c>
      <c r="E241" s="135">
        <f>'H) Péréquation directe'!I251/C241</f>
        <v>-1.5153474297393332</v>
      </c>
      <c r="F241" s="398">
        <f>+'I) Dépenses thématiques'!U241</f>
        <v>-11.341269038942357</v>
      </c>
      <c r="G241" s="135">
        <f t="shared" si="13"/>
        <v>1.1708126828650123</v>
      </c>
      <c r="H241" s="399">
        <f>G241-'C) Prél. conj.'!I241</f>
        <v>-0.66014556374795474</v>
      </c>
      <c r="I241" s="403">
        <f t="shared" si="14"/>
        <v>0</v>
      </c>
      <c r="J241" s="55">
        <f t="shared" si="15"/>
        <v>0</v>
      </c>
      <c r="K241" s="399">
        <f t="shared" si="16"/>
        <v>-0.66014556374795474</v>
      </c>
      <c r="L241" s="427"/>
    </row>
    <row r="242" spans="1:12" x14ac:dyDescent="0.25">
      <c r="A242" s="49">
        <f>'A) Base RI'!A243</f>
        <v>5805</v>
      </c>
      <c r="B242" s="284" t="str">
        <f>'A) Base RI'!B243</f>
        <v>Oron</v>
      </c>
      <c r="C242" s="95">
        <f>'B) D RI'!U243</f>
        <v>162115.58504611329</v>
      </c>
      <c r="D242" s="398">
        <f>'E) PCS'!G248/C242</f>
        <v>14.168556931758737</v>
      </c>
      <c r="E242" s="135">
        <f>'H) Péréquation directe'!I252/C242</f>
        <v>-8.530190942675647</v>
      </c>
      <c r="F242" s="398">
        <f>+'I) Dépenses thématiques'!U242</f>
        <v>-5.7750060825861729</v>
      </c>
      <c r="G242" s="135">
        <f t="shared" si="13"/>
        <v>-0.13664009350308337</v>
      </c>
      <c r="H242" s="399">
        <f>G242-'C) Prél. conj.'!I242</f>
        <v>-2.1087261203280834</v>
      </c>
      <c r="I242" s="403">
        <f t="shared" si="14"/>
        <v>0</v>
      </c>
      <c r="J242" s="55">
        <f t="shared" si="15"/>
        <v>0</v>
      </c>
      <c r="K242" s="399">
        <f t="shared" si="16"/>
        <v>-2.1087261203280834</v>
      </c>
      <c r="L242" s="427"/>
    </row>
    <row r="243" spans="1:12" x14ac:dyDescent="0.25">
      <c r="A243" s="49">
        <f>'A) Base RI'!A244</f>
        <v>5806</v>
      </c>
      <c r="B243" s="284" t="str">
        <f>'A) Base RI'!B244</f>
        <v>Jorat-Mézières</v>
      </c>
      <c r="C243" s="95">
        <f>'B) D RI'!U244</f>
        <v>102077.74465753423</v>
      </c>
      <c r="D243" s="398">
        <f>'E) PCS'!G249/C243</f>
        <v>17.046937298574374</v>
      </c>
      <c r="E243" s="135">
        <f>'H) Péréquation directe'!I253/C243</f>
        <v>0.18171438374759658</v>
      </c>
      <c r="F243" s="398">
        <f>+'I) Dépenses thématiques'!U243</f>
        <v>-4.0153442205243906</v>
      </c>
      <c r="G243" s="135">
        <f t="shared" si="13"/>
        <v>13.21330746179758</v>
      </c>
      <c r="H243" s="399">
        <f>G243-'C) Prél. conj.'!I243</f>
        <v>8.3628410681569427</v>
      </c>
      <c r="I243" s="403">
        <f t="shared" si="14"/>
        <v>0</v>
      </c>
      <c r="J243" s="55">
        <f t="shared" si="15"/>
        <v>0</v>
      </c>
      <c r="K243" s="399">
        <f t="shared" si="16"/>
        <v>8.3628410681569427</v>
      </c>
      <c r="L243" s="427"/>
    </row>
    <row r="244" spans="1:12" x14ac:dyDescent="0.25">
      <c r="A244" s="49">
        <f>'A) Base RI'!A245</f>
        <v>5812</v>
      </c>
      <c r="B244" s="284" t="str">
        <f>'A) Base RI'!B245</f>
        <v>Champtauroz</v>
      </c>
      <c r="C244" s="95">
        <f>'B) D RI'!U245</f>
        <v>3349.1505194805191</v>
      </c>
      <c r="D244" s="398">
        <f>'E) PCS'!G250/C244</f>
        <v>14.318098451581637</v>
      </c>
      <c r="E244" s="135">
        <f>'H) Péréquation directe'!I254/C244</f>
        <v>-21.780360474339851</v>
      </c>
      <c r="F244" s="398">
        <f>+'I) Dépenses thématiques'!U244</f>
        <v>-6.0713445886782162</v>
      </c>
      <c r="G244" s="135">
        <f t="shared" si="13"/>
        <v>-13.533606611436429</v>
      </c>
      <c r="H244" s="399">
        <f>G244-'C) Prél. conj.'!I244</f>
        <v>-15.655234158084331</v>
      </c>
      <c r="I244" s="403">
        <f t="shared" si="14"/>
        <v>0</v>
      </c>
      <c r="J244" s="55">
        <f t="shared" si="15"/>
        <v>0</v>
      </c>
      <c r="K244" s="399">
        <f t="shared" si="16"/>
        <v>-15.655234158084331</v>
      </c>
      <c r="L244" s="427"/>
    </row>
    <row r="245" spans="1:12" x14ac:dyDescent="0.25">
      <c r="A245" s="49">
        <f>'A) Base RI'!A246</f>
        <v>5813</v>
      </c>
      <c r="B245" s="284" t="str">
        <f>'A) Base RI'!B246</f>
        <v>Chevroux</v>
      </c>
      <c r="C245" s="95">
        <f>'B) D RI'!U246</f>
        <v>15276.905328467155</v>
      </c>
      <c r="D245" s="398">
        <f>'E) PCS'!G251/C245</f>
        <v>17.182087976087121</v>
      </c>
      <c r="E245" s="135">
        <f>'H) Péréquation directe'!I255/C245</f>
        <v>3.2271784014139517</v>
      </c>
      <c r="F245" s="398">
        <f>+'I) Dépenses thématiques'!U245</f>
        <v>-22.545882861981209</v>
      </c>
      <c r="G245" s="135">
        <f t="shared" si="13"/>
        <v>-2.1366164844801361</v>
      </c>
      <c r="H245" s="399">
        <f>G245-'C) Prél. conj.'!I245</f>
        <v>-7.1222335556335228</v>
      </c>
      <c r="I245" s="403">
        <f t="shared" si="14"/>
        <v>0</v>
      </c>
      <c r="J245" s="55">
        <f t="shared" si="15"/>
        <v>0</v>
      </c>
      <c r="K245" s="399">
        <f t="shared" si="16"/>
        <v>-7.1222335556335228</v>
      </c>
      <c r="L245" s="427"/>
    </row>
    <row r="246" spans="1:12" x14ac:dyDescent="0.25">
      <c r="A246" s="49">
        <f>'A) Base RI'!A247</f>
        <v>5816</v>
      </c>
      <c r="B246" s="284" t="str">
        <f>'A) Base RI'!B247</f>
        <v>Corcelles-près-Payerne</v>
      </c>
      <c r="C246" s="95">
        <f>'B) D RI'!U247</f>
        <v>65651.255161626686</v>
      </c>
      <c r="D246" s="398">
        <f>'E) PCS'!G252/C246</f>
        <v>14.261646576993812</v>
      </c>
      <c r="E246" s="135">
        <f>'H) Péréquation directe'!I256/C246</f>
        <v>-11.265569731040918</v>
      </c>
      <c r="F246" s="398">
        <f>+'I) Dépenses thématiques'!U246</f>
        <v>-5.7431418196345962</v>
      </c>
      <c r="G246" s="135">
        <f t="shared" si="13"/>
        <v>-2.7470649736817023</v>
      </c>
      <c r="H246" s="399">
        <f>G246-'C) Prél. conj.'!I246</f>
        <v>-4.8122406457417792</v>
      </c>
      <c r="I246" s="403">
        <f t="shared" si="14"/>
        <v>0</v>
      </c>
      <c r="J246" s="55">
        <f t="shared" si="15"/>
        <v>0</v>
      </c>
      <c r="K246" s="399">
        <f t="shared" si="16"/>
        <v>-4.8122406457417792</v>
      </c>
      <c r="L246" s="427"/>
    </row>
    <row r="247" spans="1:12" x14ac:dyDescent="0.25">
      <c r="A247" s="49">
        <f>'A) Base RI'!A248</f>
        <v>5817</v>
      </c>
      <c r="B247" s="284" t="str">
        <f>'A) Base RI'!B248</f>
        <v>Grandcour</v>
      </c>
      <c r="C247" s="95">
        <f>'B) D RI'!U248</f>
        <v>24623.103809523807</v>
      </c>
      <c r="D247" s="398">
        <f>'E) PCS'!G253/C247</f>
        <v>13.125659815356579</v>
      </c>
      <c r="E247" s="135">
        <f>'H) Péréquation directe'!I257/C247</f>
        <v>-6.6195661221121824</v>
      </c>
      <c r="F247" s="398">
        <f>+'I) Dépenses thématiques'!U247</f>
        <v>-6.4205573151409991</v>
      </c>
      <c r="G247" s="135">
        <f t="shared" si="13"/>
        <v>8.5536378103397759E-2</v>
      </c>
      <c r="H247" s="399">
        <f>G247-'C) Prél. conj.'!I247</f>
        <v>-0.84365253231944604</v>
      </c>
      <c r="I247" s="403">
        <f t="shared" si="14"/>
        <v>0</v>
      </c>
      <c r="J247" s="55">
        <f t="shared" si="15"/>
        <v>0</v>
      </c>
      <c r="K247" s="399">
        <f t="shared" si="16"/>
        <v>-0.84365253231944604</v>
      </c>
      <c r="L247" s="427"/>
    </row>
    <row r="248" spans="1:12" x14ac:dyDescent="0.25">
      <c r="A248" s="49">
        <f>'A) Base RI'!A249</f>
        <v>5819</v>
      </c>
      <c r="B248" s="284" t="str">
        <f>'A) Base RI'!B249</f>
        <v>Henniez</v>
      </c>
      <c r="C248" s="95">
        <f>'B) D RI'!U249</f>
        <v>10062.980434782607</v>
      </c>
      <c r="D248" s="398">
        <f>'E) PCS'!G254/C248</f>
        <v>15.493871731164878</v>
      </c>
      <c r="E248" s="135">
        <f>'H) Péréquation directe'!I258/C248</f>
        <v>-4.5902768948806489</v>
      </c>
      <c r="F248" s="398">
        <f>+'I) Dépenses thématiques'!U248</f>
        <v>-13.195505869447013</v>
      </c>
      <c r="G248" s="135">
        <f t="shared" si="13"/>
        <v>-2.2919110331627834</v>
      </c>
      <c r="H248" s="399">
        <f>G248-'C) Prél. conj.'!I248</f>
        <v>-5.5893118593939271</v>
      </c>
      <c r="I248" s="403">
        <f t="shared" si="14"/>
        <v>0</v>
      </c>
      <c r="J248" s="55">
        <f t="shared" si="15"/>
        <v>0</v>
      </c>
      <c r="K248" s="399">
        <f t="shared" si="16"/>
        <v>-5.5893118593939271</v>
      </c>
      <c r="L248" s="427"/>
    </row>
    <row r="249" spans="1:12" x14ac:dyDescent="0.25">
      <c r="A249" s="49">
        <f>'A) Base RI'!A250</f>
        <v>5821</v>
      </c>
      <c r="B249" s="284" t="str">
        <f>'A) Base RI'!B250</f>
        <v>Missy</v>
      </c>
      <c r="C249" s="95">
        <f>'B) D RI'!U250</f>
        <v>8044.6855555555558</v>
      </c>
      <c r="D249" s="398">
        <f>'E) PCS'!G255/C249</f>
        <v>13.7245449253671</v>
      </c>
      <c r="E249" s="135">
        <f>'H) Péréquation directe'!I259/C249</f>
        <v>-11.897291722611845</v>
      </c>
      <c r="F249" s="398">
        <f>+'I) Dépenses thématiques'!U249</f>
        <v>-3.3610557528869642</v>
      </c>
      <c r="G249" s="135">
        <f t="shared" si="13"/>
        <v>-1.5338025501317092</v>
      </c>
      <c r="H249" s="399">
        <f>G249-'C) Prél. conj.'!I249</f>
        <v>-3.0618765705650746</v>
      </c>
      <c r="I249" s="403">
        <f t="shared" si="14"/>
        <v>0</v>
      </c>
      <c r="J249" s="55">
        <f t="shared" si="15"/>
        <v>0</v>
      </c>
      <c r="K249" s="399">
        <f t="shared" si="16"/>
        <v>-3.0618765705650746</v>
      </c>
      <c r="L249" s="427"/>
    </row>
    <row r="250" spans="1:12" x14ac:dyDescent="0.25">
      <c r="A250" s="49">
        <f>'A) Base RI'!A251</f>
        <v>5822</v>
      </c>
      <c r="B250" s="284" t="str">
        <f>'A) Base RI'!B251</f>
        <v>Payerne</v>
      </c>
      <c r="C250" s="95">
        <f>'B) D RI'!U251</f>
        <v>239984.44424657538</v>
      </c>
      <c r="D250" s="398">
        <f>'E) PCS'!G256/C250</f>
        <v>16.948306585701086</v>
      </c>
      <c r="E250" s="135">
        <f>'H) Péréquation directe'!I260/C250</f>
        <v>-26.100491976530229</v>
      </c>
      <c r="F250" s="398">
        <f>+'I) Dépenses thématiques'!U250</f>
        <v>-6.7525421891743003</v>
      </c>
      <c r="G250" s="135">
        <f t="shared" si="13"/>
        <v>-15.904727580003442</v>
      </c>
      <c r="H250" s="399">
        <f>G250-'C) Prél. conj.'!I250</f>
        <v>-20.656563260770795</v>
      </c>
      <c r="I250" s="403">
        <f t="shared" si="14"/>
        <v>0</v>
      </c>
      <c r="J250" s="55">
        <f t="shared" si="15"/>
        <v>0</v>
      </c>
      <c r="K250" s="399">
        <f t="shared" si="16"/>
        <v>-20.656563260770795</v>
      </c>
      <c r="L250" s="427"/>
    </row>
    <row r="251" spans="1:12" x14ac:dyDescent="0.25">
      <c r="A251" s="49">
        <f>'A) Base RI'!A252</f>
        <v>5827</v>
      </c>
      <c r="B251" s="284" t="str">
        <f>'A) Base RI'!B252</f>
        <v>Trey</v>
      </c>
      <c r="C251" s="95">
        <f>'B) D RI'!U252</f>
        <v>7747.4438461538457</v>
      </c>
      <c r="D251" s="398">
        <f>'E) PCS'!G257/C251</f>
        <v>19.642975345058254</v>
      </c>
      <c r="E251" s="135">
        <f>'H) Péréquation directe'!I261/C251</f>
        <v>-10.932081688659862</v>
      </c>
      <c r="F251" s="398">
        <f>+'I) Dépenses thématiques'!U251</f>
        <v>-4.3980424511230858</v>
      </c>
      <c r="G251" s="135">
        <f t="shared" si="13"/>
        <v>4.3128512052753063</v>
      </c>
      <c r="H251" s="399">
        <f>G251-'C) Prél. conj.'!I251</f>
        <v>-3.1336532348492137</v>
      </c>
      <c r="I251" s="403">
        <f t="shared" si="14"/>
        <v>0</v>
      </c>
      <c r="J251" s="55">
        <f t="shared" si="15"/>
        <v>0</v>
      </c>
      <c r="K251" s="399">
        <f t="shared" si="16"/>
        <v>-3.1336532348492137</v>
      </c>
      <c r="L251" s="427"/>
    </row>
    <row r="252" spans="1:12" x14ac:dyDescent="0.25">
      <c r="A252" s="49">
        <f>'A) Base RI'!A253</f>
        <v>5828</v>
      </c>
      <c r="B252" s="284" t="str">
        <f>'A) Base RI'!B253</f>
        <v>Treytorrens (Payerne)</v>
      </c>
      <c r="C252" s="95">
        <f>'B) D RI'!U253</f>
        <v>2899.2203232323236</v>
      </c>
      <c r="D252" s="398">
        <f>'E) PCS'!G258/C252</f>
        <v>14.55469975191472</v>
      </c>
      <c r="E252" s="135">
        <f>'H) Péréquation directe'!I262/C252</f>
        <v>-8.8021229825807605</v>
      </c>
      <c r="F252" s="398">
        <f>+'I) Dépenses thématiques'!U252</f>
        <v>-7.7843094157965371</v>
      </c>
      <c r="G252" s="135">
        <f t="shared" si="13"/>
        <v>-2.0317326464625776</v>
      </c>
      <c r="H252" s="399">
        <f>G252-'C) Prél. conj.'!I252</f>
        <v>-4.389961493443562</v>
      </c>
      <c r="I252" s="403">
        <f t="shared" si="14"/>
        <v>0</v>
      </c>
      <c r="J252" s="55">
        <f t="shared" si="15"/>
        <v>0</v>
      </c>
      <c r="K252" s="399">
        <f t="shared" si="16"/>
        <v>-4.389961493443562</v>
      </c>
      <c r="L252" s="427"/>
    </row>
    <row r="253" spans="1:12" x14ac:dyDescent="0.25">
      <c r="A253" s="49">
        <f>'A) Base RI'!A254</f>
        <v>5830</v>
      </c>
      <c r="B253" s="284" t="str">
        <f>'A) Base RI'!B254</f>
        <v>Villarzel</v>
      </c>
      <c r="C253" s="95">
        <f>'B) D RI'!U254</f>
        <v>12409.986933333334</v>
      </c>
      <c r="D253" s="398">
        <f>'E) PCS'!G259/C253</f>
        <v>17.410494928295048</v>
      </c>
      <c r="E253" s="135">
        <f>'H) Péréquation directe'!I263/C253</f>
        <v>-7.7049216680740207</v>
      </c>
      <c r="F253" s="398">
        <f>+'I) Dépenses thématiques'!U253</f>
        <v>-10.551992431858805</v>
      </c>
      <c r="G253" s="135">
        <f t="shared" si="13"/>
        <v>-0.84641917163777869</v>
      </c>
      <c r="H253" s="399">
        <f>G253-'C) Prél. conj.'!I253</f>
        <v>-6.0604431949990927</v>
      </c>
      <c r="I253" s="403">
        <f t="shared" si="14"/>
        <v>0</v>
      </c>
      <c r="J253" s="55">
        <f t="shared" si="15"/>
        <v>0</v>
      </c>
      <c r="K253" s="399">
        <f t="shared" si="16"/>
        <v>-6.0604431949990927</v>
      </c>
      <c r="L253" s="427"/>
    </row>
    <row r="254" spans="1:12" x14ac:dyDescent="0.25">
      <c r="A254" s="49">
        <f>'A) Base RI'!A255</f>
        <v>5831</v>
      </c>
      <c r="B254" s="284" t="str">
        <f>'A) Base RI'!B255</f>
        <v>Valbroye</v>
      </c>
      <c r="C254" s="95">
        <f>'B) D RI'!U255</f>
        <v>81068.822458628842</v>
      </c>
      <c r="D254" s="398">
        <f>'E) PCS'!G260/C254</f>
        <v>17.529063532890255</v>
      </c>
      <c r="E254" s="135">
        <f>'H) Péréquation directe'!I264/C254</f>
        <v>-13.480051570206248</v>
      </c>
      <c r="F254" s="398">
        <f>+'I) Dépenses thématiques'!U254</f>
        <v>-11.98865094832494</v>
      </c>
      <c r="G254" s="135">
        <f t="shared" si="13"/>
        <v>-7.9396389856409328</v>
      </c>
      <c r="H254" s="399">
        <f>G254-'C) Prél. conj.'!I254</f>
        <v>-13.272231613597452</v>
      </c>
      <c r="I254" s="403">
        <f t="shared" si="14"/>
        <v>0</v>
      </c>
      <c r="J254" s="55">
        <f t="shared" si="15"/>
        <v>0</v>
      </c>
      <c r="K254" s="399">
        <f t="shared" si="16"/>
        <v>-13.272231613597452</v>
      </c>
      <c r="L254" s="427"/>
    </row>
    <row r="255" spans="1:12" x14ac:dyDescent="0.25">
      <c r="A255" s="49">
        <f>'A) Base RI'!A256</f>
        <v>5841</v>
      </c>
      <c r="B255" s="284" t="str">
        <f>'A) Base RI'!B256</f>
        <v>Château-d'Oex</v>
      </c>
      <c r="C255" s="95">
        <f>'B) D RI'!U256</f>
        <v>110857.63779141105</v>
      </c>
      <c r="D255" s="398">
        <f>'E) PCS'!G261/C255</f>
        <v>20.264539130263504</v>
      </c>
      <c r="E255" s="135">
        <f>'H) Péréquation directe'!I265/C255</f>
        <v>-5.8109507729063621</v>
      </c>
      <c r="F255" s="398">
        <f>+'I) Dépenses thématiques'!U255</f>
        <v>-21.685210159130659</v>
      </c>
      <c r="G255" s="135">
        <f t="shared" si="13"/>
        <v>-7.2316218017735174</v>
      </c>
      <c r="H255" s="399">
        <f>G255-'C) Prél. conj.'!I255</f>
        <v>-15.299690027103285</v>
      </c>
      <c r="I255" s="403">
        <f t="shared" si="14"/>
        <v>0</v>
      </c>
      <c r="J255" s="55">
        <f t="shared" si="15"/>
        <v>0</v>
      </c>
      <c r="K255" s="399">
        <f t="shared" si="16"/>
        <v>-15.299690027103285</v>
      </c>
      <c r="L255" s="427"/>
    </row>
    <row r="256" spans="1:12" x14ac:dyDescent="0.25">
      <c r="A256" s="49">
        <f>'A) Base RI'!A257</f>
        <v>5842</v>
      </c>
      <c r="B256" s="284" t="str">
        <f>'A) Base RI'!B257</f>
        <v>Rossinière</v>
      </c>
      <c r="C256" s="95">
        <f>'B) D RI'!U257</f>
        <v>14944.680411522633</v>
      </c>
      <c r="D256" s="398">
        <f>'E) PCS'!G262/C256</f>
        <v>15.11263731330993</v>
      </c>
      <c r="E256" s="135">
        <f>'H) Péréquation directe'!I266/C256</f>
        <v>-4.9061407324998907</v>
      </c>
      <c r="F256" s="398">
        <f>+'I) Dépenses thématiques'!U256</f>
        <v>-22.510461780289553</v>
      </c>
      <c r="G256" s="135">
        <f t="shared" si="13"/>
        <v>-12.303965199479514</v>
      </c>
      <c r="H256" s="399">
        <f>G256-'C) Prél. conj.'!I256</f>
        <v>-15.220131607855706</v>
      </c>
      <c r="I256" s="403">
        <f t="shared" si="14"/>
        <v>0</v>
      </c>
      <c r="J256" s="55">
        <f t="shared" si="15"/>
        <v>0</v>
      </c>
      <c r="K256" s="399">
        <f t="shared" si="16"/>
        <v>-15.220131607855706</v>
      </c>
      <c r="L256" s="427"/>
    </row>
    <row r="257" spans="1:13" x14ac:dyDescent="0.25">
      <c r="A257" s="49">
        <f>'A) Base RI'!A258</f>
        <v>5843</v>
      </c>
      <c r="B257" s="284" t="str">
        <f>'A) Base RI'!B258</f>
        <v>Rougemont</v>
      </c>
      <c r="C257" s="95">
        <f>'B) D RI'!U258</f>
        <v>97088.109459459462</v>
      </c>
      <c r="D257" s="398">
        <f>'E) PCS'!G263/C257</f>
        <v>39.859692352694061</v>
      </c>
      <c r="E257" s="135">
        <f>'H) Péréquation directe'!I267/C257</f>
        <v>17.546625321706038</v>
      </c>
      <c r="F257" s="398">
        <f>+'I) Dépenses thématiques'!U257</f>
        <v>0</v>
      </c>
      <c r="G257" s="135">
        <f t="shared" si="13"/>
        <v>57.4063176744001</v>
      </c>
      <c r="H257" s="399">
        <f>G257-'C) Prél. conj.'!I257</f>
        <v>45.442833562218411</v>
      </c>
      <c r="I257" s="403">
        <f t="shared" si="14"/>
        <v>0</v>
      </c>
      <c r="J257" s="55">
        <f t="shared" si="15"/>
        <v>0</v>
      </c>
      <c r="K257" s="399">
        <f t="shared" si="16"/>
        <v>45.442833562218411</v>
      </c>
      <c r="L257" s="427"/>
    </row>
    <row r="258" spans="1:13" x14ac:dyDescent="0.25">
      <c r="A258" s="49">
        <f>'A) Base RI'!A259</f>
        <v>5851</v>
      </c>
      <c r="B258" s="284" t="str">
        <f>'A) Base RI'!B259</f>
        <v>Allaman</v>
      </c>
      <c r="C258" s="95">
        <f>'B) D RI'!U259</f>
        <v>24875.935818181821</v>
      </c>
      <c r="D258" s="398">
        <f>'E) PCS'!G264/C258</f>
        <v>16.318063082060334</v>
      </c>
      <c r="E258" s="135">
        <f>'H) Péréquation directe'!I268/C258</f>
        <v>16.497833734888353</v>
      </c>
      <c r="F258" s="398">
        <f>+'I) Dépenses thématiques'!U258</f>
        <v>-0.70241116630225275</v>
      </c>
      <c r="G258" s="135">
        <f t="shared" si="13"/>
        <v>32.113485650646432</v>
      </c>
      <c r="H258" s="399">
        <f>G258-'C) Prél. conj.'!I258</f>
        <v>29.954811082883985</v>
      </c>
      <c r="I258" s="403">
        <f t="shared" si="14"/>
        <v>0</v>
      </c>
      <c r="J258" s="55">
        <f t="shared" si="15"/>
        <v>0</v>
      </c>
      <c r="K258" s="399">
        <f t="shared" si="16"/>
        <v>29.954811082883985</v>
      </c>
      <c r="L258" s="427"/>
    </row>
    <row r="259" spans="1:13" x14ac:dyDescent="0.25">
      <c r="A259" s="49">
        <f>'A) Base RI'!A260</f>
        <v>5852</v>
      </c>
      <c r="B259" s="284" t="str">
        <f>'A) Base RI'!B260</f>
        <v>Bursinel</v>
      </c>
      <c r="C259" s="95">
        <f>'B) D RI'!U260</f>
        <v>34636.657688172039</v>
      </c>
      <c r="D259" s="398">
        <f>'E) PCS'!G265/C259</f>
        <v>21.447506099205562</v>
      </c>
      <c r="E259" s="135">
        <f>'H) Péréquation directe'!I269/C259</f>
        <v>16.799368512018333</v>
      </c>
      <c r="F259" s="398">
        <f>+'I) Dépenses thématiques'!U259</f>
        <v>0</v>
      </c>
      <c r="G259" s="135">
        <f t="shared" si="13"/>
        <v>38.246874611223895</v>
      </c>
      <c r="H259" s="399">
        <f>G259-'C) Prél. conj.'!I259</f>
        <v>33.321693419210241</v>
      </c>
      <c r="I259" s="403">
        <f t="shared" si="14"/>
        <v>0</v>
      </c>
      <c r="J259" s="55">
        <f t="shared" si="15"/>
        <v>0</v>
      </c>
      <c r="K259" s="399">
        <f t="shared" si="16"/>
        <v>33.321693419210241</v>
      </c>
      <c r="L259" s="427"/>
    </row>
    <row r="260" spans="1:13" x14ac:dyDescent="0.25">
      <c r="A260" s="49">
        <f>'A) Base RI'!A261</f>
        <v>5853</v>
      </c>
      <c r="B260" s="284" t="str">
        <f>'A) Base RI'!B261</f>
        <v>Bursins</v>
      </c>
      <c r="C260" s="95">
        <f>'B) D RI'!U261</f>
        <v>44486.311690140843</v>
      </c>
      <c r="D260" s="398">
        <f>'E) PCS'!G266/C260</f>
        <v>20.882188359110913</v>
      </c>
      <c r="E260" s="135">
        <f>'H) Péréquation directe'!I270/C260</f>
        <v>16.486562758322822</v>
      </c>
      <c r="F260" s="398">
        <f>+'I) Dépenses thématiques'!U260</f>
        <v>-0.16054413056628378</v>
      </c>
      <c r="G260" s="135">
        <f t="shared" si="13"/>
        <v>37.208206986867445</v>
      </c>
      <c r="H260" s="399">
        <f>G260-'C) Prél. conj.'!I260</f>
        <v>30.783195356529362</v>
      </c>
      <c r="I260" s="403">
        <f t="shared" si="14"/>
        <v>0</v>
      </c>
      <c r="J260" s="55">
        <f t="shared" si="15"/>
        <v>0</v>
      </c>
      <c r="K260" s="399">
        <f t="shared" si="16"/>
        <v>30.783195356529362</v>
      </c>
      <c r="L260" s="427"/>
    </row>
    <row r="261" spans="1:13" x14ac:dyDescent="0.25">
      <c r="A261" s="49">
        <f>'A) Base RI'!A262</f>
        <v>5854</v>
      </c>
      <c r="B261" s="284" t="str">
        <f>'A) Base RI'!B262</f>
        <v>Burtigny</v>
      </c>
      <c r="C261" s="95">
        <f>'B) D RI'!U262</f>
        <v>15255.967208333332</v>
      </c>
      <c r="D261" s="398">
        <f>'E) PCS'!G267/C261</f>
        <v>14.513927380632495</v>
      </c>
      <c r="E261" s="135">
        <f>'H) Péréquation directe'!I271/C261</f>
        <v>7.087071231870512</v>
      </c>
      <c r="F261" s="398">
        <f>+'I) Dépenses thématiques'!U261</f>
        <v>-5.2711159014437357</v>
      </c>
      <c r="G261" s="135">
        <f t="shared" si="13"/>
        <v>16.32988271105927</v>
      </c>
      <c r="H261" s="399">
        <f>G261-'C) Prél. conj.'!I261</f>
        <v>14.012426235360511</v>
      </c>
      <c r="I261" s="403">
        <f t="shared" si="14"/>
        <v>0</v>
      </c>
      <c r="J261" s="55">
        <f t="shared" si="15"/>
        <v>0</v>
      </c>
      <c r="K261" s="399">
        <f t="shared" si="16"/>
        <v>14.012426235360511</v>
      </c>
      <c r="L261" s="427"/>
    </row>
    <row r="262" spans="1:13" x14ac:dyDescent="0.25">
      <c r="A262" s="49">
        <f>'A) Base RI'!A263</f>
        <v>5855</v>
      </c>
      <c r="B262" s="284" t="str">
        <f>'A) Base RI'!B263</f>
        <v>Dully</v>
      </c>
      <c r="C262" s="95">
        <f>'B) D RI'!U263</f>
        <v>93684.152857142864</v>
      </c>
      <c r="D262" s="398">
        <f>'E) PCS'!G268/C262</f>
        <v>29.599303063489057</v>
      </c>
      <c r="E262" s="135">
        <f>'H) Péréquation directe'!I272/C262</f>
        <v>17.809983516514219</v>
      </c>
      <c r="F262" s="398">
        <f>+'I) Dépenses thématiques'!U262</f>
        <v>0</v>
      </c>
      <c r="G262" s="135">
        <f t="shared" si="13"/>
        <v>47.409286580003275</v>
      </c>
      <c r="H262" s="399">
        <f>G262-'C) Prél. conj.'!I262</f>
        <v>43.842206024665565</v>
      </c>
      <c r="I262" s="403">
        <f t="shared" si="14"/>
        <v>0</v>
      </c>
      <c r="J262" s="55">
        <f t="shared" si="15"/>
        <v>0</v>
      </c>
      <c r="K262" s="399">
        <f t="shared" si="16"/>
        <v>43.842206024665565</v>
      </c>
      <c r="L262" s="427"/>
      <c r="M262" s="394"/>
    </row>
    <row r="263" spans="1:13" x14ac:dyDescent="0.25">
      <c r="A263" s="49">
        <f>'A) Base RI'!A264</f>
        <v>5856</v>
      </c>
      <c r="B263" s="284" t="str">
        <f>'A) Base RI'!B264</f>
        <v>Essertines-sur-Rolle</v>
      </c>
      <c r="C263" s="95">
        <f>'B) D RI'!U264</f>
        <v>42060.670213996527</v>
      </c>
      <c r="D263" s="398">
        <f>'E) PCS'!G269/C263</f>
        <v>19.558656073127224</v>
      </c>
      <c r="E263" s="135">
        <f>'H) Péréquation directe'!I273/C263</f>
        <v>16.420872824197051</v>
      </c>
      <c r="F263" s="398">
        <f>+'I) Dépenses thématiques'!U263</f>
        <v>0</v>
      </c>
      <c r="G263" s="135">
        <f t="shared" ref="G263:G313" si="17">SUM(D263:F263)</f>
        <v>35.979528897324272</v>
      </c>
      <c r="H263" s="399">
        <f>G263-'C) Prél. conj.'!I263</f>
        <v>30.395880353325364</v>
      </c>
      <c r="I263" s="403">
        <f t="shared" ref="I263:I313" si="18">IF(H263&gt;I$5,I$5-H263,0)</f>
        <v>0</v>
      </c>
      <c r="J263" s="55">
        <f t="shared" ref="J263:J313" si="19">I263*C263</f>
        <v>0</v>
      </c>
      <c r="K263" s="399">
        <f t="shared" ref="K263:K313" si="20">H263+I263</f>
        <v>30.395880353325364</v>
      </c>
      <c r="L263" s="427"/>
    </row>
    <row r="264" spans="1:13" x14ac:dyDescent="0.25">
      <c r="A264" s="49">
        <f>'A) Base RI'!A265</f>
        <v>5857</v>
      </c>
      <c r="B264" s="284" t="str">
        <f>'A) Base RI'!B265</f>
        <v>Gilly</v>
      </c>
      <c r="C264" s="95">
        <f>'B) D RI'!U265</f>
        <v>88866.553953488372</v>
      </c>
      <c r="D264" s="398">
        <f>'E) PCS'!G270/C264</f>
        <v>18.151059465580619</v>
      </c>
      <c r="E264" s="135">
        <f>'H) Péréquation directe'!I274/C264</f>
        <v>15.528848180220075</v>
      </c>
      <c r="F264" s="398">
        <f>+'I) Dépenses thématiques'!U264</f>
        <v>0</v>
      </c>
      <c r="G264" s="135">
        <f t="shared" si="17"/>
        <v>33.679907645800697</v>
      </c>
      <c r="H264" s="399">
        <f>G264-'C) Prél. conj.'!I264</f>
        <v>30.914347949082508</v>
      </c>
      <c r="I264" s="403">
        <f t="shared" si="18"/>
        <v>0</v>
      </c>
      <c r="J264" s="55">
        <f t="shared" si="19"/>
        <v>0</v>
      </c>
      <c r="K264" s="399">
        <f t="shared" si="20"/>
        <v>30.914347949082508</v>
      </c>
      <c r="L264" s="427"/>
    </row>
    <row r="265" spans="1:13" x14ac:dyDescent="0.25">
      <c r="A265" s="49">
        <f>'A) Base RI'!A266</f>
        <v>5858</v>
      </c>
      <c r="B265" s="284" t="str">
        <f>'A) Base RI'!B266</f>
        <v>Luins</v>
      </c>
      <c r="C265" s="95">
        <f>'B) D RI'!U266</f>
        <v>38253.397207977199</v>
      </c>
      <c r="D265" s="398">
        <f>'E) PCS'!G271/C265</f>
        <v>16.244824144336441</v>
      </c>
      <c r="E265" s="135">
        <f>'H) Péréquation directe'!I275/C265</f>
        <v>16.599710380942572</v>
      </c>
      <c r="F265" s="398">
        <f>+'I) Dépenses thématiques'!U265</f>
        <v>0</v>
      </c>
      <c r="G265" s="135">
        <f t="shared" si="17"/>
        <v>32.844534525279016</v>
      </c>
      <c r="H265" s="399">
        <f>G265-'C) Prél. conj.'!I265</f>
        <v>31.42807836831577</v>
      </c>
      <c r="I265" s="403">
        <f t="shared" si="18"/>
        <v>0</v>
      </c>
      <c r="J265" s="55">
        <f t="shared" si="19"/>
        <v>0</v>
      </c>
      <c r="K265" s="399">
        <f t="shared" si="20"/>
        <v>31.42807836831577</v>
      </c>
      <c r="L265" s="427"/>
    </row>
    <row r="266" spans="1:13" x14ac:dyDescent="0.25">
      <c r="A266" s="49">
        <f>'A) Base RI'!A267</f>
        <v>5859</v>
      </c>
      <c r="B266" s="284" t="str">
        <f>'A) Base RI'!B267</f>
        <v>Mont-sur-Rolle</v>
      </c>
      <c r="C266" s="95">
        <f>'B) D RI'!U267</f>
        <v>160910.93779527559</v>
      </c>
      <c r="D266" s="398">
        <f>'E) PCS'!G272/C266</f>
        <v>19.926526989178839</v>
      </c>
      <c r="E266" s="135">
        <f>'H) Péréquation directe'!I276/C266</f>
        <v>14.104028239366034</v>
      </c>
      <c r="F266" s="398">
        <f>+'I) Dépenses thématiques'!U266</f>
        <v>0</v>
      </c>
      <c r="G266" s="135">
        <f t="shared" si="17"/>
        <v>34.03055522854487</v>
      </c>
      <c r="H266" s="399">
        <f>G266-'C) Prél. conj.'!I266</f>
        <v>28.613893428282896</v>
      </c>
      <c r="I266" s="403">
        <f t="shared" si="18"/>
        <v>0</v>
      </c>
      <c r="J266" s="55">
        <f t="shared" si="19"/>
        <v>0</v>
      </c>
      <c r="K266" s="399">
        <f t="shared" si="20"/>
        <v>28.613893428282896</v>
      </c>
      <c r="L266" s="427"/>
    </row>
    <row r="267" spans="1:13" x14ac:dyDescent="0.25">
      <c r="A267" s="49">
        <f>'A) Base RI'!A268</f>
        <v>5860</v>
      </c>
      <c r="B267" s="284" t="str">
        <f>'A) Base RI'!B268</f>
        <v>Perroy</v>
      </c>
      <c r="C267" s="95">
        <f>'B) D RI'!U268</f>
        <v>124242.10120973046</v>
      </c>
      <c r="D267" s="398">
        <f>'E) PCS'!G273/C267</f>
        <v>23.507032386584363</v>
      </c>
      <c r="E267" s="135">
        <f>'H) Péréquation directe'!I277/C267</f>
        <v>16.205067170587391</v>
      </c>
      <c r="F267" s="398">
        <f>+'I) Dépenses thématiques'!U267</f>
        <v>0</v>
      </c>
      <c r="G267" s="135">
        <f t="shared" si="17"/>
        <v>39.712099557171754</v>
      </c>
      <c r="H267" s="399">
        <f>G267-'C) Prél. conj.'!I267</f>
        <v>35.589111334884016</v>
      </c>
      <c r="I267" s="403">
        <f t="shared" si="18"/>
        <v>0</v>
      </c>
      <c r="J267" s="55">
        <f t="shared" si="19"/>
        <v>0</v>
      </c>
      <c r="K267" s="399">
        <f t="shared" si="20"/>
        <v>35.589111334884016</v>
      </c>
      <c r="L267" s="427"/>
    </row>
    <row r="268" spans="1:13" x14ac:dyDescent="0.25">
      <c r="A268" s="49">
        <f>'A) Base RI'!A269</f>
        <v>5861</v>
      </c>
      <c r="B268" s="284" t="str">
        <f>'A) Base RI'!B269</f>
        <v>Rolle</v>
      </c>
      <c r="C268" s="95">
        <f>'B) D RI'!U269</f>
        <v>638128.58403361356</v>
      </c>
      <c r="D268" s="398">
        <f>'E) PCS'!G274/C268</f>
        <v>25.770349751272168</v>
      </c>
      <c r="E268" s="135">
        <f>'H) Péréquation directe'!I278/C268</f>
        <v>14.588618581152144</v>
      </c>
      <c r="F268" s="398">
        <f>+'I) Dépenses thématiques'!U268</f>
        <v>0</v>
      </c>
      <c r="G268" s="135">
        <f t="shared" si="17"/>
        <v>40.358968332424311</v>
      </c>
      <c r="H268" s="399">
        <f>G268-'C) Prél. conj.'!I268</f>
        <v>37.518156761907811</v>
      </c>
      <c r="I268" s="403">
        <f t="shared" si="18"/>
        <v>0</v>
      </c>
      <c r="J268" s="55">
        <f t="shared" si="19"/>
        <v>0</v>
      </c>
      <c r="K268" s="399">
        <f t="shared" si="20"/>
        <v>37.518156761907811</v>
      </c>
      <c r="L268" s="427"/>
    </row>
    <row r="269" spans="1:13" x14ac:dyDescent="0.25">
      <c r="A269" s="49">
        <f>'A) Base RI'!A270</f>
        <v>5862</v>
      </c>
      <c r="B269" s="284" t="str">
        <f>'A) Base RI'!B270</f>
        <v>Tartegnin</v>
      </c>
      <c r="C269" s="95">
        <f>'B) D RI'!U270</f>
        <v>7891.022278481013</v>
      </c>
      <c r="D269" s="398">
        <f>'E) PCS'!G275/C269</f>
        <v>14.482004307770826</v>
      </c>
      <c r="E269" s="135">
        <f>'H) Péréquation directe'!I279/C269</f>
        <v>2.9338920564859183</v>
      </c>
      <c r="F269" s="398">
        <f>+'I) Dépenses thématiques'!U269</f>
        <v>0</v>
      </c>
      <c r="G269" s="135">
        <f t="shared" si="17"/>
        <v>17.415896364256746</v>
      </c>
      <c r="H269" s="399">
        <f>G269-'C) Prél. conj.'!I269</f>
        <v>15.130362961419655</v>
      </c>
      <c r="I269" s="403">
        <f t="shared" si="18"/>
        <v>0</v>
      </c>
      <c r="J269" s="55">
        <f t="shared" si="19"/>
        <v>0</v>
      </c>
      <c r="K269" s="399">
        <f t="shared" si="20"/>
        <v>15.130362961419655</v>
      </c>
      <c r="L269" s="427"/>
    </row>
    <row r="270" spans="1:13" x14ac:dyDescent="0.25">
      <c r="A270" s="49">
        <f>'A) Base RI'!A271</f>
        <v>5863</v>
      </c>
      <c r="B270" s="284" t="str">
        <f>'A) Base RI'!B271</f>
        <v>Vinzel</v>
      </c>
      <c r="C270" s="95">
        <f>'B) D RI'!U271</f>
        <v>21424.128507462683</v>
      </c>
      <c r="D270" s="398">
        <f>'E) PCS'!G276/C270</f>
        <v>19.313245985496366</v>
      </c>
      <c r="E270" s="135">
        <f>'H) Péréquation directe'!I280/C270</f>
        <v>16.505594436250881</v>
      </c>
      <c r="F270" s="398">
        <f>+'I) Dépenses thématiques'!U270</f>
        <v>0</v>
      </c>
      <c r="G270" s="135">
        <f t="shared" si="17"/>
        <v>35.818840421747247</v>
      </c>
      <c r="H270" s="399">
        <f>G270-'C) Prél. conj.'!I270</f>
        <v>30.934327384796948</v>
      </c>
      <c r="I270" s="403">
        <f t="shared" si="18"/>
        <v>0</v>
      </c>
      <c r="J270" s="55">
        <f t="shared" si="19"/>
        <v>0</v>
      </c>
      <c r="K270" s="399">
        <f t="shared" si="20"/>
        <v>30.934327384796948</v>
      </c>
      <c r="L270" s="427"/>
    </row>
    <row r="271" spans="1:13" x14ac:dyDescent="0.25">
      <c r="A271" s="49">
        <f>'A) Base RI'!A272</f>
        <v>5871</v>
      </c>
      <c r="B271" s="284" t="str">
        <f>'A) Base RI'!B272</f>
        <v>L'Abbaye</v>
      </c>
      <c r="C271" s="95">
        <f>'B) D RI'!U272</f>
        <v>52137.53921442369</v>
      </c>
      <c r="D271" s="398">
        <f>'E) PCS'!G277/C271</f>
        <v>21.517446392506365</v>
      </c>
      <c r="E271" s="135">
        <f>'H) Péréquation directe'!I281/C271</f>
        <v>2.8586294641540562</v>
      </c>
      <c r="F271" s="398">
        <f>+'I) Dépenses thématiques'!U271</f>
        <v>-7.9910803423226584</v>
      </c>
      <c r="G271" s="135">
        <f t="shared" si="17"/>
        <v>16.384995514337763</v>
      </c>
      <c r="H271" s="399">
        <f>G271-'C) Prél. conj.'!I271</f>
        <v>7.0640200267651334</v>
      </c>
      <c r="I271" s="403">
        <f t="shared" si="18"/>
        <v>0</v>
      </c>
      <c r="J271" s="55">
        <f t="shared" si="19"/>
        <v>0</v>
      </c>
      <c r="K271" s="399">
        <f t="shared" si="20"/>
        <v>7.0640200267651334</v>
      </c>
      <c r="L271" s="427"/>
    </row>
    <row r="272" spans="1:13" x14ac:dyDescent="0.25">
      <c r="A272" s="49">
        <f>'A) Base RI'!A273</f>
        <v>5872</v>
      </c>
      <c r="B272" s="284" t="str">
        <f>'A) Base RI'!B273</f>
        <v>Le Chenit</v>
      </c>
      <c r="C272" s="95">
        <f>'B) D RI'!U273</f>
        <v>199146.55575459031</v>
      </c>
      <c r="D272" s="398">
        <f>'E) PCS'!G278/C272</f>
        <v>26.577753469163998</v>
      </c>
      <c r="E272" s="135">
        <f>'H) Péréquation directe'!I282/C272</f>
        <v>8.6140049905052543</v>
      </c>
      <c r="F272" s="398">
        <f>+'I) Dépenses thématiques'!U272</f>
        <v>-8.6154891916425616</v>
      </c>
      <c r="G272" s="135">
        <f t="shared" si="17"/>
        <v>26.576269268026692</v>
      </c>
      <c r="H272" s="399">
        <f>G272-'C) Prél. conj.'!I272</f>
        <v>12.194986703796429</v>
      </c>
      <c r="I272" s="403">
        <f t="shared" si="18"/>
        <v>0</v>
      </c>
      <c r="J272" s="55">
        <f t="shared" si="19"/>
        <v>0</v>
      </c>
      <c r="K272" s="399">
        <f t="shared" si="20"/>
        <v>12.194986703796429</v>
      </c>
      <c r="L272" s="427"/>
    </row>
    <row r="273" spans="1:12" x14ac:dyDescent="0.25">
      <c r="A273" s="49">
        <f>'A) Base RI'!A274</f>
        <v>5873</v>
      </c>
      <c r="B273" s="284" t="str">
        <f>'A) Base RI'!B274</f>
        <v>Le Lieu</v>
      </c>
      <c r="C273" s="95">
        <f>'B) D RI'!U274</f>
        <v>31475.129392857143</v>
      </c>
      <c r="D273" s="398">
        <f>'E) PCS'!G279/C273</f>
        <v>24.044984388237548</v>
      </c>
      <c r="E273" s="135">
        <f>'H) Péréquation directe'!I283/C273</f>
        <v>8.2267105832548246</v>
      </c>
      <c r="F273" s="398">
        <f>+'I) Dépenses thématiques'!U273</f>
        <v>-22.34666354565752</v>
      </c>
      <c r="G273" s="135">
        <f t="shared" si="17"/>
        <v>9.9250314258348524</v>
      </c>
      <c r="H273" s="399">
        <f>G273-'C) Prél. conj.'!I273</f>
        <v>-1.9234820574689593</v>
      </c>
      <c r="I273" s="403">
        <f t="shared" si="18"/>
        <v>0</v>
      </c>
      <c r="J273" s="55">
        <f t="shared" si="19"/>
        <v>0</v>
      </c>
      <c r="K273" s="399">
        <f t="shared" si="20"/>
        <v>-1.9234820574689593</v>
      </c>
      <c r="L273" s="427"/>
    </row>
    <row r="274" spans="1:12" x14ac:dyDescent="0.25">
      <c r="A274" s="49">
        <f>'A) Base RI'!A275</f>
        <v>5881</v>
      </c>
      <c r="B274" s="284" t="str">
        <f>'A) Base RI'!B275</f>
        <v>Blonay</v>
      </c>
      <c r="C274" s="95">
        <f>'B) D RI'!U275</f>
        <v>371401.9382481752</v>
      </c>
      <c r="D274" s="398">
        <f>'E) PCS'!G280/C274</f>
        <v>21.342865880238381</v>
      </c>
      <c r="E274" s="135">
        <f>'H) Péréquation directe'!I284/C274</f>
        <v>11.668867317487335</v>
      </c>
      <c r="F274" s="398">
        <f>+'I) Dépenses thématiques'!U274</f>
        <v>-2.5893757349812176</v>
      </c>
      <c r="G274" s="135">
        <f t="shared" si="17"/>
        <v>30.4223574627445</v>
      </c>
      <c r="H274" s="399">
        <f>G274-'C) Prél. conj.'!I274</f>
        <v>23.859884346701264</v>
      </c>
      <c r="I274" s="403">
        <f t="shared" si="18"/>
        <v>0</v>
      </c>
      <c r="J274" s="55">
        <f t="shared" si="19"/>
        <v>0</v>
      </c>
      <c r="K274" s="399">
        <f t="shared" si="20"/>
        <v>23.859884346701264</v>
      </c>
      <c r="L274" s="427"/>
    </row>
    <row r="275" spans="1:12" x14ac:dyDescent="0.25">
      <c r="A275" s="49">
        <f>'A) Base RI'!A276</f>
        <v>5882</v>
      </c>
      <c r="B275" s="284" t="str">
        <f>'A) Base RI'!B276</f>
        <v>Chardonne</v>
      </c>
      <c r="C275" s="95">
        <f>'B) D RI'!U276</f>
        <v>186949.52411764706</v>
      </c>
      <c r="D275" s="398">
        <f>'E) PCS'!G281/C275</f>
        <v>19.188169160033446</v>
      </c>
      <c r="E275" s="135">
        <f>'H) Péréquation directe'!I285/C275</f>
        <v>14.041939536240456</v>
      </c>
      <c r="F275" s="398">
        <f>+'I) Dépenses thématiques'!U275</f>
        <v>-1.692179248849212</v>
      </c>
      <c r="G275" s="135">
        <f t="shared" si="17"/>
        <v>31.537929447424691</v>
      </c>
      <c r="H275" s="399">
        <f>G275-'C) Prél. conj.'!I275</f>
        <v>27.610572111452239</v>
      </c>
      <c r="I275" s="403">
        <f t="shared" si="18"/>
        <v>0</v>
      </c>
      <c r="J275" s="55">
        <f t="shared" si="19"/>
        <v>0</v>
      </c>
      <c r="K275" s="399">
        <f t="shared" si="20"/>
        <v>27.610572111452239</v>
      </c>
      <c r="L275" s="427"/>
    </row>
    <row r="276" spans="1:12" x14ac:dyDescent="0.25">
      <c r="A276" s="49">
        <f>'A) Base RI'!A277</f>
        <v>5883</v>
      </c>
      <c r="B276" s="284" t="str">
        <f>'A) Base RI'!B277</f>
        <v>Corseaux</v>
      </c>
      <c r="C276" s="95">
        <f>'B) D RI'!U277</f>
        <v>193095.30118518518</v>
      </c>
      <c r="D276" s="398">
        <f>'E) PCS'!G282/C276</f>
        <v>28.712929777742456</v>
      </c>
      <c r="E276" s="135">
        <f>'H) Péréquation directe'!I286/C276</f>
        <v>15.602286555806133</v>
      </c>
      <c r="F276" s="398">
        <f>+'I) Dépenses thématiques'!U276</f>
        <v>0</v>
      </c>
      <c r="G276" s="135">
        <f t="shared" si="17"/>
        <v>44.315216333548591</v>
      </c>
      <c r="H276" s="399">
        <f>G276-'C) Prél. conj.'!I276</f>
        <v>36.275256969073332</v>
      </c>
      <c r="I276" s="403">
        <f t="shared" si="18"/>
        <v>0</v>
      </c>
      <c r="J276" s="55">
        <f t="shared" si="19"/>
        <v>0</v>
      </c>
      <c r="K276" s="399">
        <f t="shared" si="20"/>
        <v>36.275256969073332</v>
      </c>
      <c r="L276" s="427"/>
    </row>
    <row r="277" spans="1:12" x14ac:dyDescent="0.25">
      <c r="A277" s="49">
        <f>'A) Base RI'!A278</f>
        <v>5884</v>
      </c>
      <c r="B277" s="284" t="str">
        <f>'A) Base RI'!B278</f>
        <v>Corsier-sur-Vevey</v>
      </c>
      <c r="C277" s="95">
        <f>'B) D RI'!U278</f>
        <v>148896.79012919901</v>
      </c>
      <c r="D277" s="398">
        <f>'E) PCS'!G283/C277</f>
        <v>15.93880802661711</v>
      </c>
      <c r="E277" s="135">
        <f>'H) Péréquation directe'!I287/C277</f>
        <v>10.128253395377646</v>
      </c>
      <c r="F277" s="398">
        <f>+'I) Dépenses thématiques'!U277</f>
        <v>-9.1636898823733297</v>
      </c>
      <c r="G277" s="135">
        <f t="shared" si="17"/>
        <v>16.903371539621428</v>
      </c>
      <c r="H277" s="399">
        <f>G277-'C) Prél. conj.'!I277</f>
        <v>13.161034417938055</v>
      </c>
      <c r="I277" s="403">
        <f t="shared" si="18"/>
        <v>0</v>
      </c>
      <c r="J277" s="55">
        <f t="shared" si="19"/>
        <v>0</v>
      </c>
      <c r="K277" s="399">
        <f t="shared" si="20"/>
        <v>13.161034417938055</v>
      </c>
      <c r="L277" s="427"/>
    </row>
    <row r="278" spans="1:12" x14ac:dyDescent="0.25">
      <c r="A278" s="49">
        <f>'A) Base RI'!A279</f>
        <v>5885</v>
      </c>
      <c r="B278" s="284" t="str">
        <f>'A) Base RI'!B279</f>
        <v>Jongny</v>
      </c>
      <c r="C278" s="95">
        <f>'B) D RI'!U279</f>
        <v>97076.940527577928</v>
      </c>
      <c r="D278" s="398">
        <f>'E) PCS'!G284/C278</f>
        <v>19.578642206555507</v>
      </c>
      <c r="E278" s="135">
        <f>'H) Péréquation directe'!I288/C278</f>
        <v>14.472663995295861</v>
      </c>
      <c r="F278" s="398">
        <f>+'I) Dépenses thématiques'!U278</f>
        <v>-0.77925413000672616</v>
      </c>
      <c r="G278" s="135">
        <f t="shared" si="17"/>
        <v>33.272052071844641</v>
      </c>
      <c r="H278" s="399">
        <f>G278-'C) Prél. conj.'!I278</f>
        <v>27.284032910539665</v>
      </c>
      <c r="I278" s="403">
        <f t="shared" si="18"/>
        <v>0</v>
      </c>
      <c r="J278" s="55">
        <f t="shared" si="19"/>
        <v>0</v>
      </c>
      <c r="K278" s="399">
        <f t="shared" si="20"/>
        <v>27.284032910539665</v>
      </c>
      <c r="L278" s="427"/>
    </row>
    <row r="279" spans="1:12" x14ac:dyDescent="0.25">
      <c r="A279" s="49">
        <f>'A) Base RI'!A280</f>
        <v>5886</v>
      </c>
      <c r="B279" s="284" t="str">
        <f>'A) Base RI'!B280</f>
        <v>Montreux</v>
      </c>
      <c r="C279" s="95">
        <f>'B) D RI'!U280</f>
        <v>1223405.0430769229</v>
      </c>
      <c r="D279" s="398">
        <f>'E) PCS'!G285/C279</f>
        <v>24.892880935199855</v>
      </c>
      <c r="E279" s="135">
        <f>'H) Péréquation directe'!I289/C279</f>
        <v>0.76176474500585556</v>
      </c>
      <c r="F279" s="398">
        <f>+'I) Dépenses thématiques'!U279</f>
        <v>-5.0082845059398036</v>
      </c>
      <c r="G279" s="135">
        <f t="shared" si="17"/>
        <v>20.646361174265905</v>
      </c>
      <c r="H279" s="399">
        <f>G279-'C) Prél. conj.'!I279</f>
        <v>7.949951143999785</v>
      </c>
      <c r="I279" s="403">
        <f t="shared" si="18"/>
        <v>0</v>
      </c>
      <c r="J279" s="55">
        <f t="shared" si="19"/>
        <v>0</v>
      </c>
      <c r="K279" s="399">
        <f t="shared" si="20"/>
        <v>7.949951143999785</v>
      </c>
      <c r="L279" s="427"/>
    </row>
    <row r="280" spans="1:12" x14ac:dyDescent="0.25">
      <c r="A280" s="49">
        <f>'A) Base RI'!A281</f>
        <v>5888</v>
      </c>
      <c r="B280" s="284" t="str">
        <f>'A) Base RI'!B281</f>
        <v>Saint-Légier-La Chiésaz</v>
      </c>
      <c r="C280" s="95">
        <f>'B) D RI'!U281</f>
        <v>334017.18953771284</v>
      </c>
      <c r="D280" s="398">
        <f>'E) PCS'!G286/C280</f>
        <v>19.030964736357468</v>
      </c>
      <c r="E280" s="135">
        <f>'H) Péréquation directe'!I290/C280</f>
        <v>12.064839752794294</v>
      </c>
      <c r="F280" s="398">
        <f>+'I) Dépenses thématiques'!U280</f>
        <v>-5.2087340864952774</v>
      </c>
      <c r="G280" s="135">
        <f t="shared" si="17"/>
        <v>25.887070402656484</v>
      </c>
      <c r="H280" s="399">
        <f>G280-'C) Prél. conj.'!I280</f>
        <v>21.711940143851216</v>
      </c>
      <c r="I280" s="403">
        <f t="shared" si="18"/>
        <v>0</v>
      </c>
      <c r="J280" s="55">
        <f t="shared" si="19"/>
        <v>0</v>
      </c>
      <c r="K280" s="399">
        <f t="shared" si="20"/>
        <v>21.711940143851216</v>
      </c>
      <c r="L280" s="427"/>
    </row>
    <row r="281" spans="1:12" x14ac:dyDescent="0.25">
      <c r="A281" s="49">
        <f>'A) Base RI'!A282</f>
        <v>5889</v>
      </c>
      <c r="B281" s="284" t="str">
        <f>'A) Base RI'!B282</f>
        <v>La Tour-de-Peilz</v>
      </c>
      <c r="C281" s="95">
        <f>'B) D RI'!U282</f>
        <v>740535.59942708339</v>
      </c>
      <c r="D281" s="398">
        <f>'E) PCS'!G287/C281</f>
        <v>17.725812192134075</v>
      </c>
      <c r="E281" s="135">
        <f>'H) Péréquation directe'!I291/C281</f>
        <v>9.2246534433778198</v>
      </c>
      <c r="F281" s="398">
        <f>+'I) Dépenses thématiques'!U281</f>
        <v>-0.21889245238568783</v>
      </c>
      <c r="G281" s="135">
        <f t="shared" si="17"/>
        <v>26.731573183126208</v>
      </c>
      <c r="H281" s="399">
        <f>G281-'C) Prél. conj.'!I281</f>
        <v>24.046743930436421</v>
      </c>
      <c r="I281" s="403">
        <f t="shared" si="18"/>
        <v>0</v>
      </c>
      <c r="J281" s="55">
        <f t="shared" si="19"/>
        <v>0</v>
      </c>
      <c r="K281" s="399">
        <f t="shared" si="20"/>
        <v>24.046743930436421</v>
      </c>
      <c r="L281" s="427"/>
    </row>
    <row r="282" spans="1:12" x14ac:dyDescent="0.25">
      <c r="A282" s="49">
        <f>'A) Base RI'!A283</f>
        <v>5890</v>
      </c>
      <c r="B282" s="284" t="str">
        <f>'A) Base RI'!B283</f>
        <v>Vevey</v>
      </c>
      <c r="C282" s="95">
        <f>'B) D RI'!U283</f>
        <v>969776.79771812086</v>
      </c>
      <c r="D282" s="398">
        <f>'E) PCS'!G288/C282</f>
        <v>15.883843876825471</v>
      </c>
      <c r="E282" s="135">
        <f>'H) Péréquation directe'!I292/C282</f>
        <v>3.4935986979187841</v>
      </c>
      <c r="F282" s="398">
        <f>+'I) Dépenses thématiques'!U282</f>
        <v>-3.7706364209737862</v>
      </c>
      <c r="G282" s="135">
        <f t="shared" si="17"/>
        <v>15.606806153770467</v>
      </c>
      <c r="H282" s="399">
        <f>G282-'C) Prél. conj.'!I282</f>
        <v>12.15785814545548</v>
      </c>
      <c r="I282" s="403">
        <f t="shared" si="18"/>
        <v>0</v>
      </c>
      <c r="J282" s="55">
        <f t="shared" si="19"/>
        <v>0</v>
      </c>
      <c r="K282" s="399">
        <f t="shared" si="20"/>
        <v>12.15785814545548</v>
      </c>
      <c r="L282" s="427"/>
    </row>
    <row r="283" spans="1:12" x14ac:dyDescent="0.25">
      <c r="A283" s="49">
        <f>'A) Base RI'!A284</f>
        <v>5891</v>
      </c>
      <c r="B283" s="284" t="str">
        <f>'A) Base RI'!B284</f>
        <v>Veytaux</v>
      </c>
      <c r="C283" s="95">
        <f>'B) D RI'!U284</f>
        <v>39123.353381294961</v>
      </c>
      <c r="D283" s="398">
        <f>'E) PCS'!G289/C283</f>
        <v>15.54244533417544</v>
      </c>
      <c r="E283" s="135">
        <f>'H) Péréquation directe'!I293/C283</f>
        <v>12.195525278737007</v>
      </c>
      <c r="F283" s="398">
        <f>+'I) Dépenses thématiques'!U283</f>
        <v>-14.853880469103689</v>
      </c>
      <c r="G283" s="135">
        <f t="shared" si="17"/>
        <v>12.884090143808759</v>
      </c>
      <c r="H283" s="399">
        <f>G283-'C) Prél. conj.'!I283</f>
        <v>9.5381157145670521</v>
      </c>
      <c r="I283" s="403">
        <f t="shared" si="18"/>
        <v>0</v>
      </c>
      <c r="J283" s="55">
        <f t="shared" si="19"/>
        <v>0</v>
      </c>
      <c r="K283" s="399">
        <f t="shared" si="20"/>
        <v>9.5381157145670521</v>
      </c>
      <c r="L283" s="427"/>
    </row>
    <row r="284" spans="1:12" x14ac:dyDescent="0.25">
      <c r="A284" s="49">
        <f>'A) Base RI'!A285</f>
        <v>5902</v>
      </c>
      <c r="B284" s="284" t="str">
        <f>'A) Base RI'!B285</f>
        <v>Belmont-sur-Yverdon</v>
      </c>
      <c r="C284" s="95">
        <f>'B) D RI'!U285</f>
        <v>12109.15</v>
      </c>
      <c r="D284" s="398">
        <f>'E) PCS'!G290/C284</f>
        <v>14.788583068050054</v>
      </c>
      <c r="E284" s="135">
        <f>'H) Péréquation directe'!I294/C284</f>
        <v>1.4949027428048078</v>
      </c>
      <c r="F284" s="398">
        <f>+'I) Dépenses thématiques'!U284</f>
        <v>-9.5370432689329956</v>
      </c>
      <c r="G284" s="135">
        <f t="shared" si="17"/>
        <v>6.7464425419218674</v>
      </c>
      <c r="H284" s="399">
        <f>G284-'C) Prél. conj.'!I284</f>
        <v>4.1543303788055468</v>
      </c>
      <c r="I284" s="403">
        <f t="shared" si="18"/>
        <v>0</v>
      </c>
      <c r="J284" s="55">
        <f t="shared" si="19"/>
        <v>0</v>
      </c>
      <c r="K284" s="399">
        <f t="shared" si="20"/>
        <v>4.1543303788055468</v>
      </c>
      <c r="L284" s="427"/>
    </row>
    <row r="285" spans="1:12" x14ac:dyDescent="0.25">
      <c r="A285" s="49">
        <f>'A) Base RI'!A286</f>
        <v>5903</v>
      </c>
      <c r="B285" s="284" t="str">
        <f>'A) Base RI'!B286</f>
        <v>Bioley-Magnoux</v>
      </c>
      <c r="C285" s="95">
        <f>'B) D RI'!U286</f>
        <v>6059.1993849206356</v>
      </c>
      <c r="D285" s="398">
        <f>'E) PCS'!G291/C285</f>
        <v>13.972341662179156</v>
      </c>
      <c r="E285" s="135">
        <f>'H) Péréquation directe'!I295/C285</f>
        <v>-4.1496493389590929</v>
      </c>
      <c r="F285" s="398">
        <f>+'I) Dépenses thématiques'!U285</f>
        <v>-25.242221692262245</v>
      </c>
      <c r="G285" s="135">
        <f t="shared" si="17"/>
        <v>-15.419529369042181</v>
      </c>
      <c r="H285" s="399">
        <f>G285-'C) Prél. conj.'!I285</f>
        <v>-17.195400126287602</v>
      </c>
      <c r="I285" s="403">
        <f t="shared" si="18"/>
        <v>0</v>
      </c>
      <c r="J285" s="55">
        <f t="shared" si="19"/>
        <v>0</v>
      </c>
      <c r="K285" s="399">
        <f t="shared" si="20"/>
        <v>-17.195400126287602</v>
      </c>
      <c r="L285" s="427"/>
    </row>
    <row r="286" spans="1:12" x14ac:dyDescent="0.25">
      <c r="A286" s="49">
        <f>'A) Base RI'!A287</f>
        <v>5904</v>
      </c>
      <c r="B286" s="284" t="str">
        <f>'A) Base RI'!B287</f>
        <v>Chamblon</v>
      </c>
      <c r="C286" s="95">
        <f>'B) D RI'!U287</f>
        <v>22178.215151515149</v>
      </c>
      <c r="D286" s="398">
        <f>'E) PCS'!G292/C286</f>
        <v>13.686917037509094</v>
      </c>
      <c r="E286" s="135">
        <f>'H) Péréquation directe'!I296/C286</f>
        <v>11.601948738594874</v>
      </c>
      <c r="F286" s="398">
        <f>+'I) Dépenses thématiques'!U286</f>
        <v>0</v>
      </c>
      <c r="G286" s="135">
        <f t="shared" si="17"/>
        <v>25.288865776103968</v>
      </c>
      <c r="H286" s="399">
        <f>G286-'C) Prél. conj.'!I286</f>
        <v>23.798419643528607</v>
      </c>
      <c r="I286" s="403">
        <f t="shared" si="18"/>
        <v>0</v>
      </c>
      <c r="J286" s="55">
        <f t="shared" si="19"/>
        <v>0</v>
      </c>
      <c r="K286" s="399">
        <f t="shared" si="20"/>
        <v>23.798419643528607</v>
      </c>
      <c r="L286" s="427"/>
    </row>
    <row r="287" spans="1:12" x14ac:dyDescent="0.25">
      <c r="A287" s="49">
        <f>'A) Base RI'!A288</f>
        <v>5905</v>
      </c>
      <c r="B287" s="284" t="str">
        <f>'A) Base RI'!B288</f>
        <v>Champvent</v>
      </c>
      <c r="C287" s="95">
        <f>'B) D RI'!U288</f>
        <v>23298.236142857142</v>
      </c>
      <c r="D287" s="398">
        <f>'E) PCS'!G293/C287</f>
        <v>19.697299462445688</v>
      </c>
      <c r="E287" s="135">
        <f>'H) Péréquation directe'!I297/C287</f>
        <v>5.4724707202401159</v>
      </c>
      <c r="F287" s="398">
        <f>+'I) Dépenses thématiques'!U287</f>
        <v>-0.99158390764259785</v>
      </c>
      <c r="G287" s="135">
        <f t="shared" si="17"/>
        <v>24.178186275043203</v>
      </c>
      <c r="H287" s="399">
        <f>G287-'C) Prél. conj.'!I287</f>
        <v>16.677357717531251</v>
      </c>
      <c r="I287" s="403">
        <f t="shared" si="18"/>
        <v>0</v>
      </c>
      <c r="J287" s="55">
        <f t="shared" si="19"/>
        <v>0</v>
      </c>
      <c r="K287" s="399">
        <f t="shared" si="20"/>
        <v>16.677357717531251</v>
      </c>
      <c r="L287" s="427"/>
    </row>
    <row r="288" spans="1:12" x14ac:dyDescent="0.25">
      <c r="A288" s="49">
        <f>'A) Base RI'!A289</f>
        <v>5907</v>
      </c>
      <c r="B288" s="284" t="str">
        <f>'A) Base RI'!B289</f>
        <v>Chavannes-le-Chêne</v>
      </c>
      <c r="C288" s="95">
        <f>'B) D RI'!U289</f>
        <v>7818.3477333333331</v>
      </c>
      <c r="D288" s="398">
        <f>'E) PCS'!G294/C288</f>
        <v>13.822288204643504</v>
      </c>
      <c r="E288" s="135">
        <f>'H) Péréquation directe'!I298/C288</f>
        <v>-9.2545737166060409</v>
      </c>
      <c r="F288" s="398">
        <f>+'I) Dépenses thématiques'!U288</f>
        <v>-8.7158316723970071</v>
      </c>
      <c r="G288" s="135">
        <f t="shared" si="17"/>
        <v>-4.1481171843595437</v>
      </c>
      <c r="H288" s="399">
        <f>G288-'C) Prél. conj.'!I288</f>
        <v>-5.7739344840693132</v>
      </c>
      <c r="I288" s="403">
        <f t="shared" si="18"/>
        <v>0</v>
      </c>
      <c r="J288" s="55">
        <f t="shared" si="19"/>
        <v>0</v>
      </c>
      <c r="K288" s="399">
        <f t="shared" si="20"/>
        <v>-5.7739344840693132</v>
      </c>
      <c r="L288" s="427"/>
    </row>
    <row r="289" spans="1:12" x14ac:dyDescent="0.25">
      <c r="A289" s="49">
        <f>'A) Base RI'!A290</f>
        <v>5908</v>
      </c>
      <c r="B289" s="284" t="str">
        <f>'A) Base RI'!B290</f>
        <v>Chêne-Pâquier</v>
      </c>
      <c r="C289" s="95">
        <f>'B) D RI'!U290</f>
        <v>4413.8781012658228</v>
      </c>
      <c r="D289" s="398">
        <f>'E) PCS'!G295/C289</f>
        <v>13.880723353561175</v>
      </c>
      <c r="E289" s="135">
        <f>'H) Péréquation directe'!I299/C289</f>
        <v>-2.5525311211626276</v>
      </c>
      <c r="F289" s="398">
        <f>+'I) Dépenses thématiques'!U289</f>
        <v>-6.3502145218775858</v>
      </c>
      <c r="G289" s="135">
        <f t="shared" si="17"/>
        <v>4.9779777105209604</v>
      </c>
      <c r="H289" s="399">
        <f>G289-'C) Prél. conj.'!I289</f>
        <v>3.2937252618935196</v>
      </c>
      <c r="I289" s="403">
        <f t="shared" si="18"/>
        <v>0</v>
      </c>
      <c r="J289" s="55">
        <f t="shared" si="19"/>
        <v>0</v>
      </c>
      <c r="K289" s="399">
        <f t="shared" si="20"/>
        <v>3.2937252618935196</v>
      </c>
      <c r="L289" s="427"/>
    </row>
    <row r="290" spans="1:12" x14ac:dyDescent="0.25">
      <c r="A290" s="49">
        <f>'A) Base RI'!A291</f>
        <v>5909</v>
      </c>
      <c r="B290" s="284" t="str">
        <f>'A) Base RI'!B291</f>
        <v>Cheseaux-Noréaz</v>
      </c>
      <c r="C290" s="95">
        <f>'B) D RI'!U291</f>
        <v>36898.573134328355</v>
      </c>
      <c r="D290" s="398">
        <f>'E) PCS'!G296/C290</f>
        <v>16.46004902151622</v>
      </c>
      <c r="E290" s="135">
        <f>'H) Péréquation directe'!I300/C290</f>
        <v>16.19295112334429</v>
      </c>
      <c r="F290" s="398">
        <f>+'I) Dépenses thématiques'!U290</f>
        <v>-1.1604598106855573</v>
      </c>
      <c r="G290" s="135">
        <f t="shared" si="17"/>
        <v>31.492540334174954</v>
      </c>
      <c r="H290" s="399">
        <f>G290-'C) Prél. conj.'!I290</f>
        <v>27.836214938912327</v>
      </c>
      <c r="I290" s="403">
        <f t="shared" si="18"/>
        <v>0</v>
      </c>
      <c r="J290" s="55">
        <f t="shared" si="19"/>
        <v>0</v>
      </c>
      <c r="K290" s="399">
        <f t="shared" si="20"/>
        <v>27.836214938912327</v>
      </c>
      <c r="L290" s="427"/>
    </row>
    <row r="291" spans="1:12" x14ac:dyDescent="0.25">
      <c r="A291" s="49">
        <f>'A) Base RI'!A292</f>
        <v>5910</v>
      </c>
      <c r="B291" s="284" t="str">
        <f>'A) Base RI'!B292</f>
        <v>Cronay</v>
      </c>
      <c r="C291" s="95">
        <f>'B) D RI'!U292</f>
        <v>10600.416103896103</v>
      </c>
      <c r="D291" s="398">
        <f>'E) PCS'!G297/C291</f>
        <v>14.921010179329285</v>
      </c>
      <c r="E291" s="135">
        <f>'H) Péréquation directe'!I301/C291</f>
        <v>-5.9700961443779157</v>
      </c>
      <c r="F291" s="398">
        <f>+'I) Dépenses thématiques'!U291</f>
        <v>-4.8359838704689917</v>
      </c>
      <c r="G291" s="135">
        <f t="shared" si="17"/>
        <v>4.1149301644823773</v>
      </c>
      <c r="H291" s="399">
        <f>G291-'C) Prél. conj.'!I291</f>
        <v>1.3903908900868265</v>
      </c>
      <c r="I291" s="403">
        <f t="shared" si="18"/>
        <v>0</v>
      </c>
      <c r="J291" s="55">
        <f t="shared" si="19"/>
        <v>0</v>
      </c>
      <c r="K291" s="399">
        <f t="shared" si="20"/>
        <v>1.3903908900868265</v>
      </c>
      <c r="L291" s="427"/>
    </row>
    <row r="292" spans="1:12" x14ac:dyDescent="0.25">
      <c r="A292" s="49">
        <f>'A) Base RI'!A293</f>
        <v>5911</v>
      </c>
      <c r="B292" s="284" t="str">
        <f>'A) Base RI'!B293</f>
        <v>Cuarny</v>
      </c>
      <c r="C292" s="95">
        <f>'B) D RI'!U293</f>
        <v>7503.9646753246761</v>
      </c>
      <c r="D292" s="398">
        <f>'E) PCS'!G298/C292</f>
        <v>15.428200537103242</v>
      </c>
      <c r="E292" s="135">
        <f>'H) Péréquation directe'!I302/C292</f>
        <v>0.85042613710437576</v>
      </c>
      <c r="F292" s="398">
        <f>+'I) Dépenses thématiques'!U292</f>
        <v>-3.277998965326173</v>
      </c>
      <c r="G292" s="135">
        <f t="shared" si="17"/>
        <v>13.000627708881446</v>
      </c>
      <c r="H292" s="399">
        <f>G292-'C) Prél. conj.'!I292</f>
        <v>9.7688980767119382</v>
      </c>
      <c r="I292" s="403">
        <f t="shared" si="18"/>
        <v>0</v>
      </c>
      <c r="J292" s="55">
        <f t="shared" si="19"/>
        <v>0</v>
      </c>
      <c r="K292" s="399">
        <f t="shared" si="20"/>
        <v>9.7688980767119382</v>
      </c>
      <c r="L292" s="427"/>
    </row>
    <row r="293" spans="1:12" x14ac:dyDescent="0.25">
      <c r="A293" s="49">
        <f>'A) Base RI'!A294</f>
        <v>5912</v>
      </c>
      <c r="B293" s="284" t="str">
        <f>'A) Base RI'!B294</f>
        <v>Démoret</v>
      </c>
      <c r="C293" s="95">
        <f>'B) D RI'!U294</f>
        <v>4722.5551851851851</v>
      </c>
      <c r="D293" s="398">
        <f>'E) PCS'!G299/C293</f>
        <v>15.766397425408879</v>
      </c>
      <c r="E293" s="135">
        <f>'H) Péréquation directe'!I303/C293</f>
        <v>-3.5066972076937404</v>
      </c>
      <c r="F293" s="398">
        <f>+'I) Dépenses thématiques'!U293</f>
        <v>-3.89097276592027</v>
      </c>
      <c r="G293" s="135">
        <f t="shared" si="17"/>
        <v>8.368727451794868</v>
      </c>
      <c r="H293" s="399">
        <f>G293-'C) Prél. conj.'!I293</f>
        <v>4.7988009313197235</v>
      </c>
      <c r="I293" s="403">
        <f t="shared" si="18"/>
        <v>0</v>
      </c>
      <c r="J293" s="55">
        <f t="shared" si="19"/>
        <v>0</v>
      </c>
      <c r="K293" s="399">
        <f t="shared" si="20"/>
        <v>4.7988009313197235</v>
      </c>
      <c r="L293" s="427"/>
    </row>
    <row r="294" spans="1:12" x14ac:dyDescent="0.25">
      <c r="A294" s="49">
        <f>'A) Base RI'!A295</f>
        <v>5913</v>
      </c>
      <c r="B294" s="284" t="str">
        <f>'A) Base RI'!B295</f>
        <v>Donneloye</v>
      </c>
      <c r="C294" s="95">
        <f>'B) D RI'!U295</f>
        <v>23893.322465753423</v>
      </c>
      <c r="D294" s="398">
        <f>'E) PCS'!G300/C294</f>
        <v>15.56180802434236</v>
      </c>
      <c r="E294" s="135">
        <f>'H) Péréquation directe'!I304/C294</f>
        <v>-3.1191316891948939</v>
      </c>
      <c r="F294" s="398">
        <f>+'I) Dépenses thématiques'!U294</f>
        <v>-1.1233713266388974</v>
      </c>
      <c r="G294" s="135">
        <f t="shared" si="17"/>
        <v>11.319305008508568</v>
      </c>
      <c r="H294" s="399">
        <f>G294-'C) Prél. conj.'!I294</f>
        <v>7.9539678890999426</v>
      </c>
      <c r="I294" s="403">
        <f t="shared" si="18"/>
        <v>0</v>
      </c>
      <c r="J294" s="55">
        <f t="shared" si="19"/>
        <v>0</v>
      </c>
      <c r="K294" s="399">
        <f t="shared" si="20"/>
        <v>7.9539678890999426</v>
      </c>
      <c r="L294" s="427"/>
    </row>
    <row r="295" spans="1:12" x14ac:dyDescent="0.25">
      <c r="A295" s="49">
        <f>'A) Base RI'!A296</f>
        <v>5914</v>
      </c>
      <c r="B295" s="284" t="str">
        <f>'A) Base RI'!B296</f>
        <v>Ependes</v>
      </c>
      <c r="C295" s="95">
        <f>'B) D RI'!U296</f>
        <v>9829.5133333333324</v>
      </c>
      <c r="D295" s="398">
        <f>'E) PCS'!G301/C295</f>
        <v>18.705970697056369</v>
      </c>
      <c r="E295" s="135">
        <f>'H) Péréquation directe'!I305/C295</f>
        <v>-5.0726825416783257</v>
      </c>
      <c r="F295" s="398">
        <f>+'I) Dépenses thématiques'!U295</f>
        <v>-6.0574753785707944</v>
      </c>
      <c r="G295" s="135">
        <f t="shared" si="17"/>
        <v>7.5758127768072487</v>
      </c>
      <c r="H295" s="399">
        <f>G295-'C) Prél. conj.'!I295</f>
        <v>1.0663129846846138</v>
      </c>
      <c r="I295" s="403">
        <f t="shared" si="18"/>
        <v>0</v>
      </c>
      <c r="J295" s="55">
        <f t="shared" si="19"/>
        <v>0</v>
      </c>
      <c r="K295" s="399">
        <f t="shared" si="20"/>
        <v>1.0663129846846138</v>
      </c>
      <c r="L295" s="427"/>
    </row>
    <row r="296" spans="1:12" x14ac:dyDescent="0.25">
      <c r="A296" s="49">
        <f>'A) Base RI'!A297</f>
        <v>5919</v>
      </c>
      <c r="B296" s="284" t="str">
        <f>'A) Base RI'!B297</f>
        <v>Mathod</v>
      </c>
      <c r="C296" s="95">
        <f>'B) D RI'!U297</f>
        <v>18684.885972222222</v>
      </c>
      <c r="D296" s="398">
        <f>'E) PCS'!G302/C296</f>
        <v>14.754073615008847</v>
      </c>
      <c r="E296" s="135">
        <f>'H) Péréquation directe'!I306/C296</f>
        <v>-0.13450811735896304</v>
      </c>
      <c r="F296" s="398">
        <f>+'I) Dépenses thématiques'!U296</f>
        <v>-7.5579679692690416</v>
      </c>
      <c r="G296" s="135">
        <f t="shared" si="17"/>
        <v>7.0615975283808421</v>
      </c>
      <c r="H296" s="399">
        <f>G296-'C) Prél. conj.'!I296</f>
        <v>4.5039948183057295</v>
      </c>
      <c r="I296" s="403">
        <f t="shared" si="18"/>
        <v>0</v>
      </c>
      <c r="J296" s="55">
        <f t="shared" si="19"/>
        <v>0</v>
      </c>
      <c r="K296" s="399">
        <f t="shared" si="20"/>
        <v>4.5039948183057295</v>
      </c>
      <c r="L296" s="427"/>
    </row>
    <row r="297" spans="1:12" x14ac:dyDescent="0.25">
      <c r="A297" s="49">
        <f>'A) Base RI'!A298</f>
        <v>5921</v>
      </c>
      <c r="B297" s="284" t="str">
        <f>'A) Base RI'!B298</f>
        <v>Molondin</v>
      </c>
      <c r="C297" s="95">
        <f>'B) D RI'!U298</f>
        <v>5874.9966666666678</v>
      </c>
      <c r="D297" s="398">
        <f>'E) PCS'!G303/C297</f>
        <v>12.970925812425881</v>
      </c>
      <c r="E297" s="135">
        <f>'H) Péréquation directe'!I307/C297</f>
        <v>-11.798935199322345</v>
      </c>
      <c r="F297" s="398">
        <f>+'I) Dépenses thématiques'!U297</f>
        <v>-6.2502201419688719</v>
      </c>
      <c r="G297" s="135">
        <f t="shared" si="17"/>
        <v>-5.0782295288653367</v>
      </c>
      <c r="H297" s="399">
        <f>G297-'C) Prél. conj.'!I297</f>
        <v>-5.8526844363574826</v>
      </c>
      <c r="I297" s="403">
        <f t="shared" si="18"/>
        <v>0</v>
      </c>
      <c r="J297" s="55">
        <f t="shared" si="19"/>
        <v>0</v>
      </c>
      <c r="K297" s="399">
        <f t="shared" si="20"/>
        <v>-5.8526844363574826</v>
      </c>
      <c r="L297" s="427"/>
    </row>
    <row r="298" spans="1:12" x14ac:dyDescent="0.25">
      <c r="A298" s="49">
        <f>'A) Base RI'!A299</f>
        <v>5922</v>
      </c>
      <c r="B298" s="284" t="str">
        <f>'A) Base RI'!B299</f>
        <v>Montagny-près-Yverdon</v>
      </c>
      <c r="C298" s="95">
        <f>'B) D RI'!U299</f>
        <v>39614.024961240313</v>
      </c>
      <c r="D298" s="398">
        <f>'E) PCS'!G304/C298</f>
        <v>19.859185465722184</v>
      </c>
      <c r="E298" s="135">
        <f>'H) Péréquation directe'!I308/C298</f>
        <v>16.213657122057</v>
      </c>
      <c r="F298" s="398">
        <f>+'I) Dépenses thématiques'!U298</f>
        <v>-3.7455825399649676</v>
      </c>
      <c r="G298" s="135">
        <f t="shared" si="17"/>
        <v>32.327260047814221</v>
      </c>
      <c r="H298" s="399">
        <f>G298-'C) Prél. conj.'!I298</f>
        <v>25.352746216656442</v>
      </c>
      <c r="I298" s="403">
        <f t="shared" si="18"/>
        <v>0</v>
      </c>
      <c r="J298" s="55">
        <f t="shared" si="19"/>
        <v>0</v>
      </c>
      <c r="K298" s="399">
        <f t="shared" si="20"/>
        <v>25.352746216656442</v>
      </c>
      <c r="L298" s="427"/>
    </row>
    <row r="299" spans="1:12" x14ac:dyDescent="0.25">
      <c r="A299" s="49">
        <f>'A) Base RI'!A300</f>
        <v>5923</v>
      </c>
      <c r="B299" s="284" t="str">
        <f>'A) Base RI'!B300</f>
        <v>Oppens</v>
      </c>
      <c r="C299" s="95">
        <f>'B) D RI'!U300</f>
        <v>5094.8359259259259</v>
      </c>
      <c r="D299" s="398">
        <f>'E) PCS'!G305/C299</f>
        <v>19.013253722858959</v>
      </c>
      <c r="E299" s="135">
        <f>'H) Péréquation directe'!I309/C299</f>
        <v>-10.087034484763212</v>
      </c>
      <c r="F299" s="398">
        <f>+'I) Dépenses thématiques'!U299</f>
        <v>-7.2700785733877078</v>
      </c>
      <c r="G299" s="135">
        <f t="shared" si="17"/>
        <v>1.6561406647080394</v>
      </c>
      <c r="H299" s="399">
        <f>G299-'C) Prél. conj.'!I299</f>
        <v>-5.160642153217184</v>
      </c>
      <c r="I299" s="403">
        <f t="shared" si="18"/>
        <v>0</v>
      </c>
      <c r="J299" s="55">
        <f t="shared" si="19"/>
        <v>0</v>
      </c>
      <c r="K299" s="399">
        <f t="shared" si="20"/>
        <v>-5.160642153217184</v>
      </c>
      <c r="L299" s="427"/>
    </row>
    <row r="300" spans="1:12" x14ac:dyDescent="0.25">
      <c r="A300" s="49">
        <f>'A) Base RI'!A301</f>
        <v>5924</v>
      </c>
      <c r="B300" s="284" t="str">
        <f>'A) Base RI'!B301</f>
        <v>Orges</v>
      </c>
      <c r="C300" s="95">
        <f>'B) D RI'!U301</f>
        <v>13110.169864864867</v>
      </c>
      <c r="D300" s="398">
        <f>'E) PCS'!G306/C300</f>
        <v>15.758395767947807</v>
      </c>
      <c r="E300" s="135">
        <f>'H) Péréquation directe'!I310/C300</f>
        <v>7.407642905542791</v>
      </c>
      <c r="F300" s="398">
        <f>+'I) Dépenses thématiques'!U300</f>
        <v>-2.2477192221425528</v>
      </c>
      <c r="G300" s="135">
        <f t="shared" si="17"/>
        <v>20.918319451348044</v>
      </c>
      <c r="H300" s="399">
        <f>G300-'C) Prél. conj.'!I300</f>
        <v>17.356394588333973</v>
      </c>
      <c r="I300" s="403">
        <f t="shared" si="18"/>
        <v>0</v>
      </c>
      <c r="J300" s="55">
        <f t="shared" si="19"/>
        <v>0</v>
      </c>
      <c r="K300" s="399">
        <f t="shared" si="20"/>
        <v>17.356394588333973</v>
      </c>
      <c r="L300" s="427"/>
    </row>
    <row r="301" spans="1:12" x14ac:dyDescent="0.25">
      <c r="A301" s="49">
        <f>'A) Base RI'!A302</f>
        <v>5925</v>
      </c>
      <c r="B301" s="284" t="str">
        <f>'A) Base RI'!B302</f>
        <v>Orzens</v>
      </c>
      <c r="C301" s="95">
        <f>'B) D RI'!U302</f>
        <v>5230.5868354430377</v>
      </c>
      <c r="D301" s="398">
        <f>'E) PCS'!G307/C301</f>
        <v>25.323549598042593</v>
      </c>
      <c r="E301" s="135">
        <f>'H) Péréquation directe'!I311/C301</f>
        <v>-7.8170147852081158</v>
      </c>
      <c r="F301" s="398">
        <f>+'I) Dépenses thématiques'!U301</f>
        <v>-1.8878971297264224</v>
      </c>
      <c r="G301" s="135">
        <f t="shared" si="17"/>
        <v>15.618637683108055</v>
      </c>
      <c r="H301" s="399">
        <f>G301-'C) Prél. conj.'!I301</f>
        <v>2.491558989999195</v>
      </c>
      <c r="I301" s="403">
        <f t="shared" si="18"/>
        <v>0</v>
      </c>
      <c r="J301" s="55">
        <f t="shared" si="19"/>
        <v>0</v>
      </c>
      <c r="K301" s="399">
        <f t="shared" si="20"/>
        <v>2.491558989999195</v>
      </c>
      <c r="L301" s="427"/>
    </row>
    <row r="302" spans="1:12" x14ac:dyDescent="0.25">
      <c r="A302" s="49">
        <f>'A) Base RI'!A303</f>
        <v>5926</v>
      </c>
      <c r="B302" s="284" t="str">
        <f>'A) Base RI'!B303</f>
        <v>Pomy</v>
      </c>
      <c r="C302" s="95">
        <f>'B) D RI'!U303</f>
        <v>27875.103943661972</v>
      </c>
      <c r="D302" s="398">
        <f>'E) PCS'!G308/C302</f>
        <v>16.015561775954701</v>
      </c>
      <c r="E302" s="135">
        <f>'H) Péréquation directe'!I312/C302</f>
        <v>5.7496980300951863</v>
      </c>
      <c r="F302" s="398">
        <f>+'I) Dépenses thématiques'!U302</f>
        <v>-1.6147221718438056</v>
      </c>
      <c r="G302" s="135">
        <f t="shared" si="17"/>
        <v>20.150537634206081</v>
      </c>
      <c r="H302" s="399">
        <f>G302-'C) Prél. conj.'!I302</f>
        <v>16.331446763185113</v>
      </c>
      <c r="I302" s="403">
        <f t="shared" si="18"/>
        <v>0</v>
      </c>
      <c r="J302" s="55">
        <f t="shared" si="19"/>
        <v>0</v>
      </c>
      <c r="K302" s="399">
        <f t="shared" si="20"/>
        <v>16.331446763185113</v>
      </c>
      <c r="L302" s="427"/>
    </row>
    <row r="303" spans="1:12" x14ac:dyDescent="0.25">
      <c r="A303" s="49">
        <f>'A) Base RI'!A304</f>
        <v>5928</v>
      </c>
      <c r="B303" s="284" t="str">
        <f>'A) Base RI'!B304</f>
        <v>Rovray</v>
      </c>
      <c r="C303" s="95">
        <f>'B) D RI'!U304</f>
        <v>5459.4606993006983</v>
      </c>
      <c r="D303" s="398">
        <f>'E) PCS'!G309/C303</f>
        <v>14.580356551672992</v>
      </c>
      <c r="E303" s="135">
        <f>'H) Péréquation directe'!I313/C303</f>
        <v>-2.914479180858272</v>
      </c>
      <c r="F303" s="398">
        <f>+'I) Dépenses thématiques'!U303</f>
        <v>-4.4942424959416076</v>
      </c>
      <c r="G303" s="135">
        <f t="shared" si="17"/>
        <v>7.1716348748731118</v>
      </c>
      <c r="H303" s="399">
        <f>G303-'C) Prél. conj.'!I303</f>
        <v>4.7877492281338547</v>
      </c>
      <c r="I303" s="403">
        <f t="shared" si="18"/>
        <v>0</v>
      </c>
      <c r="J303" s="55">
        <f t="shared" si="19"/>
        <v>0</v>
      </c>
      <c r="K303" s="399">
        <f t="shared" si="20"/>
        <v>4.7877492281338547</v>
      </c>
      <c r="L303" s="427"/>
    </row>
    <row r="304" spans="1:12" x14ac:dyDescent="0.25">
      <c r="A304" s="49">
        <f>'A) Base RI'!A305</f>
        <v>5929</v>
      </c>
      <c r="B304" s="284" t="str">
        <f>'A) Base RI'!B305</f>
        <v>Suchy</v>
      </c>
      <c r="C304" s="95">
        <f>'B) D RI'!U305</f>
        <v>20266.988392857143</v>
      </c>
      <c r="D304" s="398">
        <f>'E) PCS'!G310/C304</f>
        <v>15.824786990905174</v>
      </c>
      <c r="E304" s="135">
        <f>'H) Péréquation directe'!I314/C304</f>
        <v>3.5351530868193781</v>
      </c>
      <c r="F304" s="398">
        <f>+'I) Dépenses thématiques'!U304</f>
        <v>-1.7387303759760271</v>
      </c>
      <c r="G304" s="135">
        <f t="shared" si="17"/>
        <v>17.621209701748526</v>
      </c>
      <c r="H304" s="399">
        <f>G304-'C) Prél. conj.'!I304</f>
        <v>13.992893615777088</v>
      </c>
      <c r="I304" s="403">
        <f t="shared" si="18"/>
        <v>0</v>
      </c>
      <c r="J304" s="55">
        <f t="shared" si="19"/>
        <v>0</v>
      </c>
      <c r="K304" s="399">
        <f t="shared" si="20"/>
        <v>13.992893615777088</v>
      </c>
      <c r="L304" s="427"/>
    </row>
    <row r="305" spans="1:14" x14ac:dyDescent="0.25">
      <c r="A305" s="49">
        <f>'A) Base RI'!A306</f>
        <v>5930</v>
      </c>
      <c r="B305" s="284" t="str">
        <f>'A) Base RI'!B306</f>
        <v>Suscévaz</v>
      </c>
      <c r="C305" s="95">
        <f>'B) D RI'!U306</f>
        <v>6661.8138888888889</v>
      </c>
      <c r="D305" s="398">
        <f>'E) PCS'!G311/C305</f>
        <v>18.188967943402986</v>
      </c>
      <c r="E305" s="135">
        <f>'H) Péréquation directe'!I315/C305</f>
        <v>2.9992646071163915</v>
      </c>
      <c r="F305" s="398">
        <f>+'I) Dépenses thématiques'!U305</f>
        <v>-4.1971310991792778</v>
      </c>
      <c r="G305" s="135">
        <f t="shared" si="17"/>
        <v>16.9911014513401</v>
      </c>
      <c r="H305" s="399">
        <f>G305-'C) Prél. conj.'!I305</f>
        <v>10.998604412870847</v>
      </c>
      <c r="I305" s="403">
        <f t="shared" si="18"/>
        <v>0</v>
      </c>
      <c r="J305" s="55">
        <f t="shared" si="19"/>
        <v>0</v>
      </c>
      <c r="K305" s="399">
        <f t="shared" si="20"/>
        <v>10.998604412870847</v>
      </c>
      <c r="L305" s="427"/>
    </row>
    <row r="306" spans="1:14" x14ac:dyDescent="0.25">
      <c r="A306" s="49">
        <f>'A) Base RI'!A307</f>
        <v>5931</v>
      </c>
      <c r="B306" s="284" t="str">
        <f>'A) Base RI'!B307</f>
        <v>Treycovagnes</v>
      </c>
      <c r="C306" s="95">
        <f>'B) D RI'!U307</f>
        <v>15271.093466666664</v>
      </c>
      <c r="D306" s="398">
        <f>'E) PCS'!G312/C306</f>
        <v>17.517086627531064</v>
      </c>
      <c r="E306" s="135">
        <f>'H) Péréquation directe'!I316/C306</f>
        <v>2.236286383217271</v>
      </c>
      <c r="F306" s="398">
        <f>+'I) Dépenses thématiques'!U306</f>
        <v>-4.0567945795909459</v>
      </c>
      <c r="G306" s="135">
        <f t="shared" si="17"/>
        <v>15.696578431157388</v>
      </c>
      <c r="H306" s="399">
        <f>G306-'C) Prél. conj.'!I306</f>
        <v>10.375962708560058</v>
      </c>
      <c r="I306" s="403">
        <f t="shared" si="18"/>
        <v>0</v>
      </c>
      <c r="J306" s="55">
        <f t="shared" si="19"/>
        <v>0</v>
      </c>
      <c r="K306" s="399">
        <f t="shared" si="20"/>
        <v>10.375962708560058</v>
      </c>
      <c r="L306" s="427"/>
    </row>
    <row r="307" spans="1:14" x14ac:dyDescent="0.25">
      <c r="A307" s="49">
        <f>'A) Base RI'!A308</f>
        <v>5932</v>
      </c>
      <c r="B307" s="284" t="str">
        <f>'A) Base RI'!B308</f>
        <v>Ursins</v>
      </c>
      <c r="C307" s="95">
        <f>'B) D RI'!U308</f>
        <v>7703.3244000000022</v>
      </c>
      <c r="D307" s="398">
        <f>'E) PCS'!G313/C307</f>
        <v>12.835720889005547</v>
      </c>
      <c r="E307" s="135">
        <f>'H) Péréquation directe'!I317/C307</f>
        <v>5.2527563344266195</v>
      </c>
      <c r="F307" s="398">
        <f>+'I) Dépenses thématiques'!U307</f>
        <v>-1.0426026846279506</v>
      </c>
      <c r="G307" s="135">
        <f t="shared" si="17"/>
        <v>17.045874538804213</v>
      </c>
      <c r="H307" s="399">
        <f>G307-'C) Prél. conj.'!I307</f>
        <v>16.406624554732403</v>
      </c>
      <c r="I307" s="403">
        <f t="shared" si="18"/>
        <v>0</v>
      </c>
      <c r="J307" s="55">
        <f t="shared" si="19"/>
        <v>0</v>
      </c>
      <c r="K307" s="399">
        <f t="shared" si="20"/>
        <v>16.406624554732403</v>
      </c>
      <c r="L307" s="427"/>
    </row>
    <row r="308" spans="1:14" x14ac:dyDescent="0.25">
      <c r="A308" s="49">
        <f>'A) Base RI'!A309</f>
        <v>5933</v>
      </c>
      <c r="B308" s="284" t="str">
        <f>'A) Base RI'!B309</f>
        <v>Valeyres-sous-Montagny</v>
      </c>
      <c r="C308" s="95">
        <f>'B) D RI'!U309</f>
        <v>19607.073049645387</v>
      </c>
      <c r="D308" s="398">
        <f>'E) PCS'!G314/C308</f>
        <v>15.84094628476573</v>
      </c>
      <c r="E308" s="135">
        <f>'H) Péréquation directe'!I318/C308</f>
        <v>-7.5522350542937516E-2</v>
      </c>
      <c r="F308" s="398">
        <f>+'I) Dépenses thématiques'!U308</f>
        <v>-22.704689567265369</v>
      </c>
      <c r="G308" s="135">
        <f t="shared" si="17"/>
        <v>-6.9392656330425773</v>
      </c>
      <c r="H308" s="399">
        <f>G308-'C) Prél. conj.'!I308</f>
        <v>-10.583741012874569</v>
      </c>
      <c r="I308" s="403">
        <f t="shared" si="18"/>
        <v>0</v>
      </c>
      <c r="J308" s="55">
        <f t="shared" si="19"/>
        <v>0</v>
      </c>
      <c r="K308" s="399">
        <f t="shared" si="20"/>
        <v>-10.583741012874569</v>
      </c>
      <c r="L308" s="427"/>
    </row>
    <row r="309" spans="1:14" x14ac:dyDescent="0.25">
      <c r="A309" s="49">
        <f>'A) Base RI'!A310</f>
        <v>5934</v>
      </c>
      <c r="B309" s="284" t="str">
        <f>'A) Base RI'!B310</f>
        <v>Valeyres-sous-Ursins</v>
      </c>
      <c r="C309" s="95">
        <f>'B) D RI'!U310</f>
        <v>7018.283636363637</v>
      </c>
      <c r="D309" s="398">
        <f>'E) PCS'!G315/C309</f>
        <v>13.054892324208481</v>
      </c>
      <c r="E309" s="135">
        <f>'H) Péréquation directe'!I319/C309</f>
        <v>-2.3824577385220826</v>
      </c>
      <c r="F309" s="398">
        <f>+'I) Dépenses thématiques'!U309</f>
        <v>-1.0365479153670307</v>
      </c>
      <c r="G309" s="135">
        <f t="shared" si="17"/>
        <v>9.6358866703193673</v>
      </c>
      <c r="H309" s="399">
        <f>G309-'C) Prél. conj.'!I309</f>
        <v>8.7774652510446209</v>
      </c>
      <c r="I309" s="403">
        <f t="shared" si="18"/>
        <v>0</v>
      </c>
      <c r="J309" s="55">
        <f t="shared" si="19"/>
        <v>0</v>
      </c>
      <c r="K309" s="399">
        <f t="shared" si="20"/>
        <v>8.7774652510446209</v>
      </c>
      <c r="L309" s="427"/>
    </row>
    <row r="310" spans="1:14" x14ac:dyDescent="0.25">
      <c r="A310" s="49">
        <f>'A) Base RI'!A311</f>
        <v>5935</v>
      </c>
      <c r="B310" s="284" t="str">
        <f>'A) Base RI'!B311</f>
        <v>Villars-Epeney</v>
      </c>
      <c r="C310" s="95">
        <f>'B) D RI'!U311</f>
        <v>3448.2304999999997</v>
      </c>
      <c r="D310" s="398">
        <f>'E) PCS'!G316/C310</f>
        <v>13.663890208834678</v>
      </c>
      <c r="E310" s="135">
        <f>'H) Péréquation directe'!I320/C310</f>
        <v>10.427814395544598</v>
      </c>
      <c r="F310" s="398">
        <f>+'I) Dépenses thématiques'!U310</f>
        <v>-2.8707701312310765</v>
      </c>
      <c r="G310" s="135">
        <f t="shared" si="17"/>
        <v>21.220934473148198</v>
      </c>
      <c r="H310" s="399">
        <f>G310-'C) Prél. conj.'!I310</f>
        <v>19.753515169247255</v>
      </c>
      <c r="I310" s="403">
        <f t="shared" si="18"/>
        <v>0</v>
      </c>
      <c r="J310" s="55">
        <f t="shared" si="19"/>
        <v>0</v>
      </c>
      <c r="K310" s="399">
        <f t="shared" si="20"/>
        <v>19.753515169247255</v>
      </c>
      <c r="L310" s="427"/>
    </row>
    <row r="311" spans="1:14" x14ac:dyDescent="0.25">
      <c r="A311" s="49">
        <f>'A) Base RI'!A312</f>
        <v>5937</v>
      </c>
      <c r="B311" s="284" t="str">
        <f>'A) Base RI'!B312</f>
        <v>Vugelles-La Mothe</v>
      </c>
      <c r="C311" s="95">
        <f>'B) D RI'!U312</f>
        <v>3479.7743061224487</v>
      </c>
      <c r="D311" s="398">
        <f>'E) PCS'!G317/C311</f>
        <v>13.66639382234837</v>
      </c>
      <c r="E311" s="135">
        <f>'H) Péréquation directe'!I321/C311</f>
        <v>-4.8935642660414782</v>
      </c>
      <c r="F311" s="398">
        <f>+'I) Dépenses thématiques'!U311</f>
        <v>-6.1202312449409924</v>
      </c>
      <c r="G311" s="135">
        <f t="shared" si="17"/>
        <v>2.6525983113658995</v>
      </c>
      <c r="H311" s="399">
        <f>G311-'C) Prél. conj.'!I311</f>
        <v>1.1826753939512638</v>
      </c>
      <c r="I311" s="403">
        <f t="shared" si="18"/>
        <v>0</v>
      </c>
      <c r="J311" s="55">
        <f t="shared" si="19"/>
        <v>0</v>
      </c>
      <c r="K311" s="399">
        <f t="shared" si="20"/>
        <v>1.1826753939512638</v>
      </c>
      <c r="L311" s="427"/>
    </row>
    <row r="312" spans="1:14" x14ac:dyDescent="0.25">
      <c r="A312" s="49">
        <f>'A) Base RI'!A313</f>
        <v>5938</v>
      </c>
      <c r="B312" s="284" t="str">
        <f>'A) Base RI'!B313</f>
        <v>Yverdon-les-Bains</v>
      </c>
      <c r="C312" s="95">
        <f>'B) D RI'!U313</f>
        <v>762770.29813333345</v>
      </c>
      <c r="D312" s="398">
        <f>'E) PCS'!G318/C312</f>
        <v>18.206503009249708</v>
      </c>
      <c r="E312" s="135">
        <f>'H) Péréquation directe'!I322/C312</f>
        <v>-34.219891515269723</v>
      </c>
      <c r="F312" s="398">
        <f>+'I) Dépenses thématiques'!U312</f>
        <v>-12.792677867871445</v>
      </c>
      <c r="G312" s="135">
        <f t="shared" si="17"/>
        <v>-28.806066373891461</v>
      </c>
      <c r="H312" s="399">
        <f>G312-'C) Prél. conj.'!I312</f>
        <v>-34.816098478207437</v>
      </c>
      <c r="I312" s="403">
        <f t="shared" si="18"/>
        <v>0</v>
      </c>
      <c r="J312" s="55">
        <f t="shared" si="19"/>
        <v>0</v>
      </c>
      <c r="K312" s="399">
        <f t="shared" si="20"/>
        <v>-34.816098478207437</v>
      </c>
      <c r="L312" s="427"/>
    </row>
    <row r="313" spans="1:14" x14ac:dyDescent="0.25">
      <c r="A313" s="49">
        <f>'A) Base RI'!A314</f>
        <v>5939</v>
      </c>
      <c r="B313" s="284" t="str">
        <f>'A) Base RI'!B314</f>
        <v>Yvonand</v>
      </c>
      <c r="C313" s="95">
        <f>'B) D RI'!U314</f>
        <v>105336.86867132869</v>
      </c>
      <c r="D313" s="398">
        <f>'E) PCS'!G319/C313</f>
        <v>15.552786879192707</v>
      </c>
      <c r="E313" s="135">
        <f>'H) Péréquation directe'!I323/C313</f>
        <v>-4.1097364701566264</v>
      </c>
      <c r="F313" s="398">
        <f>+'I) Dépenses thématiques'!U313</f>
        <v>-4.3108210087901373</v>
      </c>
      <c r="G313" s="444">
        <f t="shared" si="17"/>
        <v>7.1322294002459437</v>
      </c>
      <c r="H313" s="399">
        <f>G313-'C) Prél. conj.'!I313</f>
        <v>3.7759134259869711</v>
      </c>
      <c r="I313" s="403">
        <f t="shared" si="18"/>
        <v>0</v>
      </c>
      <c r="J313" s="55">
        <f t="shared" si="19"/>
        <v>0</v>
      </c>
      <c r="K313" s="399">
        <f t="shared" si="20"/>
        <v>3.7759134259869711</v>
      </c>
      <c r="L313" s="427"/>
    </row>
    <row r="314" spans="1:14" x14ac:dyDescent="0.25">
      <c r="A314" s="30"/>
      <c r="B314" s="290">
        <f>COUNTA(B6:B313)</f>
        <v>308</v>
      </c>
      <c r="C314" s="97">
        <f>SUM(C6:C313)</f>
        <v>39865815.115802124</v>
      </c>
      <c r="D314" s="108">
        <f>'E) PCS'!G320/C314</f>
        <v>19.950477412532312</v>
      </c>
      <c r="E314" s="108">
        <f>'H) Péréquation directe'!I324/C314</f>
        <v>4.1640154666377587</v>
      </c>
      <c r="F314" s="297">
        <f>'I) Dépenses thématiques'!U314</f>
        <v>-4.3419625354820051</v>
      </c>
      <c r="G314" s="108">
        <f>SUM(D314:F314)</f>
        <v>19.772530343688068</v>
      </c>
      <c r="H314" s="391">
        <f>G314-('C) Prél. conj.'!H314/'J) Plafonnement effort'!C314)</f>
        <v>15.101016624376703</v>
      </c>
      <c r="I314" s="298"/>
      <c r="J314" s="37">
        <f>SUM(J6:J313)</f>
        <v>-1312904.7234753044</v>
      </c>
      <c r="K314" s="108">
        <f>+H314+(J314/C314)</f>
        <v>15.068083528197393</v>
      </c>
      <c r="M314" s="12"/>
      <c r="N314" s="12"/>
    </row>
    <row r="315" spans="1:14" x14ac:dyDescent="0.25">
      <c r="J315" s="6"/>
    </row>
    <row r="318" spans="1:14" x14ac:dyDescent="0.25">
      <c r="G318" s="28"/>
      <c r="H318" s="394"/>
      <c r="I318" s="28"/>
      <c r="J318" s="28"/>
    </row>
    <row r="320" spans="1:14" x14ac:dyDescent="0.25">
      <c r="J320" s="28"/>
    </row>
  </sheetData>
  <mergeCells count="10">
    <mergeCell ref="C4:C5"/>
    <mergeCell ref="B4:B5"/>
    <mergeCell ref="A4:A5"/>
    <mergeCell ref="K4:K5"/>
    <mergeCell ref="J4:J5"/>
    <mergeCell ref="G4:G5"/>
    <mergeCell ref="F4:F5"/>
    <mergeCell ref="E4:E5"/>
    <mergeCell ref="D4:D5"/>
    <mergeCell ref="H4:H5"/>
  </mergeCells>
  <phoneticPr fontId="0" type="noConversion"/>
  <printOptions horizontalCentered="1"/>
  <pageMargins left="0" right="0" top="0" bottom="0" header="0.51181102362204722" footer="0.51181102362204722"/>
  <pageSetup paperSize="9" scale="64" orientation="portrait" horizontalDpi="4294967292" verticalDpi="4294967292"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4">
    <tabColor rgb="FF00B050"/>
  </sheetPr>
  <dimension ref="A1:Y317"/>
  <sheetViews>
    <sheetView workbookViewId="0">
      <pane ySplit="5" topLeftCell="A296" activePane="bottomLeft" state="frozen"/>
      <selection pane="bottomLeft"/>
    </sheetView>
  </sheetViews>
  <sheetFormatPr baseColWidth="10" defaultColWidth="10.75" defaultRowHeight="15" x14ac:dyDescent="0.25"/>
  <cols>
    <col min="1" max="1" width="7.25" style="13" customWidth="1"/>
    <col min="2" max="2" width="18" style="13" customWidth="1"/>
    <col min="3" max="3" width="12.125" style="13" customWidth="1"/>
    <col min="4" max="4" width="13.125" style="13" customWidth="1"/>
    <col min="5" max="5" width="14.25" style="13" customWidth="1"/>
    <col min="6" max="6" width="11" style="13" customWidth="1"/>
    <col min="7" max="7" width="10.375" style="13" customWidth="1"/>
    <col min="8" max="8" width="13.875" style="13" customWidth="1"/>
    <col min="9" max="9" width="10" style="13" customWidth="1"/>
    <col min="10" max="10" width="12.875" style="13" customWidth="1"/>
    <col min="11" max="14" width="12.125" style="13" customWidth="1"/>
    <col min="15" max="17" width="8.125" style="13" customWidth="1"/>
    <col min="18" max="16384" width="10.75" style="13"/>
  </cols>
  <sheetData>
    <row r="1" spans="1:25" s="43" customFormat="1" ht="20.25" customHeight="1" x14ac:dyDescent="0.25">
      <c r="A1" s="51" t="s">
        <v>0</v>
      </c>
      <c r="B1" s="42"/>
      <c r="C1" s="68"/>
      <c r="D1" s="68"/>
      <c r="E1" s="68"/>
      <c r="F1" s="68"/>
      <c r="G1" s="68"/>
      <c r="H1" s="68"/>
      <c r="I1" s="68"/>
      <c r="J1" s="68"/>
      <c r="L1" s="56"/>
      <c r="N1" s="13"/>
      <c r="O1" s="13"/>
      <c r="P1" s="13"/>
      <c r="Q1" s="13"/>
      <c r="R1" s="13"/>
      <c r="Y1" s="13"/>
    </row>
    <row r="2" spans="1:25" s="43" customFormat="1" ht="20.25" customHeight="1" x14ac:dyDescent="0.25">
      <c r="A2" s="199">
        <f>Paramètres!B5</f>
        <v>2021</v>
      </c>
      <c r="B2" s="42"/>
      <c r="C2" s="397"/>
      <c r="D2" s="397"/>
      <c r="E2" s="397"/>
      <c r="F2" s="397"/>
      <c r="G2" s="397"/>
      <c r="H2" s="397"/>
      <c r="I2" s="397"/>
      <c r="J2" s="397"/>
      <c r="L2" s="56"/>
      <c r="N2" s="393"/>
      <c r="O2" s="393"/>
      <c r="P2" s="393"/>
      <c r="Q2" s="393"/>
      <c r="R2" s="393"/>
      <c r="Y2" s="393"/>
    </row>
    <row r="4" spans="1:25" ht="30" x14ac:dyDescent="0.25">
      <c r="A4" s="592" t="s">
        <v>46</v>
      </c>
      <c r="B4" s="592" t="s">
        <v>94</v>
      </c>
      <c r="C4" s="592" t="s">
        <v>509</v>
      </c>
      <c r="D4" s="592" t="s">
        <v>615</v>
      </c>
      <c r="E4" s="592" t="s">
        <v>562</v>
      </c>
      <c r="F4" s="592" t="s">
        <v>565</v>
      </c>
      <c r="G4" s="592" t="s">
        <v>356</v>
      </c>
      <c r="H4" s="592" t="s">
        <v>564</v>
      </c>
      <c r="I4" s="111" t="s">
        <v>563</v>
      </c>
      <c r="J4" s="592" t="s">
        <v>439</v>
      </c>
    </row>
    <row r="5" spans="1:25" x14ac:dyDescent="0.25">
      <c r="A5" s="593"/>
      <c r="B5" s="594"/>
      <c r="C5" s="593"/>
      <c r="D5" s="594"/>
      <c r="E5" s="593"/>
      <c r="F5" s="594"/>
      <c r="G5" s="593"/>
      <c r="H5" s="594"/>
      <c r="I5" s="372">
        <f>Paramètres!B43</f>
        <v>-8</v>
      </c>
      <c r="J5" s="593"/>
    </row>
    <row r="6" spans="1:25" x14ac:dyDescent="0.25">
      <c r="A6" s="46">
        <f>'A) Base RI'!A7</f>
        <v>5401</v>
      </c>
      <c r="B6" s="284" t="str">
        <f>'A) Base RI'!B7</f>
        <v>Aigle</v>
      </c>
      <c r="C6" s="94">
        <f>'B) D RI'!U7</f>
        <v>280991.46517676767</v>
      </c>
      <c r="D6" s="109">
        <f>IF('E) PCS'!G12/'K) Plafonnement aide'!C6&gt;0,'E) PCS'!G12/'K) Plafonnement aide'!C6,0)</f>
        <v>17.397712850416273</v>
      </c>
      <c r="E6" s="134">
        <f>'H) Péréquation directe'!I16/C6</f>
        <v>-16.91286257463128</v>
      </c>
      <c r="F6" s="109">
        <f>+'I) Dépenses thématiques'!U6</f>
        <v>-14.370297181505547</v>
      </c>
      <c r="G6" s="134">
        <f>SUM(D6:F6)</f>
        <v>-13.885446905720555</v>
      </c>
      <c r="H6" s="109">
        <f>G6-F6</f>
        <v>0.48485027578499285</v>
      </c>
      <c r="I6" s="134">
        <f>IF(H6&lt;I$5,H6-I$5,0)</f>
        <v>0</v>
      </c>
      <c r="J6" s="100">
        <f t="shared" ref="J6" si="0">-I6*C6</f>
        <v>0</v>
      </c>
      <c r="K6" s="36"/>
    </row>
    <row r="7" spans="1:25" x14ac:dyDescent="0.25">
      <c r="A7" s="49">
        <f>'A) Base RI'!A8</f>
        <v>5402</v>
      </c>
      <c r="B7" s="284" t="str">
        <f>'A) Base RI'!B8</f>
        <v>Bex</v>
      </c>
      <c r="C7" s="95">
        <f>'B) D RI'!U8</f>
        <v>192706.98084507044</v>
      </c>
      <c r="D7" s="398">
        <f>IF('E) PCS'!G13/'K) Plafonnement aide'!C7&gt;0,'E) PCS'!G13/'K) Plafonnement aide'!C7,0)</f>
        <v>16.873078187388877</v>
      </c>
      <c r="E7" s="135">
        <f>'H) Péréquation directe'!I17/C7</f>
        <v>-20.943440345059205</v>
      </c>
      <c r="F7" s="398">
        <f>+'I) Dépenses thématiques'!U7</f>
        <v>-11.534851355918777</v>
      </c>
      <c r="G7" s="135">
        <f t="shared" ref="G7:G70" si="1">SUM(D7:F7)</f>
        <v>-15.605213513589105</v>
      </c>
      <c r="H7" s="109">
        <f t="shared" ref="H7:H70" si="2">G7-F7</f>
        <v>-4.0703621576703277</v>
      </c>
      <c r="I7" s="135">
        <f t="shared" ref="I7:I70" si="3">IF(H7&lt;I$5,H7-I$5,0)</f>
        <v>0</v>
      </c>
      <c r="J7" s="55">
        <f t="shared" ref="J7:J70" si="4">-I7*C7</f>
        <v>0</v>
      </c>
      <c r="K7" s="36"/>
    </row>
    <row r="8" spans="1:25" x14ac:dyDescent="0.25">
      <c r="A8" s="49">
        <f>'A) Base RI'!A9</f>
        <v>5403</v>
      </c>
      <c r="B8" s="284" t="str">
        <f>'A) Base RI'!B9</f>
        <v>Chessel</v>
      </c>
      <c r="C8" s="95">
        <f>'B) D RI'!U9</f>
        <v>12090.332702702703</v>
      </c>
      <c r="D8" s="398">
        <f>IF('E) PCS'!G14/'K) Plafonnement aide'!C8&gt;0,'E) PCS'!G14/'K) Plafonnement aide'!C8,0)</f>
        <v>15.550727234946425</v>
      </c>
      <c r="E8" s="135">
        <f>'H) Péréquation directe'!I18/C8</f>
        <v>-8.1064939242962097</v>
      </c>
      <c r="F8" s="398">
        <f>+'I) Dépenses thématiques'!U8</f>
        <v>-1.5080023785364722</v>
      </c>
      <c r="G8" s="135">
        <f t="shared" si="1"/>
        <v>5.9362309321137428</v>
      </c>
      <c r="H8" s="109">
        <f t="shared" si="2"/>
        <v>7.4442333106502154</v>
      </c>
      <c r="I8" s="135">
        <f t="shared" si="3"/>
        <v>0</v>
      </c>
      <c r="J8" s="55">
        <f t="shared" si="4"/>
        <v>0</v>
      </c>
      <c r="K8" s="36"/>
    </row>
    <row r="9" spans="1:25" x14ac:dyDescent="0.25">
      <c r="A9" s="49">
        <f>'A) Base RI'!A10</f>
        <v>5404</v>
      </c>
      <c r="B9" s="284" t="str">
        <f>'A) Base RI'!B10</f>
        <v>Corbeyrier</v>
      </c>
      <c r="C9" s="95">
        <f>'B) D RI'!U10</f>
        <v>11581.118783783784</v>
      </c>
      <c r="D9" s="398">
        <f>IF('E) PCS'!G15/'K) Plafonnement aide'!C9&gt;0,'E) PCS'!G15/'K) Plafonnement aide'!C9,0)</f>
        <v>16.923888093388861</v>
      </c>
      <c r="E9" s="135">
        <f>'H) Péréquation directe'!I19/C9</f>
        <v>-4.3199143883826485</v>
      </c>
      <c r="F9" s="398">
        <f>+'I) Dépenses thématiques'!U9</f>
        <v>-14.767674989132763</v>
      </c>
      <c r="G9" s="135">
        <f t="shared" si="1"/>
        <v>-2.1637012841265513</v>
      </c>
      <c r="H9" s="109">
        <f t="shared" si="2"/>
        <v>12.603973705006212</v>
      </c>
      <c r="I9" s="135">
        <f t="shared" si="3"/>
        <v>0</v>
      </c>
      <c r="J9" s="55">
        <f t="shared" si="4"/>
        <v>0</v>
      </c>
      <c r="K9" s="36"/>
    </row>
    <row r="10" spans="1:25" x14ac:dyDescent="0.25">
      <c r="A10" s="49">
        <f>'A) Base RI'!A11</f>
        <v>5405</v>
      </c>
      <c r="B10" s="284" t="str">
        <f>'A) Base RI'!B11</f>
        <v>Gryon</v>
      </c>
      <c r="C10" s="95">
        <f>'B) D RI'!U11</f>
        <v>78111.135102040818</v>
      </c>
      <c r="D10" s="398">
        <f>IF('E) PCS'!G16/'K) Plafonnement aide'!C10&gt;0,'E) PCS'!G16/'K) Plafonnement aide'!C10,0)</f>
        <v>23.63119840832633</v>
      </c>
      <c r="E10" s="135">
        <f>'H) Péréquation directe'!I20/C10</f>
        <v>15.348925041306257</v>
      </c>
      <c r="F10" s="398">
        <f>+'I) Dépenses thématiques'!U10</f>
        <v>-11.310864171076059</v>
      </c>
      <c r="G10" s="135">
        <f t="shared" si="1"/>
        <v>27.669259278556527</v>
      </c>
      <c r="H10" s="109">
        <f t="shared" si="2"/>
        <v>38.980123449632586</v>
      </c>
      <c r="I10" s="135">
        <f t="shared" si="3"/>
        <v>0</v>
      </c>
      <c r="J10" s="55">
        <f t="shared" si="4"/>
        <v>0</v>
      </c>
      <c r="K10" s="36"/>
    </row>
    <row r="11" spans="1:25" x14ac:dyDescent="0.25">
      <c r="A11" s="49">
        <f>'A) Base RI'!A12</f>
        <v>5406</v>
      </c>
      <c r="B11" s="284" t="str">
        <f>'A) Base RI'!B12</f>
        <v>Lavey-Morcles</v>
      </c>
      <c r="C11" s="95">
        <f>'B) D RI'!U12</f>
        <v>21513.822183969878</v>
      </c>
      <c r="D11" s="398">
        <f>IF('E) PCS'!G17/'K) Plafonnement aide'!C11&gt;0,'E) PCS'!G17/'K) Plafonnement aide'!C11,0)</f>
        <v>14.547643540249538</v>
      </c>
      <c r="E11" s="135">
        <f>'H) Péréquation directe'!I21/C11</f>
        <v>-10.891452889842904</v>
      </c>
      <c r="F11" s="398">
        <f>+'I) Dépenses thématiques'!U11</f>
        <v>-7.5370994288965241</v>
      </c>
      <c r="G11" s="135">
        <f t="shared" si="1"/>
        <v>-3.8809087784898901</v>
      </c>
      <c r="H11" s="109">
        <f t="shared" si="2"/>
        <v>3.6561906504066339</v>
      </c>
      <c r="I11" s="135">
        <f t="shared" si="3"/>
        <v>0</v>
      </c>
      <c r="J11" s="55">
        <f t="shared" si="4"/>
        <v>0</v>
      </c>
      <c r="K11" s="36"/>
    </row>
    <row r="12" spans="1:25" x14ac:dyDescent="0.25">
      <c r="A12" s="49">
        <f>'A) Base RI'!A13</f>
        <v>5407</v>
      </c>
      <c r="B12" s="284" t="str">
        <f>'A) Base RI'!B13</f>
        <v>Leysin</v>
      </c>
      <c r="C12" s="95">
        <f>'B) D RI'!U13</f>
        <v>90687.443803418792</v>
      </c>
      <c r="D12" s="398">
        <f>IF('E) PCS'!G18/'K) Plafonnement aide'!C12&gt;0,'E) PCS'!G18/'K) Plafonnement aide'!C12,0)</f>
        <v>18.557314819008788</v>
      </c>
      <c r="E12" s="135">
        <f>'H) Péréquation directe'!I22/C12</f>
        <v>-16.785497096453646</v>
      </c>
      <c r="F12" s="398">
        <f>+'I) Dépenses thématiques'!U12</f>
        <v>-22.571443393685733</v>
      </c>
      <c r="G12" s="135">
        <f t="shared" si="1"/>
        <v>-20.799625671130592</v>
      </c>
      <c r="H12" s="109">
        <f t="shared" si="2"/>
        <v>1.7718177225551415</v>
      </c>
      <c r="I12" s="135">
        <f t="shared" si="3"/>
        <v>0</v>
      </c>
      <c r="J12" s="55">
        <f t="shared" si="4"/>
        <v>0</v>
      </c>
      <c r="K12" s="36"/>
      <c r="L12" s="28"/>
    </row>
    <row r="13" spans="1:25" x14ac:dyDescent="0.25">
      <c r="A13" s="49">
        <f>'A) Base RI'!A14</f>
        <v>5408</v>
      </c>
      <c r="B13" s="284" t="str">
        <f>'A) Base RI'!B14</f>
        <v>Noville</v>
      </c>
      <c r="C13" s="95">
        <f>'B) D RI'!U14</f>
        <v>41389.442632696395</v>
      </c>
      <c r="D13" s="398">
        <f>IF('E) PCS'!G19/'K) Plafonnement aide'!C13&gt;0,'E) PCS'!G19/'K) Plafonnement aide'!C13,0)</f>
        <v>18.581773126694593</v>
      </c>
      <c r="E13" s="135">
        <f>'H) Péréquation directe'!I23/C13</f>
        <v>5.1895771337072416</v>
      </c>
      <c r="F13" s="398">
        <f>+'I) Dépenses thématiques'!U13</f>
        <v>-7.1285935123035467</v>
      </c>
      <c r="G13" s="135">
        <f t="shared" si="1"/>
        <v>16.642756748098289</v>
      </c>
      <c r="H13" s="109">
        <f t="shared" si="2"/>
        <v>23.771350260401835</v>
      </c>
      <c r="I13" s="135">
        <f t="shared" si="3"/>
        <v>0</v>
      </c>
      <c r="J13" s="55">
        <f t="shared" si="4"/>
        <v>0</v>
      </c>
      <c r="K13" s="36"/>
    </row>
    <row r="14" spans="1:25" x14ac:dyDescent="0.25">
      <c r="A14" s="49">
        <f>'A) Base RI'!A15</f>
        <v>5409</v>
      </c>
      <c r="B14" s="284" t="str">
        <f>'A) Base RI'!B15</f>
        <v>Ollon</v>
      </c>
      <c r="C14" s="95">
        <f>'B) D RI'!U15</f>
        <v>428262.96074660635</v>
      </c>
      <c r="D14" s="398">
        <f>IF('E) PCS'!G20/'K) Plafonnement aide'!C14&gt;0,'E) PCS'!G20/'K) Plafonnement aide'!C14,0)</f>
        <v>22.834730906627449</v>
      </c>
      <c r="E14" s="135">
        <f>'H) Péréquation directe'!I24/C14</f>
        <v>10.341040487989622</v>
      </c>
      <c r="F14" s="398">
        <f>+'I) Dépenses thématiques'!U14</f>
        <v>-8.2976444163308756</v>
      </c>
      <c r="G14" s="135">
        <f t="shared" si="1"/>
        <v>24.878126978286197</v>
      </c>
      <c r="H14" s="109">
        <f t="shared" si="2"/>
        <v>33.175771394617072</v>
      </c>
      <c r="I14" s="135">
        <f t="shared" si="3"/>
        <v>0</v>
      </c>
      <c r="J14" s="55">
        <f t="shared" si="4"/>
        <v>0</v>
      </c>
      <c r="K14" s="36"/>
    </row>
    <row r="15" spans="1:25" x14ac:dyDescent="0.25">
      <c r="A15" s="49">
        <f>'A) Base RI'!A16</f>
        <v>5410</v>
      </c>
      <c r="B15" s="284" t="str">
        <f>'A) Base RI'!B16</f>
        <v>Ormont-Dessous</v>
      </c>
      <c r="C15" s="95">
        <f>'B) D RI'!U16</f>
        <v>38614.348051948051</v>
      </c>
      <c r="D15" s="398">
        <f>IF('E) PCS'!G21/'K) Plafonnement aide'!C15&gt;0,'E) PCS'!G21/'K) Plafonnement aide'!C15,0)</f>
        <v>20.71893513396266</v>
      </c>
      <c r="E15" s="135">
        <f>'H) Péréquation directe'!I25/C15</f>
        <v>3.1572484387654178</v>
      </c>
      <c r="F15" s="398">
        <f>+'I) Dépenses thématiques'!U15</f>
        <v>-33.712226576972526</v>
      </c>
      <c r="G15" s="135">
        <f t="shared" si="1"/>
        <v>-9.8360430042444484</v>
      </c>
      <c r="H15" s="109">
        <f t="shared" si="2"/>
        <v>23.876183572728078</v>
      </c>
      <c r="I15" s="135">
        <f t="shared" si="3"/>
        <v>0</v>
      </c>
      <c r="J15" s="55">
        <f t="shared" si="4"/>
        <v>0</v>
      </c>
      <c r="K15" s="36"/>
    </row>
    <row r="16" spans="1:25" x14ac:dyDescent="0.25">
      <c r="A16" s="49">
        <f>'A) Base RI'!A17</f>
        <v>5411</v>
      </c>
      <c r="B16" s="284" t="str">
        <f>'A) Base RI'!B17</f>
        <v>Ormont-Dessus</v>
      </c>
      <c r="C16" s="95">
        <f>'B) D RI'!U17</f>
        <v>77411.411228070181</v>
      </c>
      <c r="D16" s="398">
        <f>IF('E) PCS'!G22/'K) Plafonnement aide'!C16&gt;0,'E) PCS'!G22/'K) Plafonnement aide'!C16,0)</f>
        <v>20.268200005126534</v>
      </c>
      <c r="E16" s="135">
        <f>'H) Péréquation directe'!I26/C16</f>
        <v>15.007706684953616</v>
      </c>
      <c r="F16" s="398">
        <f>+'I) Dépenses thématiques'!U16</f>
        <v>-12.361659076220693</v>
      </c>
      <c r="G16" s="135">
        <f t="shared" si="1"/>
        <v>22.914247613859455</v>
      </c>
      <c r="H16" s="109">
        <f t="shared" si="2"/>
        <v>35.275906690080149</v>
      </c>
      <c r="I16" s="135">
        <f t="shared" si="3"/>
        <v>0</v>
      </c>
      <c r="J16" s="55">
        <f t="shared" si="4"/>
        <v>0</v>
      </c>
      <c r="K16" s="36"/>
    </row>
    <row r="17" spans="1:11" x14ac:dyDescent="0.25">
      <c r="A17" s="49">
        <f>'A) Base RI'!A18</f>
        <v>5412</v>
      </c>
      <c r="B17" s="284" t="str">
        <f>'A) Base RI'!B18</f>
        <v>Rennaz</v>
      </c>
      <c r="C17" s="95">
        <f>'B) D RI'!U18</f>
        <v>28875.999420289856</v>
      </c>
      <c r="D17" s="398">
        <f>IF('E) PCS'!G23/'K) Plafonnement aide'!C17&gt;0,'E) PCS'!G23/'K) Plafonnement aide'!C17,0)</f>
        <v>24.082645821491987</v>
      </c>
      <c r="E17" s="135">
        <f>'H) Péréquation directe'!I27/C17</f>
        <v>5.718638371399769</v>
      </c>
      <c r="F17" s="398">
        <f>+'I) Dépenses thématiques'!U17</f>
        <v>-3.1817081921842352</v>
      </c>
      <c r="G17" s="135">
        <f t="shared" si="1"/>
        <v>26.619576000707522</v>
      </c>
      <c r="H17" s="109">
        <f t="shared" si="2"/>
        <v>29.801284192891757</v>
      </c>
      <c r="I17" s="135">
        <f t="shared" si="3"/>
        <v>0</v>
      </c>
      <c r="J17" s="55">
        <f t="shared" si="4"/>
        <v>0</v>
      </c>
      <c r="K17" s="36"/>
    </row>
    <row r="18" spans="1:11" x14ac:dyDescent="0.25">
      <c r="A18" s="49">
        <f>'A) Base RI'!A19</f>
        <v>5413</v>
      </c>
      <c r="B18" s="284" t="str">
        <f>'A) Base RI'!B19</f>
        <v>Roche</v>
      </c>
      <c r="C18" s="95">
        <f>'B) D RI'!U19</f>
        <v>43148.541249999987</v>
      </c>
      <c r="D18" s="398">
        <f>IF('E) PCS'!G24/'K) Plafonnement aide'!C18&gt;0,'E) PCS'!G24/'K) Plafonnement aide'!C18,0)</f>
        <v>23.812250268042568</v>
      </c>
      <c r="E18" s="135">
        <f>'H) Péréquation directe'!I28/C18</f>
        <v>-11.655939222988895</v>
      </c>
      <c r="F18" s="398">
        <f>+'I) Dépenses thématiques'!U18</f>
        <v>-1.8729544535877003</v>
      </c>
      <c r="G18" s="135">
        <f t="shared" si="1"/>
        <v>10.283356591465973</v>
      </c>
      <c r="H18" s="109">
        <f t="shared" si="2"/>
        <v>12.156311045053673</v>
      </c>
      <c r="I18" s="135">
        <f t="shared" si="3"/>
        <v>0</v>
      </c>
      <c r="J18" s="55">
        <f t="shared" si="4"/>
        <v>0</v>
      </c>
      <c r="K18" s="36"/>
    </row>
    <row r="19" spans="1:11" x14ac:dyDescent="0.25">
      <c r="A19" s="49">
        <f>'A) Base RI'!A20</f>
        <v>5414</v>
      </c>
      <c r="B19" s="284" t="str">
        <f>'A) Base RI'!B20</f>
        <v>Villeneuve</v>
      </c>
      <c r="C19" s="95">
        <f>'B) D RI'!U20</f>
        <v>185712.20711111111</v>
      </c>
      <c r="D19" s="398">
        <f>IF('E) PCS'!G25/'K) Plafonnement aide'!C19&gt;0,'E) PCS'!G25/'K) Plafonnement aide'!C19,0)</f>
        <v>19.151738386231788</v>
      </c>
      <c r="E19" s="135">
        <f>'H) Péréquation directe'!I29/C19</f>
        <v>-3.9991841097545229</v>
      </c>
      <c r="F19" s="398">
        <f>+'I) Dépenses thématiques'!U19</f>
        <v>-12.605436058381429</v>
      </c>
      <c r="G19" s="135">
        <f t="shared" si="1"/>
        <v>2.5471182180958358</v>
      </c>
      <c r="H19" s="109">
        <f t="shared" si="2"/>
        <v>15.152554276477264</v>
      </c>
      <c r="I19" s="135">
        <f t="shared" si="3"/>
        <v>0</v>
      </c>
      <c r="J19" s="55">
        <f t="shared" si="4"/>
        <v>0</v>
      </c>
      <c r="K19" s="36"/>
    </row>
    <row r="20" spans="1:11" x14ac:dyDescent="0.25">
      <c r="A20" s="49">
        <f>'A) Base RI'!A21</f>
        <v>5415</v>
      </c>
      <c r="B20" s="284" t="str">
        <f>'A) Base RI'!B21</f>
        <v>Yvorne</v>
      </c>
      <c r="C20" s="95">
        <f>'B) D RI'!U21</f>
        <v>35910.274638694631</v>
      </c>
      <c r="D20" s="398">
        <f>IF('E) PCS'!G26/'K) Plafonnement aide'!C20&gt;0,'E) PCS'!G26/'K) Plafonnement aide'!C20,0)</f>
        <v>20.100818834763942</v>
      </c>
      <c r="E20" s="135">
        <f>'H) Péréquation directe'!I30/C20</f>
        <v>6.6704735692855994</v>
      </c>
      <c r="F20" s="398">
        <f>+'I) Dépenses thématiques'!U20</f>
        <v>-6.2428830869270255</v>
      </c>
      <c r="G20" s="135">
        <f t="shared" si="1"/>
        <v>20.528409317122513</v>
      </c>
      <c r="H20" s="109">
        <f t="shared" si="2"/>
        <v>26.771292404049539</v>
      </c>
      <c r="I20" s="135">
        <f t="shared" si="3"/>
        <v>0</v>
      </c>
      <c r="J20" s="55">
        <f t="shared" si="4"/>
        <v>0</v>
      </c>
      <c r="K20" s="36"/>
    </row>
    <row r="21" spans="1:11" x14ac:dyDescent="0.25">
      <c r="A21" s="49">
        <f>'A) Base RI'!A22</f>
        <v>5421</v>
      </c>
      <c r="B21" s="284" t="str">
        <f>'A) Base RI'!B22</f>
        <v>Apples</v>
      </c>
      <c r="C21" s="95">
        <f>'B) D RI'!U22</f>
        <v>68531.648243243253</v>
      </c>
      <c r="D21" s="398">
        <f>IF('E) PCS'!G27/'K) Plafonnement aide'!C21&gt;0,'E) PCS'!G27/'K) Plafonnement aide'!C21,0)</f>
        <v>18.417266054742967</v>
      </c>
      <c r="E21" s="135">
        <f>'H) Péréquation directe'!I31/C21</f>
        <v>13.629594398348313</v>
      </c>
      <c r="F21" s="398">
        <f>+'I) Dépenses thématiques'!U21</f>
        <v>-4.3589149249384951</v>
      </c>
      <c r="G21" s="135">
        <f t="shared" si="1"/>
        <v>27.687945528152788</v>
      </c>
      <c r="H21" s="109">
        <f t="shared" si="2"/>
        <v>32.046860453091284</v>
      </c>
      <c r="I21" s="135">
        <f t="shared" si="3"/>
        <v>0</v>
      </c>
      <c r="J21" s="55">
        <f t="shared" si="4"/>
        <v>0</v>
      </c>
      <c r="K21" s="36"/>
    </row>
    <row r="22" spans="1:11" x14ac:dyDescent="0.25">
      <c r="A22" s="49">
        <f>'A) Base RI'!A23</f>
        <v>5422</v>
      </c>
      <c r="B22" s="284" t="str">
        <f>'A) Base RI'!B23</f>
        <v>Aubonne</v>
      </c>
      <c r="C22" s="95">
        <f>'B) D RI'!U23</f>
        <v>364706.48499999999</v>
      </c>
      <c r="D22" s="398">
        <f>IF('E) PCS'!G28/'K) Plafonnement aide'!C22&gt;0,'E) PCS'!G28/'K) Plafonnement aide'!C22,0)</f>
        <v>26.490338439575115</v>
      </c>
      <c r="E22" s="135">
        <f>'H) Péréquation directe'!I32/C22</f>
        <v>15.3280977320848</v>
      </c>
      <c r="F22" s="398">
        <f>+'I) Dépenses thématiques'!U22</f>
        <v>0</v>
      </c>
      <c r="G22" s="135">
        <f t="shared" si="1"/>
        <v>41.818436171659911</v>
      </c>
      <c r="H22" s="109">
        <f t="shared" si="2"/>
        <v>41.818436171659911</v>
      </c>
      <c r="I22" s="135">
        <f t="shared" si="3"/>
        <v>0</v>
      </c>
      <c r="J22" s="55">
        <f t="shared" si="4"/>
        <v>0</v>
      </c>
      <c r="K22" s="36"/>
    </row>
    <row r="23" spans="1:11" x14ac:dyDescent="0.25">
      <c r="A23" s="49">
        <f>'A) Base RI'!A24</f>
        <v>5423</v>
      </c>
      <c r="B23" s="284" t="str">
        <f>'A) Base RI'!B24</f>
        <v>Ballens</v>
      </c>
      <c r="C23" s="95">
        <f>'B) D RI'!U24</f>
        <v>16194.440273972601</v>
      </c>
      <c r="D23" s="398">
        <f>IF('E) PCS'!G29/'K) Plafonnement aide'!C23&gt;0,'E) PCS'!G29/'K) Plafonnement aide'!C23,0)</f>
        <v>17.139588953209628</v>
      </c>
      <c r="E23" s="135">
        <f>'H) Péréquation directe'!I33/C23</f>
        <v>-0.48801075118733711</v>
      </c>
      <c r="F23" s="398">
        <f>+'I) Dépenses thématiques'!U23</f>
        <v>-5.1251606694650009</v>
      </c>
      <c r="G23" s="135">
        <f t="shared" si="1"/>
        <v>11.526417532557293</v>
      </c>
      <c r="H23" s="109">
        <f t="shared" si="2"/>
        <v>16.651578202022293</v>
      </c>
      <c r="I23" s="135">
        <f t="shared" si="3"/>
        <v>0</v>
      </c>
      <c r="J23" s="55">
        <f t="shared" si="4"/>
        <v>0</v>
      </c>
      <c r="K23" s="36"/>
    </row>
    <row r="24" spans="1:11" x14ac:dyDescent="0.25">
      <c r="A24" s="49">
        <f>'A) Base RI'!A25</f>
        <v>5424</v>
      </c>
      <c r="B24" s="284" t="str">
        <f>'A) Base RI'!B25</f>
        <v>Berolle</v>
      </c>
      <c r="C24" s="95">
        <f>'B) D RI'!U25</f>
        <v>8301.8684768211915</v>
      </c>
      <c r="D24" s="398">
        <f>IF('E) PCS'!G30/'K) Plafonnement aide'!C24&gt;0,'E) PCS'!G30/'K) Plafonnement aide'!C24,0)</f>
        <v>14.097786860982694</v>
      </c>
      <c r="E24" s="135">
        <f>'H) Péréquation directe'!I34/C24</f>
        <v>-4.078071544728787</v>
      </c>
      <c r="F24" s="398">
        <f>+'I) Dépenses thématiques'!U24</f>
        <v>-9.0017853197876612</v>
      </c>
      <c r="G24" s="135">
        <f t="shared" si="1"/>
        <v>1.0179299964662469</v>
      </c>
      <c r="H24" s="109">
        <f t="shared" si="2"/>
        <v>10.019715316253908</v>
      </c>
      <c r="I24" s="135">
        <f t="shared" si="3"/>
        <v>0</v>
      </c>
      <c r="J24" s="55">
        <f t="shared" si="4"/>
        <v>0</v>
      </c>
      <c r="K24" s="36"/>
    </row>
    <row r="25" spans="1:11" x14ac:dyDescent="0.25">
      <c r="A25" s="49">
        <f>'A) Base RI'!A26</f>
        <v>5425</v>
      </c>
      <c r="B25" s="284" t="str">
        <f>'A) Base RI'!B26</f>
        <v>Bière</v>
      </c>
      <c r="C25" s="95">
        <f>'B) D RI'!U26</f>
        <v>44230.498130934531</v>
      </c>
      <c r="D25" s="398">
        <f>IF('E) PCS'!G31/'K) Plafonnement aide'!C25&gt;0,'E) PCS'!G31/'K) Plafonnement aide'!C25,0)</f>
        <v>15.883747148515894</v>
      </c>
      <c r="E25" s="135">
        <f>'H) Péréquation directe'!I35/C25</f>
        <v>-4.1493549144946771</v>
      </c>
      <c r="F25" s="398">
        <f>+'I) Dépenses thématiques'!U25</f>
        <v>-16.869036505251479</v>
      </c>
      <c r="G25" s="135">
        <f t="shared" si="1"/>
        <v>-5.1346442712302611</v>
      </c>
      <c r="H25" s="109">
        <f t="shared" si="2"/>
        <v>11.734392234021218</v>
      </c>
      <c r="I25" s="135">
        <f t="shared" si="3"/>
        <v>0</v>
      </c>
      <c r="J25" s="55">
        <f t="shared" si="4"/>
        <v>0</v>
      </c>
      <c r="K25" s="36"/>
    </row>
    <row r="26" spans="1:11" x14ac:dyDescent="0.25">
      <c r="A26" s="49">
        <f>'A) Base RI'!A27</f>
        <v>5426</v>
      </c>
      <c r="B26" s="284" t="str">
        <f>'A) Base RI'!B27</f>
        <v>Bougy-Villars</v>
      </c>
      <c r="C26" s="95">
        <f>'B) D RI'!U27</f>
        <v>53043.718423772611</v>
      </c>
      <c r="D26" s="398">
        <f>IF('E) PCS'!G32/'K) Plafonnement aide'!C26&gt;0,'E) PCS'!G32/'K) Plafonnement aide'!C26,0)</f>
        <v>45.738029312570632</v>
      </c>
      <c r="E26" s="135">
        <f>'H) Péréquation directe'!I36/C26</f>
        <v>17.485361769283152</v>
      </c>
      <c r="F26" s="398">
        <f>+'I) Dépenses thématiques'!U26</f>
        <v>0</v>
      </c>
      <c r="G26" s="135">
        <f t="shared" si="1"/>
        <v>63.223391081853784</v>
      </c>
      <c r="H26" s="109">
        <f t="shared" si="2"/>
        <v>63.223391081853784</v>
      </c>
      <c r="I26" s="135">
        <f t="shared" si="3"/>
        <v>0</v>
      </c>
      <c r="J26" s="55">
        <f t="shared" si="4"/>
        <v>0</v>
      </c>
      <c r="K26" s="36"/>
    </row>
    <row r="27" spans="1:11" x14ac:dyDescent="0.25">
      <c r="A27" s="49">
        <f>'A) Base RI'!A28</f>
        <v>5427</v>
      </c>
      <c r="B27" s="284" t="str">
        <f>'A) Base RI'!B28</f>
        <v>Féchy</v>
      </c>
      <c r="C27" s="95">
        <f>'B) D RI'!U28</f>
        <v>88215.323569711545</v>
      </c>
      <c r="D27" s="398">
        <f>IF('E) PCS'!G33/'K) Plafonnement aide'!C27&gt;0,'E) PCS'!G33/'K) Plafonnement aide'!C27,0)</f>
        <v>25.648735731268815</v>
      </c>
      <c r="E27" s="135">
        <f>'H) Péréquation directe'!I37/C27</f>
        <v>17.391385223601119</v>
      </c>
      <c r="F27" s="398">
        <f>+'I) Dépenses thématiques'!U27</f>
        <v>0</v>
      </c>
      <c r="G27" s="135">
        <f t="shared" si="1"/>
        <v>43.040120954869934</v>
      </c>
      <c r="H27" s="109">
        <f t="shared" si="2"/>
        <v>43.040120954869934</v>
      </c>
      <c r="I27" s="135">
        <f t="shared" si="3"/>
        <v>0</v>
      </c>
      <c r="J27" s="55">
        <f t="shared" si="4"/>
        <v>0</v>
      </c>
      <c r="K27" s="36"/>
    </row>
    <row r="28" spans="1:11" x14ac:dyDescent="0.25">
      <c r="A28" s="49">
        <f>'A) Base RI'!A29</f>
        <v>5428</v>
      </c>
      <c r="B28" s="284" t="str">
        <f>'A) Base RI'!B29</f>
        <v>Gimel</v>
      </c>
      <c r="C28" s="95">
        <f>'B) D RI'!U29</f>
        <v>70558.698881431759</v>
      </c>
      <c r="D28" s="398">
        <f>IF('E) PCS'!G34/'K) Plafonnement aide'!C28&gt;0,'E) PCS'!G34/'K) Plafonnement aide'!C28,0)</f>
        <v>18.151189694548044</v>
      </c>
      <c r="E28" s="135">
        <f>'H) Péréquation directe'!I38/C28</f>
        <v>-4.4023673333471125</v>
      </c>
      <c r="F28" s="398">
        <f>+'I) Dépenses thématiques'!U28</f>
        <v>-8.0493481534393467</v>
      </c>
      <c r="G28" s="135">
        <f t="shared" si="1"/>
        <v>5.6994742077615861</v>
      </c>
      <c r="H28" s="109">
        <f t="shared" si="2"/>
        <v>13.748822361200933</v>
      </c>
      <c r="I28" s="135">
        <f t="shared" si="3"/>
        <v>0</v>
      </c>
      <c r="J28" s="55">
        <f t="shared" si="4"/>
        <v>0</v>
      </c>
      <c r="K28" s="36"/>
    </row>
    <row r="29" spans="1:11" x14ac:dyDescent="0.25">
      <c r="A29" s="49">
        <f>'A) Base RI'!A30</f>
        <v>5429</v>
      </c>
      <c r="B29" s="284" t="str">
        <f>'A) Base RI'!B30</f>
        <v>Longirod</v>
      </c>
      <c r="C29" s="95">
        <f>'B) D RI'!U30</f>
        <v>18574.452387096771</v>
      </c>
      <c r="D29" s="398">
        <f>IF('E) PCS'!G35/'K) Plafonnement aide'!C29&gt;0,'E) PCS'!G35/'K) Plafonnement aide'!C29,0)</f>
        <v>17.300701868203536</v>
      </c>
      <c r="E29" s="135">
        <f>'H) Péréquation directe'!I39/C29</f>
        <v>6.6543192049678073</v>
      </c>
      <c r="F29" s="398">
        <f>+'I) Dépenses thématiques'!U29</f>
        <v>-4.8028035781592386</v>
      </c>
      <c r="G29" s="135">
        <f t="shared" si="1"/>
        <v>19.152217495012106</v>
      </c>
      <c r="H29" s="109">
        <f t="shared" si="2"/>
        <v>23.955021073171345</v>
      </c>
      <c r="I29" s="135">
        <f t="shared" si="3"/>
        <v>0</v>
      </c>
      <c r="J29" s="55">
        <f t="shared" si="4"/>
        <v>0</v>
      </c>
      <c r="K29" s="36"/>
    </row>
    <row r="30" spans="1:11" x14ac:dyDescent="0.25">
      <c r="A30" s="49">
        <f>'A) Base RI'!A31</f>
        <v>5430</v>
      </c>
      <c r="B30" s="284" t="str">
        <f>'A) Base RI'!B31</f>
        <v>Marchissy</v>
      </c>
      <c r="C30" s="95">
        <f>'B) D RI'!U31</f>
        <v>15580.981548387101</v>
      </c>
      <c r="D30" s="398">
        <f>IF('E) PCS'!G36/'K) Plafonnement aide'!C30&gt;0,'E) PCS'!G36/'K) Plafonnement aide'!C30,0)</f>
        <v>15.263385197310047</v>
      </c>
      <c r="E30" s="135">
        <f>'H) Péréquation directe'!I40/C30</f>
        <v>2.6277293170127796</v>
      </c>
      <c r="F30" s="398">
        <f>+'I) Dépenses thématiques'!U30</f>
        <v>-3.8783892094354506</v>
      </c>
      <c r="G30" s="135">
        <f t="shared" si="1"/>
        <v>14.012725304887375</v>
      </c>
      <c r="H30" s="109">
        <f t="shared" si="2"/>
        <v>17.891114514322826</v>
      </c>
      <c r="I30" s="135">
        <f t="shared" si="3"/>
        <v>0</v>
      </c>
      <c r="J30" s="55">
        <f t="shared" si="4"/>
        <v>0</v>
      </c>
      <c r="K30" s="36"/>
    </row>
    <row r="31" spans="1:11" x14ac:dyDescent="0.25">
      <c r="A31" s="49">
        <f>'A) Base RI'!A32</f>
        <v>5431</v>
      </c>
      <c r="B31" s="284" t="str">
        <f>'A) Base RI'!B32</f>
        <v>Mollens</v>
      </c>
      <c r="C31" s="95">
        <f>'B) D RI'!U32</f>
        <v>10464.972567567567</v>
      </c>
      <c r="D31" s="398">
        <f>IF('E) PCS'!G37/'K) Plafonnement aide'!C31&gt;0,'E) PCS'!G37/'K) Plafonnement aide'!C31,0)</f>
        <v>13.836925276806999</v>
      </c>
      <c r="E31" s="135">
        <f>'H) Péréquation directe'!I41/C31</f>
        <v>4.4629085215076785</v>
      </c>
      <c r="F31" s="398">
        <f>+'I) Dépenses thématiques'!U31</f>
        <v>-3.676424846841388</v>
      </c>
      <c r="G31" s="135">
        <f t="shared" si="1"/>
        <v>14.623408951473291</v>
      </c>
      <c r="H31" s="109">
        <f t="shared" si="2"/>
        <v>18.29983379831468</v>
      </c>
      <c r="I31" s="135">
        <f t="shared" si="3"/>
        <v>0</v>
      </c>
      <c r="J31" s="55">
        <f t="shared" si="4"/>
        <v>0</v>
      </c>
      <c r="K31" s="36"/>
    </row>
    <row r="32" spans="1:11" x14ac:dyDescent="0.25">
      <c r="A32" s="49">
        <f>'A) Base RI'!A33</f>
        <v>5434</v>
      </c>
      <c r="B32" s="284" t="str">
        <f>'A) Base RI'!B33</f>
        <v>Saint-George</v>
      </c>
      <c r="C32" s="95">
        <f>'B) D RI'!U33</f>
        <v>43544.748513189443</v>
      </c>
      <c r="D32" s="398">
        <f>IF('E) PCS'!G38/'K) Plafonnement aide'!C32&gt;0,'E) PCS'!G38/'K) Plafonnement aide'!C32,0)</f>
        <v>15.472841991490508</v>
      </c>
      <c r="E32" s="135">
        <f>'H) Péréquation directe'!I42/C32</f>
        <v>11.522577072803163</v>
      </c>
      <c r="F32" s="398">
        <f>+'I) Dépenses thématiques'!U32</f>
        <v>-1.6618940605190058</v>
      </c>
      <c r="G32" s="135">
        <f t="shared" si="1"/>
        <v>25.333525003774664</v>
      </c>
      <c r="H32" s="109">
        <f t="shared" si="2"/>
        <v>26.995419064293671</v>
      </c>
      <c r="I32" s="135">
        <f t="shared" si="3"/>
        <v>0</v>
      </c>
      <c r="J32" s="55">
        <f t="shared" si="4"/>
        <v>0</v>
      </c>
      <c r="K32" s="36"/>
    </row>
    <row r="33" spans="1:11" x14ac:dyDescent="0.25">
      <c r="A33" s="49">
        <f>'A) Base RI'!A34</f>
        <v>5435</v>
      </c>
      <c r="B33" s="284" t="str">
        <f>'A) Base RI'!B34</f>
        <v>Saint-Livres</v>
      </c>
      <c r="C33" s="95">
        <f>'B) D RI'!U34</f>
        <v>25854.309855072468</v>
      </c>
      <c r="D33" s="398">
        <f>IF('E) PCS'!G39/'K) Plafonnement aide'!C33&gt;0,'E) PCS'!G39/'K) Plafonnement aide'!C33,0)</f>
        <v>17.494725848417549</v>
      </c>
      <c r="E33" s="135">
        <f>'H) Péréquation directe'!I43/C33</f>
        <v>10.430856793885118</v>
      </c>
      <c r="F33" s="398">
        <f>+'I) Dépenses thématiques'!U33</f>
        <v>-5.568281952352104E-2</v>
      </c>
      <c r="G33" s="135">
        <f t="shared" si="1"/>
        <v>27.869899822779143</v>
      </c>
      <c r="H33" s="109">
        <f t="shared" si="2"/>
        <v>27.925582642302665</v>
      </c>
      <c r="I33" s="135">
        <f t="shared" si="3"/>
        <v>0</v>
      </c>
      <c r="J33" s="55">
        <f t="shared" si="4"/>
        <v>0</v>
      </c>
      <c r="K33" s="36"/>
    </row>
    <row r="34" spans="1:11" x14ac:dyDescent="0.25">
      <c r="A34" s="49">
        <f>'A) Base RI'!A35</f>
        <v>5436</v>
      </c>
      <c r="B34" s="284" t="str">
        <f>'A) Base RI'!B35</f>
        <v>Saint-Oyens</v>
      </c>
      <c r="C34" s="95">
        <f>'B) D RI'!U35</f>
        <v>16868.339629629631</v>
      </c>
      <c r="D34" s="398">
        <f>IF('E) PCS'!G40/'K) Plafonnement aide'!C34&gt;0,'E) PCS'!G40/'K) Plafonnement aide'!C34,0)</f>
        <v>16.691341275389089</v>
      </c>
      <c r="E34" s="135">
        <f>'H) Péréquation directe'!I44/C34</f>
        <v>7.0439978677048538</v>
      </c>
      <c r="F34" s="398">
        <f>+'I) Dépenses thématiques'!U34</f>
        <v>0</v>
      </c>
      <c r="G34" s="135">
        <f t="shared" si="1"/>
        <v>23.735339143093942</v>
      </c>
      <c r="H34" s="109">
        <f t="shared" si="2"/>
        <v>23.735339143093942</v>
      </c>
      <c r="I34" s="135">
        <f t="shared" si="3"/>
        <v>0</v>
      </c>
      <c r="J34" s="55">
        <f t="shared" si="4"/>
        <v>0</v>
      </c>
      <c r="K34" s="36"/>
    </row>
    <row r="35" spans="1:11" x14ac:dyDescent="0.25">
      <c r="A35" s="49">
        <f>'A) Base RI'!A36</f>
        <v>5437</v>
      </c>
      <c r="B35" s="284" t="str">
        <f>'A) Base RI'!B36</f>
        <v>Saubraz</v>
      </c>
      <c r="C35" s="95">
        <f>'B) D RI'!U36</f>
        <v>13551.757374999997</v>
      </c>
      <c r="D35" s="398">
        <f>IF('E) PCS'!G41/'K) Plafonnement aide'!C35&gt;0,'E) PCS'!G41/'K) Plafonnement aide'!C35,0)</f>
        <v>23.894592086800014</v>
      </c>
      <c r="E35" s="135">
        <f>'H) Péréquation directe'!I45/C35</f>
        <v>-0.39539999249362584</v>
      </c>
      <c r="F35" s="398">
        <f>+'I) Dépenses thématiques'!U35</f>
        <v>-26.32855620690302</v>
      </c>
      <c r="G35" s="135">
        <f t="shared" si="1"/>
        <v>-2.8293641125966325</v>
      </c>
      <c r="H35" s="109">
        <f t="shared" si="2"/>
        <v>23.499192094306387</v>
      </c>
      <c r="I35" s="135">
        <f t="shared" si="3"/>
        <v>0</v>
      </c>
      <c r="J35" s="55">
        <f t="shared" si="4"/>
        <v>0</v>
      </c>
      <c r="K35" s="36"/>
    </row>
    <row r="36" spans="1:11" x14ac:dyDescent="0.25">
      <c r="A36" s="49">
        <f>'A) Base RI'!A37</f>
        <v>5451</v>
      </c>
      <c r="B36" s="284" t="str">
        <f>'A) Base RI'!B37</f>
        <v>Avenches</v>
      </c>
      <c r="C36" s="95">
        <f>'B) D RI'!U37</f>
        <v>137890.8513283208</v>
      </c>
      <c r="D36" s="398">
        <f>IF('E) PCS'!G42/'K) Plafonnement aide'!C36&gt;0,'E) PCS'!G42/'K) Plafonnement aide'!C36,0)</f>
        <v>16.299928382709034</v>
      </c>
      <c r="E36" s="135">
        <f>'H) Péréquation directe'!I46/C36</f>
        <v>-4.1122744958624109</v>
      </c>
      <c r="F36" s="398">
        <f>+'I) Dépenses thématiques'!U36</f>
        <v>-10.349317074213859</v>
      </c>
      <c r="G36" s="135">
        <f t="shared" si="1"/>
        <v>1.8383368126327628</v>
      </c>
      <c r="H36" s="109">
        <f t="shared" si="2"/>
        <v>12.187653886846622</v>
      </c>
      <c r="I36" s="135">
        <f t="shared" si="3"/>
        <v>0</v>
      </c>
      <c r="J36" s="55">
        <f t="shared" si="4"/>
        <v>0</v>
      </c>
      <c r="K36" s="36"/>
    </row>
    <row r="37" spans="1:11" x14ac:dyDescent="0.25">
      <c r="A37" s="49">
        <f>'A) Base RI'!A38</f>
        <v>5456</v>
      </c>
      <c r="B37" s="284" t="str">
        <f>'A) Base RI'!B38</f>
        <v>Cudrefin</v>
      </c>
      <c r="C37" s="95">
        <f>'B) D RI'!U38</f>
        <v>64144.951694915253</v>
      </c>
      <c r="D37" s="398">
        <f>IF('E) PCS'!G43/'K) Plafonnement aide'!C37&gt;0,'E) PCS'!G43/'K) Plafonnement aide'!C37,0)</f>
        <v>15.30616574029226</v>
      </c>
      <c r="E37" s="135">
        <f>'H) Péréquation directe'!I47/C37</f>
        <v>6.8044546135856478</v>
      </c>
      <c r="F37" s="398">
        <f>+'I) Dépenses thématiques'!U37</f>
        <v>-4.3912464252870711</v>
      </c>
      <c r="G37" s="135">
        <f t="shared" si="1"/>
        <v>17.719373928590834</v>
      </c>
      <c r="H37" s="109">
        <f t="shared" si="2"/>
        <v>22.110620353877906</v>
      </c>
      <c r="I37" s="135">
        <f t="shared" si="3"/>
        <v>0</v>
      </c>
      <c r="J37" s="55">
        <f t="shared" si="4"/>
        <v>0</v>
      </c>
      <c r="K37" s="36"/>
    </row>
    <row r="38" spans="1:11" x14ac:dyDescent="0.25">
      <c r="A38" s="49">
        <f>'A) Base RI'!A39</f>
        <v>5458</v>
      </c>
      <c r="B38" s="284" t="str">
        <f>'A) Base RI'!B39</f>
        <v>Faoug</v>
      </c>
      <c r="C38" s="95">
        <f>'B) D RI'!U39</f>
        <v>34721.352769230762</v>
      </c>
      <c r="D38" s="398">
        <f>IF('E) PCS'!G44/'K) Plafonnement aide'!C38&gt;0,'E) PCS'!G44/'K) Plafonnement aide'!C38,0)</f>
        <v>15.771813456391309</v>
      </c>
      <c r="E38" s="135">
        <f>'H) Péréquation directe'!I48/C38</f>
        <v>12.052037077460227</v>
      </c>
      <c r="F38" s="398">
        <f>+'I) Dépenses thématiques'!U38</f>
        <v>-3.8001653985539301</v>
      </c>
      <c r="G38" s="135">
        <f t="shared" si="1"/>
        <v>24.023685135297605</v>
      </c>
      <c r="H38" s="109">
        <f t="shared" si="2"/>
        <v>27.823850533851534</v>
      </c>
      <c r="I38" s="135">
        <f t="shared" si="3"/>
        <v>0</v>
      </c>
      <c r="J38" s="55">
        <f t="shared" si="4"/>
        <v>0</v>
      </c>
      <c r="K38" s="36"/>
    </row>
    <row r="39" spans="1:11" x14ac:dyDescent="0.25">
      <c r="A39" s="49">
        <f>'A) Base RI'!A40</f>
        <v>5464</v>
      </c>
      <c r="B39" s="284" t="str">
        <f>'A) Base RI'!B40</f>
        <v>Vully-les-Lacs</v>
      </c>
      <c r="C39" s="95">
        <f>'B) D RI'!U40</f>
        <v>119169.3065671642</v>
      </c>
      <c r="D39" s="398">
        <f>IF('E) PCS'!G45/'K) Plafonnement aide'!C39&gt;0,'E) PCS'!G45/'K) Plafonnement aide'!C39,0)</f>
        <v>18.40949174333819</v>
      </c>
      <c r="E39" s="135">
        <f>'H) Péréquation directe'!I49/C39</f>
        <v>2.5020477558301142</v>
      </c>
      <c r="F39" s="398">
        <f>+'I) Dépenses thématiques'!U39</f>
        <v>-2.5167693698710751</v>
      </c>
      <c r="G39" s="135">
        <f t="shared" si="1"/>
        <v>18.394770129297232</v>
      </c>
      <c r="H39" s="109">
        <f t="shared" si="2"/>
        <v>20.911539499168306</v>
      </c>
      <c r="I39" s="135">
        <f t="shared" si="3"/>
        <v>0</v>
      </c>
      <c r="J39" s="55">
        <f t="shared" si="4"/>
        <v>0</v>
      </c>
      <c r="K39" s="36"/>
    </row>
    <row r="40" spans="1:11" x14ac:dyDescent="0.25">
      <c r="A40" s="49">
        <f>'A) Base RI'!A41</f>
        <v>5471</v>
      </c>
      <c r="B40" s="284" t="str">
        <f>'A) Base RI'!B41</f>
        <v>Bettens</v>
      </c>
      <c r="C40" s="95">
        <f>'B) D RI'!U41</f>
        <v>22893.023698412693</v>
      </c>
      <c r="D40" s="398">
        <f>IF('E) PCS'!G46/'K) Plafonnement aide'!C40&gt;0,'E) PCS'!G46/'K) Plafonnement aide'!C40,0)</f>
        <v>13.963381014007906</v>
      </c>
      <c r="E40" s="135">
        <f>'H) Péréquation directe'!I50/C40</f>
        <v>8.918811282622066</v>
      </c>
      <c r="F40" s="398">
        <f>+'I) Dépenses thématiques'!U40</f>
        <v>-1.150464357897379</v>
      </c>
      <c r="G40" s="135">
        <f t="shared" si="1"/>
        <v>21.731727938732593</v>
      </c>
      <c r="H40" s="109">
        <f t="shared" si="2"/>
        <v>22.882192296629974</v>
      </c>
      <c r="I40" s="135">
        <f t="shared" si="3"/>
        <v>0</v>
      </c>
      <c r="J40" s="55">
        <f t="shared" si="4"/>
        <v>0</v>
      </c>
      <c r="K40" s="36"/>
    </row>
    <row r="41" spans="1:11" x14ac:dyDescent="0.25">
      <c r="A41" s="49">
        <f>'A) Base RI'!A42</f>
        <v>5472</v>
      </c>
      <c r="B41" s="284" t="str">
        <f>'A) Base RI'!B42</f>
        <v>Bournens</v>
      </c>
      <c r="C41" s="95">
        <f>'B) D RI'!U42</f>
        <v>22178.441944444447</v>
      </c>
      <c r="D41" s="398">
        <f>IF('E) PCS'!G47/'K) Plafonnement aide'!C41&gt;0,'E) PCS'!G47/'K) Plafonnement aide'!C41,0)</f>
        <v>16.632136415000936</v>
      </c>
      <c r="E41" s="135">
        <f>'H) Péréquation directe'!I51/C41</f>
        <v>13.60462119495485</v>
      </c>
      <c r="F41" s="398">
        <f>+'I) Dépenses thématiques'!U41</f>
        <v>-0.78348238281090543</v>
      </c>
      <c r="G41" s="135">
        <f t="shared" si="1"/>
        <v>29.453275227144882</v>
      </c>
      <c r="H41" s="109">
        <f t="shared" si="2"/>
        <v>30.236757609955788</v>
      </c>
      <c r="I41" s="135">
        <f t="shared" si="3"/>
        <v>0</v>
      </c>
      <c r="J41" s="55">
        <f t="shared" si="4"/>
        <v>0</v>
      </c>
      <c r="K41" s="36"/>
    </row>
    <row r="42" spans="1:11" x14ac:dyDescent="0.25">
      <c r="A42" s="49">
        <f>'A) Base RI'!A43</f>
        <v>5473</v>
      </c>
      <c r="B42" s="284" t="str">
        <f>'A) Base RI'!B43</f>
        <v>Boussens</v>
      </c>
      <c r="C42" s="95">
        <f>'B) D RI'!U43</f>
        <v>37059.012888888894</v>
      </c>
      <c r="D42" s="398">
        <f>IF('E) PCS'!G48/'K) Plafonnement aide'!C42&gt;0,'E) PCS'!G48/'K) Plafonnement aide'!C42,0)</f>
        <v>15.656234266262816</v>
      </c>
      <c r="E42" s="135">
        <f>'H) Péréquation directe'!I52/C42</f>
        <v>9.6917830760979555</v>
      </c>
      <c r="F42" s="398">
        <f>+'I) Dépenses thématiques'!U42</f>
        <v>0</v>
      </c>
      <c r="G42" s="135">
        <f t="shared" si="1"/>
        <v>25.34801734236077</v>
      </c>
      <c r="H42" s="109">
        <f t="shared" si="2"/>
        <v>25.34801734236077</v>
      </c>
      <c r="I42" s="135">
        <f t="shared" si="3"/>
        <v>0</v>
      </c>
      <c r="J42" s="55">
        <f t="shared" si="4"/>
        <v>0</v>
      </c>
      <c r="K42" s="36"/>
    </row>
    <row r="43" spans="1:11" x14ac:dyDescent="0.25">
      <c r="A43" s="49">
        <f>'A) Base RI'!A44</f>
        <v>5474</v>
      </c>
      <c r="B43" s="284" t="str">
        <f>'A) Base RI'!B44</f>
        <v>La Chaux (Cossonay)</v>
      </c>
      <c r="C43" s="95">
        <f>'B) D RI'!U44</f>
        <v>12905.016929824562</v>
      </c>
      <c r="D43" s="398">
        <f>IF('E) PCS'!G49/'K) Plafonnement aide'!C43&gt;0,'E) PCS'!G49/'K) Plafonnement aide'!C43,0)</f>
        <v>15.862829520136513</v>
      </c>
      <c r="E43" s="135">
        <f>'H) Péréquation directe'!I53/C43</f>
        <v>3.449387264209232</v>
      </c>
      <c r="F43" s="398">
        <f>+'I) Dépenses thématiques'!U43</f>
        <v>-17.804579387264411</v>
      </c>
      <c r="G43" s="135">
        <f t="shared" si="1"/>
        <v>1.5076373970813322</v>
      </c>
      <c r="H43" s="109">
        <f t="shared" si="2"/>
        <v>19.312216784345743</v>
      </c>
      <c r="I43" s="135">
        <f t="shared" si="3"/>
        <v>0</v>
      </c>
      <c r="J43" s="55">
        <f t="shared" si="4"/>
        <v>0</v>
      </c>
      <c r="K43" s="36"/>
    </row>
    <row r="44" spans="1:11" x14ac:dyDescent="0.25">
      <c r="A44" s="49">
        <f>'A) Base RI'!A45</f>
        <v>5475</v>
      </c>
      <c r="B44" s="284" t="str">
        <f>'A) Base RI'!B45</f>
        <v>Chavannes-le-Veyron</v>
      </c>
      <c r="C44" s="95">
        <f>'B) D RI'!U45</f>
        <v>4277.2722666666668</v>
      </c>
      <c r="D44" s="398">
        <f>IF('E) PCS'!G50/'K) Plafonnement aide'!C44&gt;0,'E) PCS'!G50/'K) Plafonnement aide'!C44,0)</f>
        <v>13.295366347393605</v>
      </c>
      <c r="E44" s="135">
        <f>'H) Péréquation directe'!I54/C44</f>
        <v>-2.7944252710454602</v>
      </c>
      <c r="F44" s="398">
        <f>+'I) Dépenses thématiques'!U44</f>
        <v>-6.4957665698593825</v>
      </c>
      <c r="G44" s="135">
        <f t="shared" si="1"/>
        <v>4.0051745064887623</v>
      </c>
      <c r="H44" s="109">
        <f t="shared" si="2"/>
        <v>10.500941076348145</v>
      </c>
      <c r="I44" s="135">
        <f t="shared" si="3"/>
        <v>0</v>
      </c>
      <c r="J44" s="55">
        <f t="shared" si="4"/>
        <v>0</v>
      </c>
      <c r="K44" s="36"/>
    </row>
    <row r="45" spans="1:11" x14ac:dyDescent="0.25">
      <c r="A45" s="49">
        <f>'A) Base RI'!A46</f>
        <v>5476</v>
      </c>
      <c r="B45" s="284" t="str">
        <f>'A) Base RI'!B46</f>
        <v>Chevilly</v>
      </c>
      <c r="C45" s="95">
        <f>'B) D RI'!U46</f>
        <v>12075.307586206898</v>
      </c>
      <c r="D45" s="398">
        <f>IF('E) PCS'!G51/'K) Plafonnement aide'!C45&gt;0,'E) PCS'!G51/'K) Plafonnement aide'!C45,0)</f>
        <v>15.890871621562871</v>
      </c>
      <c r="E45" s="135">
        <f>'H) Péréquation directe'!I55/C45</f>
        <v>9.2329990859489257</v>
      </c>
      <c r="F45" s="398">
        <f>+'I) Dépenses thématiques'!U45</f>
        <v>-0.73989042672204852</v>
      </c>
      <c r="G45" s="135">
        <f t="shared" si="1"/>
        <v>24.38398028078975</v>
      </c>
      <c r="H45" s="109">
        <f t="shared" si="2"/>
        <v>25.123870707511799</v>
      </c>
      <c r="I45" s="135">
        <f t="shared" si="3"/>
        <v>0</v>
      </c>
      <c r="J45" s="55">
        <f t="shared" si="4"/>
        <v>0</v>
      </c>
      <c r="K45" s="36"/>
    </row>
    <row r="46" spans="1:11" x14ac:dyDescent="0.25">
      <c r="A46" s="49">
        <f>'A) Base RI'!A47</f>
        <v>5477</v>
      </c>
      <c r="B46" s="284" t="str">
        <f>'A) Base RI'!B47</f>
        <v>Cossonay</v>
      </c>
      <c r="C46" s="95">
        <f>'B) D RI'!U47</f>
        <v>142597.98359712231</v>
      </c>
      <c r="D46" s="398">
        <f>IF('E) PCS'!G52/'K) Plafonnement aide'!C46&gt;0,'E) PCS'!G52/'K) Plafonnement aide'!C46,0)</f>
        <v>16.182006223621574</v>
      </c>
      <c r="E46" s="135">
        <f>'H) Péréquation directe'!I56/C46</f>
        <v>-0.78737275029723264</v>
      </c>
      <c r="F46" s="398">
        <f>+'I) Dépenses thématiques'!U46</f>
        <v>-5.7195152963840732</v>
      </c>
      <c r="G46" s="135">
        <f t="shared" si="1"/>
        <v>9.6751181769402699</v>
      </c>
      <c r="H46" s="109">
        <f t="shared" si="2"/>
        <v>15.394633473324344</v>
      </c>
      <c r="I46" s="135">
        <f t="shared" si="3"/>
        <v>0</v>
      </c>
      <c r="J46" s="55">
        <f t="shared" si="4"/>
        <v>0</v>
      </c>
      <c r="K46" s="36"/>
    </row>
    <row r="47" spans="1:11" x14ac:dyDescent="0.25">
      <c r="A47" s="49">
        <f>'A) Base RI'!A48</f>
        <v>5478</v>
      </c>
      <c r="B47" s="284" t="str">
        <f>'A) Base RI'!B48</f>
        <v>Cottens</v>
      </c>
      <c r="C47" s="95">
        <f>'B) D RI'!U48</f>
        <v>15741.229189189189</v>
      </c>
      <c r="D47" s="398">
        <f>IF('E) PCS'!G53/'K) Plafonnement aide'!C47&gt;0,'E) PCS'!G53/'K) Plafonnement aide'!C47,0)</f>
        <v>13.820154461841305</v>
      </c>
      <c r="E47" s="135">
        <f>'H) Péréquation directe'!I57/C47</f>
        <v>4.1498259774734514</v>
      </c>
      <c r="F47" s="398">
        <f>+'I) Dépenses thématiques'!U47</f>
        <v>0</v>
      </c>
      <c r="G47" s="135">
        <f t="shared" si="1"/>
        <v>17.969980439314757</v>
      </c>
      <c r="H47" s="109">
        <f t="shared" si="2"/>
        <v>17.969980439314757</v>
      </c>
      <c r="I47" s="135">
        <f t="shared" si="3"/>
        <v>0</v>
      </c>
      <c r="J47" s="55">
        <f t="shared" si="4"/>
        <v>0</v>
      </c>
      <c r="K47" s="36"/>
    </row>
    <row r="48" spans="1:11" x14ac:dyDescent="0.25">
      <c r="A48" s="49">
        <f>'A) Base RI'!A49</f>
        <v>5479</v>
      </c>
      <c r="B48" s="284" t="str">
        <f>'A) Base RI'!B49</f>
        <v>Cuarnens</v>
      </c>
      <c r="C48" s="95">
        <f>'B) D RI'!U49</f>
        <v>17984.87649350649</v>
      </c>
      <c r="D48" s="398">
        <f>IF('E) PCS'!G54/'K) Plafonnement aide'!C48&gt;0,'E) PCS'!G54/'K) Plafonnement aide'!C48,0)</f>
        <v>15.536970352994532</v>
      </c>
      <c r="E48" s="135">
        <f>'H) Péréquation directe'!I58/C48</f>
        <v>4.8205334750426596</v>
      </c>
      <c r="F48" s="398">
        <f>+'I) Dépenses thématiques'!U48</f>
        <v>-5.392785638747605</v>
      </c>
      <c r="G48" s="135">
        <f t="shared" si="1"/>
        <v>14.964718189289588</v>
      </c>
      <c r="H48" s="109">
        <f t="shared" si="2"/>
        <v>20.357503828037192</v>
      </c>
      <c r="I48" s="135">
        <f t="shared" si="3"/>
        <v>0</v>
      </c>
      <c r="J48" s="55">
        <f t="shared" si="4"/>
        <v>0</v>
      </c>
      <c r="K48" s="36"/>
    </row>
    <row r="49" spans="1:11" x14ac:dyDescent="0.25">
      <c r="A49" s="49">
        <f>'A) Base RI'!A50</f>
        <v>5480</v>
      </c>
      <c r="B49" s="284" t="str">
        <f>'A) Base RI'!B50</f>
        <v>Daillens</v>
      </c>
      <c r="C49" s="95">
        <f>'B) D RI'!U50</f>
        <v>41284.66095959596</v>
      </c>
      <c r="D49" s="398">
        <f>IF('E) PCS'!G55/'K) Plafonnement aide'!C49&gt;0,'E) PCS'!G55/'K) Plafonnement aide'!C49,0)</f>
        <v>17.485000952780752</v>
      </c>
      <c r="E49" s="135">
        <f>'H) Péréquation directe'!I59/C49</f>
        <v>11.167676755857579</v>
      </c>
      <c r="F49" s="398">
        <f>+'I) Dépenses thématiques'!U49</f>
        <v>-3.3633686462465544</v>
      </c>
      <c r="G49" s="135">
        <f t="shared" si="1"/>
        <v>25.289309062391773</v>
      </c>
      <c r="H49" s="109">
        <f t="shared" si="2"/>
        <v>28.652677708638329</v>
      </c>
      <c r="I49" s="135">
        <f t="shared" si="3"/>
        <v>0</v>
      </c>
      <c r="J49" s="55">
        <f t="shared" si="4"/>
        <v>0</v>
      </c>
      <c r="K49" s="36"/>
    </row>
    <row r="50" spans="1:11" x14ac:dyDescent="0.25">
      <c r="A50" s="49">
        <f>'A) Base RI'!A51</f>
        <v>5481</v>
      </c>
      <c r="B50" s="284" t="str">
        <f>'A) Base RI'!B51</f>
        <v>Dizy</v>
      </c>
      <c r="C50" s="95">
        <f>'B) D RI'!U51</f>
        <v>8120.887333333334</v>
      </c>
      <c r="D50" s="398">
        <f>IF('E) PCS'!G56/'K) Plafonnement aide'!C50&gt;0,'E) PCS'!G56/'K) Plafonnement aide'!C50,0)</f>
        <v>13.300977670245341</v>
      </c>
      <c r="E50" s="135">
        <f>'H) Péréquation directe'!I60/C50</f>
        <v>7.5446937902216282</v>
      </c>
      <c r="F50" s="398">
        <f>+'I) Dépenses thématiques'!U50</f>
        <v>-2.1269136352997871</v>
      </c>
      <c r="G50" s="135">
        <f t="shared" si="1"/>
        <v>18.718757825167184</v>
      </c>
      <c r="H50" s="109">
        <f t="shared" si="2"/>
        <v>20.845671460466971</v>
      </c>
      <c r="I50" s="135">
        <f t="shared" si="3"/>
        <v>0</v>
      </c>
      <c r="J50" s="55">
        <f t="shared" si="4"/>
        <v>0</v>
      </c>
      <c r="K50" s="36"/>
    </row>
    <row r="51" spans="1:11" x14ac:dyDescent="0.25">
      <c r="A51" s="49">
        <f>'A) Base RI'!A52</f>
        <v>5482</v>
      </c>
      <c r="B51" s="284" t="str">
        <f>'A) Base RI'!B52</f>
        <v>Eclépens</v>
      </c>
      <c r="C51" s="95">
        <f>'B) D RI'!U52</f>
        <v>54196.336086956522</v>
      </c>
      <c r="D51" s="398">
        <f>IF('E) PCS'!G57/'K) Plafonnement aide'!C51&gt;0,'E) PCS'!G57/'K) Plafonnement aide'!C51,0)</f>
        <v>15.818889488452132</v>
      </c>
      <c r="E51" s="135">
        <f>'H) Péréquation directe'!I61/C51</f>
        <v>14.488041577872348</v>
      </c>
      <c r="F51" s="398">
        <f>+'I) Dépenses thématiques'!U51</f>
        <v>-1.3502477983169936</v>
      </c>
      <c r="G51" s="135">
        <f t="shared" si="1"/>
        <v>28.956683268007488</v>
      </c>
      <c r="H51" s="109">
        <f t="shared" si="2"/>
        <v>30.306931066324481</v>
      </c>
      <c r="I51" s="135">
        <f t="shared" si="3"/>
        <v>0</v>
      </c>
      <c r="J51" s="55">
        <f t="shared" si="4"/>
        <v>0</v>
      </c>
      <c r="K51" s="36"/>
    </row>
    <row r="52" spans="1:11" x14ac:dyDescent="0.25">
      <c r="A52" s="49">
        <f>'A) Base RI'!A53</f>
        <v>5483</v>
      </c>
      <c r="B52" s="284" t="str">
        <f>'A) Base RI'!B53</f>
        <v>Ferreyres</v>
      </c>
      <c r="C52" s="95">
        <f>'B) D RI'!U53</f>
        <v>10537.122500000001</v>
      </c>
      <c r="D52" s="398">
        <f>IF('E) PCS'!G58/'K) Plafonnement aide'!C52&gt;0,'E) PCS'!G58/'K) Plafonnement aide'!C52,0)</f>
        <v>12.817923773114778</v>
      </c>
      <c r="E52" s="135">
        <f>'H) Péréquation directe'!I62/C52</f>
        <v>4.1528008201655506</v>
      </c>
      <c r="F52" s="398">
        <f>+'I) Dépenses thématiques'!U52</f>
        <v>0</v>
      </c>
      <c r="G52" s="135">
        <f t="shared" si="1"/>
        <v>16.97072459328033</v>
      </c>
      <c r="H52" s="109">
        <f t="shared" si="2"/>
        <v>16.97072459328033</v>
      </c>
      <c r="I52" s="135">
        <f t="shared" si="3"/>
        <v>0</v>
      </c>
      <c r="J52" s="55">
        <f t="shared" si="4"/>
        <v>0</v>
      </c>
      <c r="K52" s="36"/>
    </row>
    <row r="53" spans="1:11" x14ac:dyDescent="0.25">
      <c r="A53" s="49">
        <f>'A) Base RI'!A54</f>
        <v>5484</v>
      </c>
      <c r="B53" s="284" t="str">
        <f>'A) Base RI'!B54</f>
        <v>Gollion</v>
      </c>
      <c r="C53" s="95">
        <f>'B) D RI'!U54</f>
        <v>35950.666081081094</v>
      </c>
      <c r="D53" s="398">
        <f>IF('E) PCS'!G59/'K) Plafonnement aide'!C53&gt;0,'E) PCS'!G59/'K) Plafonnement aide'!C53,0)</f>
        <v>15.787712294142439</v>
      </c>
      <c r="E53" s="135">
        <f>'H) Péréquation directe'!I63/C53</f>
        <v>6.9130342900254913</v>
      </c>
      <c r="F53" s="398">
        <f>+'I) Dépenses thématiques'!U53</f>
        <v>-4.5359244133314505</v>
      </c>
      <c r="G53" s="135">
        <f t="shared" si="1"/>
        <v>18.16482217083648</v>
      </c>
      <c r="H53" s="109">
        <f t="shared" si="2"/>
        <v>22.700746584167931</v>
      </c>
      <c r="I53" s="135">
        <f t="shared" si="3"/>
        <v>0</v>
      </c>
      <c r="J53" s="55">
        <f t="shared" si="4"/>
        <v>0</v>
      </c>
      <c r="K53" s="36"/>
    </row>
    <row r="54" spans="1:11" x14ac:dyDescent="0.25">
      <c r="A54" s="49">
        <f>'A) Base RI'!A55</f>
        <v>5485</v>
      </c>
      <c r="B54" s="284" t="str">
        <f>'A) Base RI'!B55</f>
        <v>Grancy</v>
      </c>
      <c r="C54" s="95">
        <f>'B) D RI'!U55</f>
        <v>24488.659571428572</v>
      </c>
      <c r="D54" s="398">
        <f>IF('E) PCS'!G60/'K) Plafonnement aide'!C54&gt;0,'E) PCS'!G60/'K) Plafonnement aide'!C54,0)</f>
        <v>16.95414826056394</v>
      </c>
      <c r="E54" s="135">
        <f>'H) Péréquation directe'!I64/C54</f>
        <v>16.387319713047766</v>
      </c>
      <c r="F54" s="398">
        <f>+'I) Dépenses thématiques'!U54</f>
        <v>-1.6638213783234721</v>
      </c>
      <c r="G54" s="135">
        <f t="shared" si="1"/>
        <v>31.677646595288234</v>
      </c>
      <c r="H54" s="109">
        <f t="shared" si="2"/>
        <v>33.341467973611707</v>
      </c>
      <c r="I54" s="135">
        <f t="shared" si="3"/>
        <v>0</v>
      </c>
      <c r="J54" s="55">
        <f t="shared" si="4"/>
        <v>0</v>
      </c>
      <c r="K54" s="36"/>
    </row>
    <row r="55" spans="1:11" x14ac:dyDescent="0.25">
      <c r="A55" s="49">
        <f>'A) Base RI'!A56</f>
        <v>5486</v>
      </c>
      <c r="B55" s="284" t="str">
        <f>'A) Base RI'!B56</f>
        <v>L'Isle</v>
      </c>
      <c r="C55" s="95">
        <f>'B) D RI'!U56</f>
        <v>29230.387866666671</v>
      </c>
      <c r="D55" s="398">
        <f>IF('E) PCS'!G61/'K) Plafonnement aide'!C55&gt;0,'E) PCS'!G61/'K) Plafonnement aide'!C55,0)</f>
        <v>18.257918526094048</v>
      </c>
      <c r="E55" s="135">
        <f>'H) Péréquation directe'!I65/C55</f>
        <v>-4.2200133693617845</v>
      </c>
      <c r="F55" s="398">
        <f>+'I) Dépenses thématiques'!U55</f>
        <v>-12.069900800130329</v>
      </c>
      <c r="G55" s="135">
        <f t="shared" si="1"/>
        <v>1.9680043566019361</v>
      </c>
      <c r="H55" s="109">
        <f t="shared" si="2"/>
        <v>14.037905156732265</v>
      </c>
      <c r="I55" s="135">
        <f t="shared" si="3"/>
        <v>0</v>
      </c>
      <c r="J55" s="55">
        <f t="shared" si="4"/>
        <v>0</v>
      </c>
      <c r="K55" s="36"/>
    </row>
    <row r="56" spans="1:11" x14ac:dyDescent="0.25">
      <c r="A56" s="49">
        <f>'A) Base RI'!A57</f>
        <v>5487</v>
      </c>
      <c r="B56" s="284" t="str">
        <f>'A) Base RI'!B57</f>
        <v>Lussery-Villars</v>
      </c>
      <c r="C56" s="95">
        <f>'B) D RI'!U57</f>
        <v>16622.441866666668</v>
      </c>
      <c r="D56" s="398">
        <f>IF('E) PCS'!G62/'K) Plafonnement aide'!C56&gt;0,'E) PCS'!G62/'K) Plafonnement aide'!C56,0)</f>
        <v>13.251926543806015</v>
      </c>
      <c r="E56" s="135">
        <f>'H) Péréquation directe'!I66/C56</f>
        <v>6.4910021210771829</v>
      </c>
      <c r="F56" s="398">
        <f>+'I) Dépenses thématiques'!U56</f>
        <v>-1.4290980224534033</v>
      </c>
      <c r="G56" s="135">
        <f t="shared" si="1"/>
        <v>18.313830642429796</v>
      </c>
      <c r="H56" s="109">
        <f t="shared" si="2"/>
        <v>19.742928664883198</v>
      </c>
      <c r="I56" s="135">
        <f t="shared" si="3"/>
        <v>0</v>
      </c>
      <c r="J56" s="55">
        <f t="shared" si="4"/>
        <v>0</v>
      </c>
      <c r="K56" s="36"/>
    </row>
    <row r="57" spans="1:11" x14ac:dyDescent="0.25">
      <c r="A57" s="49">
        <f>'A) Base RI'!A58</f>
        <v>5488</v>
      </c>
      <c r="B57" s="284" t="str">
        <f>'A) Base RI'!B58</f>
        <v>Mauraz</v>
      </c>
      <c r="C57" s="95">
        <f>'B) D RI'!U58</f>
        <v>1729.1857142857141</v>
      </c>
      <c r="D57" s="398">
        <f>IF('E) PCS'!G63/'K) Plafonnement aide'!C57&gt;0,'E) PCS'!G63/'K) Plafonnement aide'!C57,0)</f>
        <v>12.196470904933735</v>
      </c>
      <c r="E57" s="135">
        <f>'H) Péréquation directe'!I67/C57</f>
        <v>-1.7530334178945497</v>
      </c>
      <c r="F57" s="398">
        <f>+'I) Dépenses thématiques'!U57</f>
        <v>0</v>
      </c>
      <c r="G57" s="135">
        <f t="shared" si="1"/>
        <v>10.443437487039185</v>
      </c>
      <c r="H57" s="109">
        <f t="shared" si="2"/>
        <v>10.443437487039185</v>
      </c>
      <c r="I57" s="135">
        <f t="shared" si="3"/>
        <v>0</v>
      </c>
      <c r="J57" s="55">
        <f t="shared" si="4"/>
        <v>0</v>
      </c>
      <c r="K57" s="36"/>
    </row>
    <row r="58" spans="1:11" x14ac:dyDescent="0.25">
      <c r="A58" s="49">
        <f>'A) Base RI'!A59</f>
        <v>5489</v>
      </c>
      <c r="B58" s="284" t="str">
        <f>'A) Base RI'!B59</f>
        <v>Mex</v>
      </c>
      <c r="C58" s="95">
        <f>'B) D RI'!U59</f>
        <v>50879.929915966379</v>
      </c>
      <c r="D58" s="398">
        <f>IF('E) PCS'!G64/'K) Plafonnement aide'!C58&gt;0,'E) PCS'!G64/'K) Plafonnement aide'!C58,0)</f>
        <v>19.418067056577041</v>
      </c>
      <c r="E58" s="135">
        <f>'H) Péréquation directe'!I68/C58</f>
        <v>16.705011080230577</v>
      </c>
      <c r="F58" s="398">
        <f>+'I) Dépenses thématiques'!U58</f>
        <v>0</v>
      </c>
      <c r="G58" s="135">
        <f t="shared" si="1"/>
        <v>36.123078136807621</v>
      </c>
      <c r="H58" s="109">
        <f t="shared" si="2"/>
        <v>36.123078136807621</v>
      </c>
      <c r="I58" s="135">
        <f t="shared" si="3"/>
        <v>0</v>
      </c>
      <c r="J58" s="55">
        <f t="shared" si="4"/>
        <v>0</v>
      </c>
      <c r="K58" s="36"/>
    </row>
    <row r="59" spans="1:11" x14ac:dyDescent="0.25">
      <c r="A59" s="49">
        <f>'A) Base RI'!A60</f>
        <v>5490</v>
      </c>
      <c r="B59" s="284" t="str">
        <f>'A) Base RI'!B60</f>
        <v>Moiry</v>
      </c>
      <c r="C59" s="95">
        <f>'B) D RI'!U60</f>
        <v>9056.9</v>
      </c>
      <c r="D59" s="398">
        <f>IF('E) PCS'!G65/'K) Plafonnement aide'!C59&gt;0,'E) PCS'!G65/'K) Plafonnement aide'!C59,0)</f>
        <v>14.334857107718353</v>
      </c>
      <c r="E59" s="135">
        <f>'H) Péréquation directe'!I69/C59</f>
        <v>-8.0407907181706859E-2</v>
      </c>
      <c r="F59" s="398">
        <f>+'I) Dépenses thématiques'!U59</f>
        <v>-1.4497344566021488</v>
      </c>
      <c r="G59" s="135">
        <f t="shared" si="1"/>
        <v>12.804714743934497</v>
      </c>
      <c r="H59" s="109">
        <f t="shared" si="2"/>
        <v>14.254449200536646</v>
      </c>
      <c r="I59" s="135">
        <f t="shared" si="3"/>
        <v>0</v>
      </c>
      <c r="J59" s="55">
        <f t="shared" si="4"/>
        <v>0</v>
      </c>
      <c r="K59" s="36"/>
    </row>
    <row r="60" spans="1:11" x14ac:dyDescent="0.25">
      <c r="A60" s="49">
        <f>'A) Base RI'!A61</f>
        <v>5491</v>
      </c>
      <c r="B60" s="284" t="str">
        <f>'A) Base RI'!B61</f>
        <v>Mont-la-Ville</v>
      </c>
      <c r="C60" s="95">
        <f>'B) D RI'!U61</f>
        <v>13648.930789473685</v>
      </c>
      <c r="D60" s="398">
        <f>IF('E) PCS'!G66/'K) Plafonnement aide'!C60&gt;0,'E) PCS'!G66/'K) Plafonnement aide'!C60,0)</f>
        <v>13.940634265946569</v>
      </c>
      <c r="E60" s="135">
        <f>'H) Péréquation directe'!I70/C60</f>
        <v>-4.4662761346483668</v>
      </c>
      <c r="F60" s="398">
        <f>+'I) Dépenses thématiques'!U60</f>
        <v>-12.718554144698089</v>
      </c>
      <c r="G60" s="135">
        <f t="shared" si="1"/>
        <v>-3.2441960133998862</v>
      </c>
      <c r="H60" s="109">
        <f t="shared" si="2"/>
        <v>9.474358131298203</v>
      </c>
      <c r="I60" s="135">
        <f t="shared" si="3"/>
        <v>0</v>
      </c>
      <c r="J60" s="55">
        <f t="shared" si="4"/>
        <v>0</v>
      </c>
      <c r="K60" s="36"/>
    </row>
    <row r="61" spans="1:11" x14ac:dyDescent="0.25">
      <c r="A61" s="49">
        <f>'A) Base RI'!A62</f>
        <v>5492</v>
      </c>
      <c r="B61" s="284" t="str">
        <f>'A) Base RI'!B62</f>
        <v>Montricher</v>
      </c>
      <c r="C61" s="95">
        <f>'B) D RI'!U62</f>
        <v>175268.45531250001</v>
      </c>
      <c r="D61" s="398">
        <f>IF('E) PCS'!G67/'K) Plafonnement aide'!C61&gt;0,'E) PCS'!G67/'K) Plafonnement aide'!C61,0)</f>
        <v>34.991542559595793</v>
      </c>
      <c r="E61" s="135">
        <f>'H) Péréquation directe'!I71/C61</f>
        <v>17.955975649398269</v>
      </c>
      <c r="F61" s="398">
        <f>+'I) Dépenses thématiques'!U61</f>
        <v>-0.97160899953158808</v>
      </c>
      <c r="G61" s="135">
        <f t="shared" si="1"/>
        <v>51.975909209462472</v>
      </c>
      <c r="H61" s="109">
        <f t="shared" si="2"/>
        <v>52.947518208994062</v>
      </c>
      <c r="I61" s="135">
        <f t="shared" si="3"/>
        <v>0</v>
      </c>
      <c r="J61" s="55">
        <f t="shared" si="4"/>
        <v>0</v>
      </c>
      <c r="K61" s="36"/>
    </row>
    <row r="62" spans="1:11" x14ac:dyDescent="0.25">
      <c r="A62" s="49">
        <f>'A) Base RI'!A63</f>
        <v>5493</v>
      </c>
      <c r="B62" s="284" t="str">
        <f>'A) Base RI'!B63</f>
        <v>Orny</v>
      </c>
      <c r="C62" s="95">
        <f>'B) D RI'!U63</f>
        <v>13489.946448893574</v>
      </c>
      <c r="D62" s="398">
        <f>IF('E) PCS'!G68/'K) Plafonnement aide'!C62&gt;0,'E) PCS'!G68/'K) Plafonnement aide'!C62,0)</f>
        <v>19.299148470259325</v>
      </c>
      <c r="E62" s="135">
        <f>'H) Péréquation directe'!I72/C62</f>
        <v>-1.1461991245479193</v>
      </c>
      <c r="F62" s="398">
        <f>+'I) Dépenses thématiques'!U62</f>
        <v>0</v>
      </c>
      <c r="G62" s="135">
        <f t="shared" si="1"/>
        <v>18.152949345711406</v>
      </c>
      <c r="H62" s="109">
        <f t="shared" si="2"/>
        <v>18.152949345711406</v>
      </c>
      <c r="I62" s="135">
        <f t="shared" si="3"/>
        <v>0</v>
      </c>
      <c r="J62" s="55">
        <f t="shared" si="4"/>
        <v>0</v>
      </c>
      <c r="K62" s="36"/>
    </row>
    <row r="63" spans="1:11" x14ac:dyDescent="0.25">
      <c r="A63" s="49">
        <f>'A) Base RI'!A64</f>
        <v>5494</v>
      </c>
      <c r="B63" s="284" t="str">
        <f>'A) Base RI'!B64</f>
        <v>Pampigny</v>
      </c>
      <c r="C63" s="95">
        <f>'B) D RI'!U64</f>
        <v>43210.558962818002</v>
      </c>
      <c r="D63" s="398">
        <f>IF('E) PCS'!G69/'K) Plafonnement aide'!C63&gt;0,'E) PCS'!G69/'K) Plafonnement aide'!C63,0)</f>
        <v>18.029019616392567</v>
      </c>
      <c r="E63" s="135">
        <f>'H) Péréquation directe'!I73/C63</f>
        <v>7.3122156207889013</v>
      </c>
      <c r="F63" s="398">
        <f>+'I) Dépenses thématiques'!U63</f>
        <v>-28.07690425955688</v>
      </c>
      <c r="G63" s="135">
        <f t="shared" si="1"/>
        <v>-2.7356690223754114</v>
      </c>
      <c r="H63" s="109">
        <f t="shared" si="2"/>
        <v>25.341235237181468</v>
      </c>
      <c r="I63" s="135">
        <f t="shared" si="3"/>
        <v>0</v>
      </c>
      <c r="J63" s="55">
        <f t="shared" si="4"/>
        <v>0</v>
      </c>
      <c r="K63" s="36"/>
    </row>
    <row r="64" spans="1:11" x14ac:dyDescent="0.25">
      <c r="A64" s="49">
        <f>'A) Base RI'!A65</f>
        <v>5495</v>
      </c>
      <c r="B64" s="284" t="str">
        <f>'A) Base RI'!B65</f>
        <v>Penthalaz</v>
      </c>
      <c r="C64" s="95">
        <f>'B) D RI'!U65</f>
        <v>95314.520135135113</v>
      </c>
      <c r="D64" s="398">
        <f>IF('E) PCS'!G70/'K) Plafonnement aide'!C64&gt;0,'E) PCS'!G70/'K) Plafonnement aide'!C64,0)</f>
        <v>15.683408357158143</v>
      </c>
      <c r="E64" s="135">
        <f>'H) Péréquation directe'!I74/C64</f>
        <v>-4.8535900582399112</v>
      </c>
      <c r="F64" s="398">
        <f>+'I) Dépenses thématiques'!U64</f>
        <v>-6.7694605006078561</v>
      </c>
      <c r="G64" s="135">
        <f t="shared" si="1"/>
        <v>4.0603577983103758</v>
      </c>
      <c r="H64" s="109">
        <f t="shared" si="2"/>
        <v>10.829818298918232</v>
      </c>
      <c r="I64" s="135">
        <f t="shared" si="3"/>
        <v>0</v>
      </c>
      <c r="J64" s="55">
        <f t="shared" si="4"/>
        <v>0</v>
      </c>
      <c r="K64" s="36"/>
    </row>
    <row r="65" spans="1:11" x14ac:dyDescent="0.25">
      <c r="A65" s="49">
        <f>'A) Base RI'!A66</f>
        <v>5496</v>
      </c>
      <c r="B65" s="284" t="str">
        <f>'A) Base RI'!B66</f>
        <v>Penthaz</v>
      </c>
      <c r="C65" s="95">
        <f>'B) D RI'!U66</f>
        <v>56267.911654676267</v>
      </c>
      <c r="D65" s="398">
        <f>IF('E) PCS'!G71/'K) Plafonnement aide'!C65&gt;0,'E) PCS'!G71/'K) Plafonnement aide'!C65,0)</f>
        <v>16.549748515506703</v>
      </c>
      <c r="E65" s="135">
        <f>'H) Péréquation directe'!I75/C65</f>
        <v>-1.1513592210316732</v>
      </c>
      <c r="F65" s="398">
        <f>+'I) Dépenses thématiques'!U65</f>
        <v>-5.0049756920121586</v>
      </c>
      <c r="G65" s="135">
        <f t="shared" si="1"/>
        <v>10.393413602462871</v>
      </c>
      <c r="H65" s="109">
        <f t="shared" si="2"/>
        <v>15.398389294475031</v>
      </c>
      <c r="I65" s="135">
        <f t="shared" si="3"/>
        <v>0</v>
      </c>
      <c r="J65" s="55">
        <f t="shared" si="4"/>
        <v>0</v>
      </c>
      <c r="K65" s="36"/>
    </row>
    <row r="66" spans="1:11" x14ac:dyDescent="0.25">
      <c r="A66" s="49">
        <f>'A) Base RI'!A67</f>
        <v>5497</v>
      </c>
      <c r="B66" s="284" t="str">
        <f>'A) Base RI'!B67</f>
        <v>Pompaples</v>
      </c>
      <c r="C66" s="95">
        <f>'B) D RI'!U67</f>
        <v>22253.499393939397</v>
      </c>
      <c r="D66" s="398">
        <f>IF('E) PCS'!G72/'K) Plafonnement aide'!C66&gt;0,'E) PCS'!G72/'K) Plafonnement aide'!C66,0)</f>
        <v>16.193060988389181</v>
      </c>
      <c r="E66" s="135">
        <f>'H) Péréquation directe'!I76/C66</f>
        <v>-0.82481460782411808</v>
      </c>
      <c r="F66" s="398">
        <f>+'I) Dépenses thématiques'!U66</f>
        <v>-5.4609615092474098</v>
      </c>
      <c r="G66" s="135">
        <f t="shared" si="1"/>
        <v>9.9072848713176533</v>
      </c>
      <c r="H66" s="109">
        <f t="shared" si="2"/>
        <v>15.368246380565063</v>
      </c>
      <c r="I66" s="135">
        <f t="shared" si="3"/>
        <v>0</v>
      </c>
      <c r="J66" s="55">
        <f t="shared" si="4"/>
        <v>0</v>
      </c>
      <c r="K66" s="36"/>
    </row>
    <row r="67" spans="1:11" x14ac:dyDescent="0.25">
      <c r="A67" s="49">
        <f>'A) Base RI'!A68</f>
        <v>5498</v>
      </c>
      <c r="B67" s="284" t="str">
        <f>'A) Base RI'!B68</f>
        <v>La Sarraz</v>
      </c>
      <c r="C67" s="95">
        <f>'B) D RI'!U68</f>
        <v>74682.149090909108</v>
      </c>
      <c r="D67" s="398">
        <f>IF('E) PCS'!G73/'K) Plafonnement aide'!C67&gt;0,'E) PCS'!G73/'K) Plafonnement aide'!C67,0)</f>
        <v>14.163323650710977</v>
      </c>
      <c r="E67" s="135">
        <f>'H) Péréquation directe'!I77/C67</f>
        <v>-2.7289132313908722</v>
      </c>
      <c r="F67" s="398">
        <f>+'I) Dépenses thématiques'!U67</f>
        <v>-7.1414837674973635</v>
      </c>
      <c r="G67" s="135">
        <f t="shared" si="1"/>
        <v>4.292926651822742</v>
      </c>
      <c r="H67" s="109">
        <f t="shared" si="2"/>
        <v>11.434410419320105</v>
      </c>
      <c r="I67" s="135">
        <f t="shared" si="3"/>
        <v>0</v>
      </c>
      <c r="J67" s="55">
        <f t="shared" si="4"/>
        <v>0</v>
      </c>
      <c r="K67" s="36"/>
    </row>
    <row r="68" spans="1:11" x14ac:dyDescent="0.25">
      <c r="A68" s="49">
        <f>'A) Base RI'!A69</f>
        <v>5499</v>
      </c>
      <c r="B68" s="284" t="str">
        <f>'A) Base RI'!B69</f>
        <v>Senarclens</v>
      </c>
      <c r="C68" s="95">
        <f>'B) D RI'!U69</f>
        <v>18238.904233576643</v>
      </c>
      <c r="D68" s="398">
        <f>IF('E) PCS'!G74/'K) Plafonnement aide'!C68&gt;0,'E) PCS'!G74/'K) Plafonnement aide'!C68,0)</f>
        <v>24.514952164700798</v>
      </c>
      <c r="E68" s="135">
        <f>'H) Péréquation directe'!I78/C68</f>
        <v>9.6244356996608502</v>
      </c>
      <c r="F68" s="398">
        <f>+'I) Dépenses thématiques'!U68</f>
        <v>-9.2599216726859641</v>
      </c>
      <c r="G68" s="135">
        <f t="shared" si="1"/>
        <v>24.879466191675689</v>
      </c>
      <c r="H68" s="109">
        <f t="shared" si="2"/>
        <v>34.139387864361652</v>
      </c>
      <c r="I68" s="135">
        <f t="shared" si="3"/>
        <v>0</v>
      </c>
      <c r="J68" s="55">
        <f t="shared" si="4"/>
        <v>0</v>
      </c>
      <c r="K68" s="36"/>
    </row>
    <row r="69" spans="1:11" x14ac:dyDescent="0.25">
      <c r="A69" s="49">
        <f>'A) Base RI'!A70</f>
        <v>5500</v>
      </c>
      <c r="B69" s="284" t="str">
        <f>'A) Base RI'!B70</f>
        <v>Sévery</v>
      </c>
      <c r="C69" s="95">
        <f>'B) D RI'!U70</f>
        <v>7230.3632420091335</v>
      </c>
      <c r="D69" s="398">
        <f>IF('E) PCS'!G75/'K) Plafonnement aide'!C69&gt;0,'E) PCS'!G75/'K) Plafonnement aide'!C69,0)</f>
        <v>19.70047909704822</v>
      </c>
      <c r="E69" s="135">
        <f>'H) Péréquation directe'!I79/C69</f>
        <v>4.8057529853777012</v>
      </c>
      <c r="F69" s="398">
        <f>+'I) Dépenses thématiques'!U69</f>
        <v>-2.3901386375082163</v>
      </c>
      <c r="G69" s="135">
        <f t="shared" si="1"/>
        <v>22.116093444917706</v>
      </c>
      <c r="H69" s="109">
        <f t="shared" si="2"/>
        <v>24.506232082425921</v>
      </c>
      <c r="I69" s="135">
        <f t="shared" si="3"/>
        <v>0</v>
      </c>
      <c r="J69" s="55">
        <f t="shared" si="4"/>
        <v>0</v>
      </c>
      <c r="K69" s="36"/>
    </row>
    <row r="70" spans="1:11" x14ac:dyDescent="0.25">
      <c r="A70" s="49">
        <f>'A) Base RI'!A71</f>
        <v>5501</v>
      </c>
      <c r="B70" s="284" t="str">
        <f>'A) Base RI'!B71</f>
        <v>Sullens</v>
      </c>
      <c r="C70" s="95">
        <f>'B) D RI'!U71</f>
        <v>43195.598978102193</v>
      </c>
      <c r="D70" s="398">
        <f>IF('E) PCS'!G76/'K) Plafonnement aide'!C70&gt;0,'E) PCS'!G76/'K) Plafonnement aide'!C70,0)</f>
        <v>0</v>
      </c>
      <c r="E70" s="135">
        <f>'H) Péréquation directe'!I80/C70</f>
        <v>9.3550242228910019</v>
      </c>
      <c r="F70" s="398">
        <f>+'I) Dépenses thématiques'!U70</f>
        <v>-0.74821180079466887</v>
      </c>
      <c r="G70" s="135">
        <f t="shared" si="1"/>
        <v>8.6068124220963327</v>
      </c>
      <c r="H70" s="109">
        <f t="shared" si="2"/>
        <v>9.3550242228910019</v>
      </c>
      <c r="I70" s="135">
        <f t="shared" si="3"/>
        <v>0</v>
      </c>
      <c r="J70" s="55">
        <f t="shared" si="4"/>
        <v>0</v>
      </c>
      <c r="K70" s="36"/>
    </row>
    <row r="71" spans="1:11" x14ac:dyDescent="0.25">
      <c r="A71" s="49">
        <f>'A) Base RI'!A72</f>
        <v>5503</v>
      </c>
      <c r="B71" s="284" t="str">
        <f>'A) Base RI'!B72</f>
        <v>Vufflens-la-Ville</v>
      </c>
      <c r="C71" s="95">
        <f>'B) D RI'!U72</f>
        <v>79029.714875621881</v>
      </c>
      <c r="D71" s="398">
        <f>IF('E) PCS'!G77/'K) Plafonnement aide'!C71&gt;0,'E) PCS'!G77/'K) Plafonnement aide'!C71,0)</f>
        <v>17.270432913046928</v>
      </c>
      <c r="E71" s="135">
        <f>'H) Péréquation directe'!I81/C71</f>
        <v>15.546455993349351</v>
      </c>
      <c r="F71" s="398">
        <f>+'I) Dépenses thématiques'!U71</f>
        <v>0</v>
      </c>
      <c r="G71" s="135">
        <f t="shared" ref="G71:G134" si="5">SUM(D71:F71)</f>
        <v>32.816888906396279</v>
      </c>
      <c r="H71" s="109">
        <f t="shared" ref="H71:H134" si="6">G71-F71</f>
        <v>32.816888906396279</v>
      </c>
      <c r="I71" s="135">
        <f t="shared" ref="I71:I134" si="7">IF(H71&lt;I$5,H71-I$5,0)</f>
        <v>0</v>
      </c>
      <c r="J71" s="55">
        <f t="shared" ref="J71:J134" si="8">-I71*C71</f>
        <v>0</v>
      </c>
      <c r="K71" s="36"/>
    </row>
    <row r="72" spans="1:11" x14ac:dyDescent="0.25">
      <c r="A72" s="49">
        <f>'A) Base RI'!A73</f>
        <v>5511</v>
      </c>
      <c r="B72" s="284" t="str">
        <f>'A) Base RI'!B73</f>
        <v>Assens</v>
      </c>
      <c r="C72" s="95">
        <f>'B) D RI'!U73</f>
        <v>47333.455142857143</v>
      </c>
      <c r="D72" s="398">
        <f>IF('E) PCS'!G78/'K) Plafonnement aide'!C72&gt;0,'E) PCS'!G78/'K) Plafonnement aide'!C72,0)</f>
        <v>21.603362999672186</v>
      </c>
      <c r="E72" s="135">
        <f>'H) Péréquation directe'!I82/C72</f>
        <v>11.447392504717525</v>
      </c>
      <c r="F72" s="398">
        <f>+'I) Dépenses thématiques'!U72</f>
        <v>-6.4179240291250848</v>
      </c>
      <c r="G72" s="135">
        <f t="shared" si="5"/>
        <v>26.632831475264627</v>
      </c>
      <c r="H72" s="109">
        <f t="shared" si="6"/>
        <v>33.050755504389713</v>
      </c>
      <c r="I72" s="135">
        <f t="shared" si="7"/>
        <v>0</v>
      </c>
      <c r="J72" s="55">
        <f t="shared" si="8"/>
        <v>0</v>
      </c>
      <c r="K72" s="36"/>
    </row>
    <row r="73" spans="1:11" x14ac:dyDescent="0.25">
      <c r="A73" s="49">
        <f>'A) Base RI'!A74</f>
        <v>5512</v>
      </c>
      <c r="B73" s="284" t="str">
        <f>'A) Base RI'!B74</f>
        <v>Bercher</v>
      </c>
      <c r="C73" s="95">
        <f>'B) D RI'!U74</f>
        <v>40764.12544303797</v>
      </c>
      <c r="D73" s="398">
        <f>IF('E) PCS'!G79/'K) Plafonnement aide'!C73&gt;0,'E) PCS'!G79/'K) Plafonnement aide'!C73,0)</f>
        <v>17.763508773000101</v>
      </c>
      <c r="E73" s="135">
        <f>'H) Péréquation directe'!I83/C73</f>
        <v>-1.2781600623903164</v>
      </c>
      <c r="F73" s="398">
        <f>+'I) Dépenses thématiques'!U73</f>
        <v>-5.6615405048800822</v>
      </c>
      <c r="G73" s="135">
        <f t="shared" si="5"/>
        <v>10.823808205729701</v>
      </c>
      <c r="H73" s="109">
        <f t="shared" si="6"/>
        <v>16.485348710609784</v>
      </c>
      <c r="I73" s="135">
        <f t="shared" si="7"/>
        <v>0</v>
      </c>
      <c r="J73" s="55">
        <f t="shared" si="8"/>
        <v>0</v>
      </c>
      <c r="K73" s="36"/>
    </row>
    <row r="74" spans="1:11" x14ac:dyDescent="0.25">
      <c r="A74" s="49">
        <f>'A) Base RI'!A75</f>
        <v>5513</v>
      </c>
      <c r="B74" s="284" t="str">
        <f>'A) Base RI'!B75</f>
        <v>Bioley-Orjulaz</v>
      </c>
      <c r="C74" s="95">
        <f>'B) D RI'!U75</f>
        <v>22739.022647058824</v>
      </c>
      <c r="D74" s="398">
        <f>IF('E) PCS'!G80/'K) Plafonnement aide'!C74&gt;0,'E) PCS'!G80/'K) Plafonnement aide'!C74,0)</f>
        <v>18.626269241886938</v>
      </c>
      <c r="E74" s="135">
        <f>'H) Péréquation directe'!I84/C74</f>
        <v>13.923323327052012</v>
      </c>
      <c r="F74" s="398">
        <f>+'I) Dépenses thématiques'!U74</f>
        <v>-11.039287001405992</v>
      </c>
      <c r="G74" s="135">
        <f t="shared" si="5"/>
        <v>21.510305567532956</v>
      </c>
      <c r="H74" s="109">
        <f t="shared" si="6"/>
        <v>32.549592568938948</v>
      </c>
      <c r="I74" s="135">
        <f t="shared" si="7"/>
        <v>0</v>
      </c>
      <c r="J74" s="55">
        <f t="shared" si="8"/>
        <v>0</v>
      </c>
      <c r="K74" s="36"/>
    </row>
    <row r="75" spans="1:11" x14ac:dyDescent="0.25">
      <c r="A75" s="49">
        <f>'A) Base RI'!A76</f>
        <v>5514</v>
      </c>
      <c r="B75" s="284" t="str">
        <f>'A) Base RI'!B76</f>
        <v>Bottens</v>
      </c>
      <c r="C75" s="95">
        <f>'B) D RI'!U76</f>
        <v>44223.41544827586</v>
      </c>
      <c r="D75" s="398">
        <f>IF('E) PCS'!G81/'K) Plafonnement aide'!C75&gt;0,'E) PCS'!G81/'K) Plafonnement aide'!C75,0)</f>
        <v>14.007569034468247</v>
      </c>
      <c r="E75" s="135">
        <f>'H) Péréquation directe'!I85/C75</f>
        <v>2.8361873222242169</v>
      </c>
      <c r="F75" s="398">
        <f>+'I) Dépenses thématiques'!U75</f>
        <v>-0.95706102482853217</v>
      </c>
      <c r="G75" s="135">
        <f t="shared" si="5"/>
        <v>15.886695331863931</v>
      </c>
      <c r="H75" s="109">
        <f t="shared" si="6"/>
        <v>16.843756356692463</v>
      </c>
      <c r="I75" s="135">
        <f t="shared" si="7"/>
        <v>0</v>
      </c>
      <c r="J75" s="55">
        <f t="shared" si="8"/>
        <v>0</v>
      </c>
      <c r="K75" s="36"/>
    </row>
    <row r="76" spans="1:11" x14ac:dyDescent="0.25">
      <c r="A76" s="49">
        <f>'A) Base RI'!A77</f>
        <v>5515</v>
      </c>
      <c r="B76" s="284" t="str">
        <f>'A) Base RI'!B77</f>
        <v>Bretigny-sur-Morrens</v>
      </c>
      <c r="C76" s="95">
        <f>'B) D RI'!U77</f>
        <v>32348.775256410252</v>
      </c>
      <c r="D76" s="398">
        <f>IF('E) PCS'!G82/'K) Plafonnement aide'!C76&gt;0,'E) PCS'!G82/'K) Plafonnement aide'!C76,0)</f>
        <v>15.365821651209163</v>
      </c>
      <c r="E76" s="135">
        <f>'H) Péréquation directe'!I86/C76</f>
        <v>7.4937406485989042</v>
      </c>
      <c r="F76" s="398">
        <f>+'I) Dépenses thématiques'!U76</f>
        <v>-8.6715807567905916</v>
      </c>
      <c r="G76" s="135">
        <f t="shared" si="5"/>
        <v>14.187981543017477</v>
      </c>
      <c r="H76" s="109">
        <f t="shared" si="6"/>
        <v>22.859562299808069</v>
      </c>
      <c r="I76" s="135">
        <f t="shared" si="7"/>
        <v>0</v>
      </c>
      <c r="J76" s="55">
        <f t="shared" si="8"/>
        <v>0</v>
      </c>
      <c r="K76" s="36"/>
    </row>
    <row r="77" spans="1:11" x14ac:dyDescent="0.25">
      <c r="A77" s="49">
        <f>'A) Base RI'!A78</f>
        <v>5516</v>
      </c>
      <c r="B77" s="284" t="str">
        <f>'A) Base RI'!B78</f>
        <v>Cugy</v>
      </c>
      <c r="C77" s="95">
        <f>'B) D RI'!U78</f>
        <v>111604.91621794872</v>
      </c>
      <c r="D77" s="398">
        <f>IF('E) PCS'!G83/'K) Plafonnement aide'!C77&gt;0,'E) PCS'!G83/'K) Plafonnement aide'!C77,0)</f>
        <v>15.041805552915216</v>
      </c>
      <c r="E77" s="135">
        <f>'H) Péréquation directe'!I87/C77</f>
        <v>7.6188148268055809</v>
      </c>
      <c r="F77" s="398">
        <f>+'I) Dépenses thématiques'!U77</f>
        <v>-2.3749200454099793</v>
      </c>
      <c r="G77" s="135">
        <f t="shared" si="5"/>
        <v>20.285700334310818</v>
      </c>
      <c r="H77" s="109">
        <f t="shared" si="6"/>
        <v>22.660620379720797</v>
      </c>
      <c r="I77" s="135">
        <f t="shared" si="7"/>
        <v>0</v>
      </c>
      <c r="J77" s="55">
        <f t="shared" si="8"/>
        <v>0</v>
      </c>
      <c r="K77" s="36"/>
    </row>
    <row r="78" spans="1:11" x14ac:dyDescent="0.25">
      <c r="A78" s="49">
        <f>'A) Base RI'!A79</f>
        <v>5518</v>
      </c>
      <c r="B78" s="284" t="str">
        <f>'A) Base RI'!B79</f>
        <v>Echallens</v>
      </c>
      <c r="C78" s="95">
        <f>'B) D RI'!U79</f>
        <v>183030.51158620688</v>
      </c>
      <c r="D78" s="398">
        <f>IF('E) PCS'!G84/'K) Plafonnement aide'!C78&gt;0,'E) PCS'!G84/'K) Plafonnement aide'!C78,0)</f>
        <v>15.165379778600187</v>
      </c>
      <c r="E78" s="135">
        <f>'H) Péréquation directe'!I88/C78</f>
        <v>-4.5727653560568218</v>
      </c>
      <c r="F78" s="398">
        <f>+'I) Dépenses thématiques'!U78</f>
        <v>-7.6557272792344371</v>
      </c>
      <c r="G78" s="135">
        <f t="shared" si="5"/>
        <v>2.9368871433089279</v>
      </c>
      <c r="H78" s="109">
        <f t="shared" si="6"/>
        <v>10.592614422543365</v>
      </c>
      <c r="I78" s="135">
        <f t="shared" si="7"/>
        <v>0</v>
      </c>
      <c r="J78" s="55">
        <f t="shared" si="8"/>
        <v>0</v>
      </c>
      <c r="K78" s="36"/>
    </row>
    <row r="79" spans="1:11" x14ac:dyDescent="0.25">
      <c r="A79" s="49">
        <f>'A) Base RI'!A80</f>
        <v>5520</v>
      </c>
      <c r="B79" s="284" t="str">
        <f>'A) Base RI'!B80</f>
        <v>Essertines-sur-Yverdon</v>
      </c>
      <c r="C79" s="95">
        <f>'B) D RI'!U80</f>
        <v>31696.699178082192</v>
      </c>
      <c r="D79" s="398">
        <f>IF('E) PCS'!G85/'K) Plafonnement aide'!C79&gt;0,'E) PCS'!G85/'K) Plafonnement aide'!C79,0)</f>
        <v>14.028524131477734</v>
      </c>
      <c r="E79" s="135">
        <f>'H) Péréquation directe'!I89/C79</f>
        <v>0.94328591438066289</v>
      </c>
      <c r="F79" s="398">
        <f>+'I) Dépenses thématiques'!U79</f>
        <v>-7.0671248538977558</v>
      </c>
      <c r="G79" s="135">
        <f t="shared" si="5"/>
        <v>7.9046851919606418</v>
      </c>
      <c r="H79" s="109">
        <f t="shared" si="6"/>
        <v>14.971810045858398</v>
      </c>
      <c r="I79" s="135">
        <f t="shared" si="7"/>
        <v>0</v>
      </c>
      <c r="J79" s="55">
        <f t="shared" si="8"/>
        <v>0</v>
      </c>
      <c r="K79" s="36"/>
    </row>
    <row r="80" spans="1:11" x14ac:dyDescent="0.25">
      <c r="A80" s="49">
        <f>'A) Base RI'!A81</f>
        <v>5521</v>
      </c>
      <c r="B80" s="284" t="str">
        <f>'A) Base RI'!B81</f>
        <v>Etagnières</v>
      </c>
      <c r="C80" s="95">
        <f>'B) D RI'!U81</f>
        <v>42645.35479452055</v>
      </c>
      <c r="D80" s="398">
        <f>IF('E) PCS'!G86/'K) Plafonnement aide'!C80&gt;0,'E) PCS'!G86/'K) Plafonnement aide'!C80,0)</f>
        <v>15.13553720192945</v>
      </c>
      <c r="E80" s="135">
        <f>'H) Péréquation directe'!I90/C80</f>
        <v>8.0764148137044067</v>
      </c>
      <c r="F80" s="398">
        <f>+'I) Dépenses thématiques'!U80</f>
        <v>-2.2753620341633183</v>
      </c>
      <c r="G80" s="135">
        <f t="shared" si="5"/>
        <v>20.936589981470537</v>
      </c>
      <c r="H80" s="109">
        <f t="shared" si="6"/>
        <v>23.211952015633855</v>
      </c>
      <c r="I80" s="135">
        <f t="shared" si="7"/>
        <v>0</v>
      </c>
      <c r="J80" s="55">
        <f t="shared" si="8"/>
        <v>0</v>
      </c>
      <c r="K80" s="36"/>
    </row>
    <row r="81" spans="1:11" x14ac:dyDescent="0.25">
      <c r="A81" s="49">
        <f>'A) Base RI'!A82</f>
        <v>5522</v>
      </c>
      <c r="B81" s="284" t="str">
        <f>'A) Base RI'!B82</f>
        <v>Fey</v>
      </c>
      <c r="C81" s="95">
        <f>'B) D RI'!U82</f>
        <v>23924.3328</v>
      </c>
      <c r="D81" s="398">
        <f>IF('E) PCS'!G87/'K) Plafonnement aide'!C81&gt;0,'E) PCS'!G87/'K) Plafonnement aide'!C81,0)</f>
        <v>13.965756817893448</v>
      </c>
      <c r="E81" s="135">
        <f>'H) Péréquation directe'!I91/C81</f>
        <v>2.9279293122766945</v>
      </c>
      <c r="F81" s="398">
        <f>+'I) Dépenses thématiques'!U81</f>
        <v>-1.4520886952383474</v>
      </c>
      <c r="G81" s="135">
        <f t="shared" si="5"/>
        <v>15.441597434931795</v>
      </c>
      <c r="H81" s="109">
        <f t="shared" si="6"/>
        <v>16.893686130170142</v>
      </c>
      <c r="I81" s="135">
        <f t="shared" si="7"/>
        <v>0</v>
      </c>
      <c r="J81" s="55">
        <f t="shared" si="8"/>
        <v>0</v>
      </c>
      <c r="K81" s="36"/>
    </row>
    <row r="82" spans="1:11" x14ac:dyDescent="0.25">
      <c r="A82" s="49">
        <f>'A) Base RI'!A83</f>
        <v>5523</v>
      </c>
      <c r="B82" s="284" t="str">
        <f>'A) Base RI'!B83</f>
        <v>Froideville</v>
      </c>
      <c r="C82" s="95">
        <f>'B) D RI'!U83</f>
        <v>93741.085555555546</v>
      </c>
      <c r="D82" s="398">
        <f>IF('E) PCS'!G88/'K) Plafonnement aide'!C82&gt;0,'E) PCS'!G88/'K) Plafonnement aide'!C82,0)</f>
        <v>17.587248620010573</v>
      </c>
      <c r="E82" s="135">
        <f>'H) Péréquation directe'!I92/C82</f>
        <v>3.2264680251058095</v>
      </c>
      <c r="F82" s="398">
        <f>+'I) Dépenses thématiques'!U82</f>
        <v>-1.8190714952368161</v>
      </c>
      <c r="G82" s="135">
        <f t="shared" si="5"/>
        <v>18.994645149879567</v>
      </c>
      <c r="H82" s="109">
        <f t="shared" si="6"/>
        <v>20.813716645116383</v>
      </c>
      <c r="I82" s="135">
        <f t="shared" si="7"/>
        <v>0</v>
      </c>
      <c r="J82" s="55">
        <f t="shared" si="8"/>
        <v>0</v>
      </c>
      <c r="K82" s="36"/>
    </row>
    <row r="83" spans="1:11" x14ac:dyDescent="0.25">
      <c r="A83" s="49">
        <f>'A) Base RI'!A84</f>
        <v>5527</v>
      </c>
      <c r="B83" s="284" t="str">
        <f>'A) Base RI'!B84</f>
        <v>Morrens</v>
      </c>
      <c r="C83" s="95">
        <f>'B) D RI'!U84</f>
        <v>39310.302027027028</v>
      </c>
      <c r="D83" s="398">
        <f>IF('E) PCS'!G89/'K) Plafonnement aide'!C83&gt;0,'E) PCS'!G89/'K) Plafonnement aide'!C83,0)</f>
        <v>15.575767632510837</v>
      </c>
      <c r="E83" s="135">
        <f>'H) Péréquation directe'!I93/C83</f>
        <v>4.8442866885690483</v>
      </c>
      <c r="F83" s="398">
        <f>+'I) Dépenses thématiques'!U83</f>
        <v>-0.61567036094502892</v>
      </c>
      <c r="G83" s="135">
        <f t="shared" si="5"/>
        <v>19.804383960134857</v>
      </c>
      <c r="H83" s="109">
        <f t="shared" si="6"/>
        <v>20.420054321079885</v>
      </c>
      <c r="I83" s="135">
        <f t="shared" si="7"/>
        <v>0</v>
      </c>
      <c r="J83" s="55">
        <f t="shared" si="8"/>
        <v>0</v>
      </c>
      <c r="K83" s="36"/>
    </row>
    <row r="84" spans="1:11" x14ac:dyDescent="0.25">
      <c r="A84" s="49">
        <f>'A) Base RI'!A85</f>
        <v>5529</v>
      </c>
      <c r="B84" s="284" t="str">
        <f>'A) Base RI'!B85</f>
        <v>Oulens-sous-Echallens</v>
      </c>
      <c r="C84" s="95">
        <f>'B) D RI'!U85</f>
        <v>21162.231857142859</v>
      </c>
      <c r="D84" s="398">
        <f>IF('E) PCS'!G90/'K) Plafonnement aide'!C84&gt;0,'E) PCS'!G90/'K) Plafonnement aide'!C84,0)</f>
        <v>18.949958720622739</v>
      </c>
      <c r="E84" s="135">
        <f>'H) Péréquation directe'!I94/C84</f>
        <v>6.8764702083317841</v>
      </c>
      <c r="F84" s="398">
        <f>+'I) Dépenses thématiques'!U84</f>
        <v>-6.5187528323285209</v>
      </c>
      <c r="G84" s="135">
        <f t="shared" si="5"/>
        <v>19.307676096626004</v>
      </c>
      <c r="H84" s="109">
        <f t="shared" si="6"/>
        <v>25.826428928954524</v>
      </c>
      <c r="I84" s="135">
        <f t="shared" si="7"/>
        <v>0</v>
      </c>
      <c r="J84" s="55">
        <f t="shared" si="8"/>
        <v>0</v>
      </c>
      <c r="K84" s="36"/>
    </row>
    <row r="85" spans="1:11" x14ac:dyDescent="0.25">
      <c r="A85" s="49">
        <f>'A) Base RI'!A86</f>
        <v>5530</v>
      </c>
      <c r="B85" s="284" t="str">
        <f>'A) Base RI'!B86</f>
        <v>Pailly</v>
      </c>
      <c r="C85" s="95">
        <f>'B) D RI'!U86</f>
        <v>19305.859890350872</v>
      </c>
      <c r="D85" s="398">
        <f>IF('E) PCS'!G91/'K) Plafonnement aide'!C85&gt;0,'E) PCS'!G91/'K) Plafonnement aide'!C85,0)</f>
        <v>15.414338710503465</v>
      </c>
      <c r="E85" s="135">
        <f>'H) Péréquation directe'!I95/C85</f>
        <v>4.7611730472754275</v>
      </c>
      <c r="F85" s="398">
        <f>+'I) Dépenses thématiques'!U85</f>
        <v>-41.019278614776013</v>
      </c>
      <c r="G85" s="135">
        <f t="shared" si="5"/>
        <v>-20.843766856997121</v>
      </c>
      <c r="H85" s="109">
        <f t="shared" si="6"/>
        <v>20.175511757778892</v>
      </c>
      <c r="I85" s="135">
        <f t="shared" si="7"/>
        <v>0</v>
      </c>
      <c r="J85" s="55">
        <f t="shared" si="8"/>
        <v>0</v>
      </c>
      <c r="K85" s="36"/>
    </row>
    <row r="86" spans="1:11" x14ac:dyDescent="0.25">
      <c r="A86" s="49">
        <f>'A) Base RI'!A87</f>
        <v>5531</v>
      </c>
      <c r="B86" s="284" t="str">
        <f>'A) Base RI'!B87</f>
        <v>Penthéréaz</v>
      </c>
      <c r="C86" s="95">
        <f>'B) D RI'!U87</f>
        <v>14300.817432432432</v>
      </c>
      <c r="D86" s="398">
        <f>IF('E) PCS'!G92/'K) Plafonnement aide'!C86&gt;0,'E) PCS'!G92/'K) Plafonnement aide'!C86,0)</f>
        <v>16.529359587190029</v>
      </c>
      <c r="E86" s="135">
        <f>'H) Péréquation directe'!I96/C86</f>
        <v>6.0286367677978179</v>
      </c>
      <c r="F86" s="398">
        <f>+'I) Dépenses thématiques'!U86</f>
        <v>-6.0354055101310653</v>
      </c>
      <c r="G86" s="135">
        <f t="shared" si="5"/>
        <v>16.522590844856779</v>
      </c>
      <c r="H86" s="109">
        <f t="shared" si="6"/>
        <v>22.557996354987843</v>
      </c>
      <c r="I86" s="135">
        <f t="shared" si="7"/>
        <v>0</v>
      </c>
      <c r="J86" s="55">
        <f t="shared" si="8"/>
        <v>0</v>
      </c>
      <c r="K86" s="36"/>
    </row>
    <row r="87" spans="1:11" x14ac:dyDescent="0.25">
      <c r="A87" s="49">
        <f>'A) Base RI'!A88</f>
        <v>5533</v>
      </c>
      <c r="B87" s="284" t="str">
        <f>'A) Base RI'!B88</f>
        <v>Poliez-Pittet</v>
      </c>
      <c r="C87" s="95">
        <f>'B) D RI'!U88</f>
        <v>27502.031917808214</v>
      </c>
      <c r="D87" s="398">
        <f>IF('E) PCS'!G93/'K) Plafonnement aide'!C87&gt;0,'E) PCS'!G93/'K) Plafonnement aide'!C87,0)</f>
        <v>12.791187871624809</v>
      </c>
      <c r="E87" s="135">
        <f>'H) Péréquation directe'!I97/C87</f>
        <v>4.9657504817983344</v>
      </c>
      <c r="F87" s="398">
        <f>+'I) Dépenses thématiques'!U87</f>
        <v>-2.6543869475885771</v>
      </c>
      <c r="G87" s="135">
        <f t="shared" si="5"/>
        <v>15.102551405834568</v>
      </c>
      <c r="H87" s="109">
        <f t="shared" si="6"/>
        <v>17.756938353423145</v>
      </c>
      <c r="I87" s="135">
        <f t="shared" si="7"/>
        <v>0</v>
      </c>
      <c r="J87" s="55">
        <f t="shared" si="8"/>
        <v>0</v>
      </c>
      <c r="K87" s="36"/>
    </row>
    <row r="88" spans="1:11" x14ac:dyDescent="0.25">
      <c r="A88" s="49">
        <f>'A) Base RI'!A89</f>
        <v>5534</v>
      </c>
      <c r="B88" s="284" t="str">
        <f>'A) Base RI'!B89</f>
        <v>Rueyres</v>
      </c>
      <c r="C88" s="95">
        <f>'B) D RI'!U89</f>
        <v>13106.991872146118</v>
      </c>
      <c r="D88" s="398">
        <f>IF('E) PCS'!G94/'K) Plafonnement aide'!C88&gt;0,'E) PCS'!G94/'K) Plafonnement aide'!C88,0)</f>
        <v>16.863723360472456</v>
      </c>
      <c r="E88" s="135">
        <f>'H) Péréquation directe'!I98/C88</f>
        <v>13.157853663279758</v>
      </c>
      <c r="F88" s="398">
        <f>+'I) Dépenses thématiques'!U88</f>
        <v>-0.28461954751174989</v>
      </c>
      <c r="G88" s="135">
        <f t="shared" si="5"/>
        <v>29.736957476240466</v>
      </c>
      <c r="H88" s="109">
        <f t="shared" si="6"/>
        <v>30.021577023752215</v>
      </c>
      <c r="I88" s="135">
        <f t="shared" si="7"/>
        <v>0</v>
      </c>
      <c r="J88" s="55">
        <f t="shared" si="8"/>
        <v>0</v>
      </c>
      <c r="K88" s="36"/>
    </row>
    <row r="89" spans="1:11" x14ac:dyDescent="0.25">
      <c r="A89" s="49">
        <f>'A) Base RI'!A90</f>
        <v>5535</v>
      </c>
      <c r="B89" s="284" t="str">
        <f>'A) Base RI'!B90</f>
        <v>Saint-Barthélemy</v>
      </c>
      <c r="C89" s="95">
        <f>'B) D RI'!U90</f>
        <v>25080.318533333328</v>
      </c>
      <c r="D89" s="398">
        <f>IF('E) PCS'!G95/'K) Plafonnement aide'!C89&gt;0,'E) PCS'!G95/'K) Plafonnement aide'!C89,0)</f>
        <v>14.639811084946015</v>
      </c>
      <c r="E89" s="135">
        <f>'H) Péréquation directe'!I99/C89</f>
        <v>2.030754055098257</v>
      </c>
      <c r="F89" s="398">
        <f>+'I) Dépenses thématiques'!U89</f>
        <v>-1.5849814166900364</v>
      </c>
      <c r="G89" s="135">
        <f t="shared" si="5"/>
        <v>15.085583723354235</v>
      </c>
      <c r="H89" s="109">
        <f t="shared" si="6"/>
        <v>16.670565140044271</v>
      </c>
      <c r="I89" s="135">
        <f t="shared" si="7"/>
        <v>0</v>
      </c>
      <c r="J89" s="55">
        <f t="shared" si="8"/>
        <v>0</v>
      </c>
      <c r="K89" s="36"/>
    </row>
    <row r="90" spans="1:11" x14ac:dyDescent="0.25">
      <c r="A90" s="49">
        <f>'A) Base RI'!A91</f>
        <v>5537</v>
      </c>
      <c r="B90" s="284" t="str">
        <f>'A) Base RI'!B91</f>
        <v>Villars-le-Terroir</v>
      </c>
      <c r="C90" s="95">
        <f>'B) D RI'!U91</f>
        <v>42917.816052631584</v>
      </c>
      <c r="D90" s="398">
        <f>IF('E) PCS'!G96/'K) Plafonnement aide'!C90&gt;0,'E) PCS'!G96/'K) Plafonnement aide'!C90,0)</f>
        <v>13.53555698353386</v>
      </c>
      <c r="E90" s="135">
        <f>'H) Péréquation directe'!I100/C90</f>
        <v>2.0163017556519702</v>
      </c>
      <c r="F90" s="398">
        <f>+'I) Dépenses thématiques'!U90</f>
        <v>-0.92619702818669236</v>
      </c>
      <c r="G90" s="135">
        <f t="shared" si="5"/>
        <v>14.625661710999138</v>
      </c>
      <c r="H90" s="109">
        <f t="shared" si="6"/>
        <v>15.55185873918583</v>
      </c>
      <c r="I90" s="135">
        <f t="shared" si="7"/>
        <v>0</v>
      </c>
      <c r="J90" s="55">
        <f t="shared" si="8"/>
        <v>0</v>
      </c>
      <c r="K90" s="36"/>
    </row>
    <row r="91" spans="1:11" x14ac:dyDescent="0.25">
      <c r="A91" s="49">
        <f>'A) Base RI'!A92</f>
        <v>5539</v>
      </c>
      <c r="B91" s="284" t="str">
        <f>'A) Base RI'!B92</f>
        <v>Vuarrens</v>
      </c>
      <c r="C91" s="95">
        <f>'B) D RI'!U92</f>
        <v>34558.047482993185</v>
      </c>
      <c r="D91" s="398">
        <f>IF('E) PCS'!G97/'K) Plafonnement aide'!C91&gt;0,'E) PCS'!G97/'K) Plafonnement aide'!C91,0)</f>
        <v>15.823395286633321</v>
      </c>
      <c r="E91" s="135">
        <f>'H) Péréquation directe'!I101/C91</f>
        <v>2.4986346900189376</v>
      </c>
      <c r="F91" s="398">
        <f>+'I) Dépenses thématiques'!U91</f>
        <v>-0.99603224131037327</v>
      </c>
      <c r="G91" s="135">
        <f t="shared" si="5"/>
        <v>17.325997735341886</v>
      </c>
      <c r="H91" s="109">
        <f t="shared" si="6"/>
        <v>18.32202997665226</v>
      </c>
      <c r="I91" s="135">
        <f t="shared" si="7"/>
        <v>0</v>
      </c>
      <c r="J91" s="55">
        <f t="shared" si="8"/>
        <v>0</v>
      </c>
      <c r="K91" s="36"/>
    </row>
    <row r="92" spans="1:11" x14ac:dyDescent="0.25">
      <c r="A92" s="49">
        <f>'A) Base RI'!A93</f>
        <v>5540</v>
      </c>
      <c r="B92" s="284" t="str">
        <f>'A) Base RI'!B93</f>
        <v>Montilliez</v>
      </c>
      <c r="C92" s="95">
        <f>'B) D RI'!U93</f>
        <v>63315.990655172413</v>
      </c>
      <c r="D92" s="398">
        <f>IF('E) PCS'!G98/'K) Plafonnement aide'!C92&gt;0,'E) PCS'!G98/'K) Plafonnement aide'!C92,0)</f>
        <v>14.545856399194308</v>
      </c>
      <c r="E92" s="135">
        <f>'H) Péréquation directe'!I102/C92</f>
        <v>2.5956391330700388</v>
      </c>
      <c r="F92" s="398">
        <f>+'I) Dépenses thématiques'!U92</f>
        <v>-1.846738270500931</v>
      </c>
      <c r="G92" s="135">
        <f t="shared" si="5"/>
        <v>15.294757261763417</v>
      </c>
      <c r="H92" s="109">
        <f t="shared" si="6"/>
        <v>17.141495532264347</v>
      </c>
      <c r="I92" s="135">
        <f t="shared" si="7"/>
        <v>0</v>
      </c>
      <c r="J92" s="55">
        <f t="shared" si="8"/>
        <v>0</v>
      </c>
      <c r="K92" s="36"/>
    </row>
    <row r="93" spans="1:11" x14ac:dyDescent="0.25">
      <c r="A93" s="49">
        <f>'A) Base RI'!A94</f>
        <v>5541</v>
      </c>
      <c r="B93" s="284" t="str">
        <f>'A) Base RI'!B94</f>
        <v>Goumoëns</v>
      </c>
      <c r="C93" s="95">
        <f>'B) D RI'!U94</f>
        <v>41279.032715231784</v>
      </c>
      <c r="D93" s="398">
        <f>IF('E) PCS'!G99/'K) Plafonnement aide'!C93&gt;0,'E) PCS'!G99/'K) Plafonnement aide'!C93,0)</f>
        <v>14.112649768563289</v>
      </c>
      <c r="E93" s="135">
        <f>'H) Péréquation directe'!I103/C93</f>
        <v>5.8765076182201224</v>
      </c>
      <c r="F93" s="398">
        <f>+'I) Dépenses thématiques'!U93</f>
        <v>-0.71547349261678217</v>
      </c>
      <c r="G93" s="135">
        <f t="shared" si="5"/>
        <v>19.273683894166631</v>
      </c>
      <c r="H93" s="109">
        <f t="shared" si="6"/>
        <v>19.989157386783411</v>
      </c>
      <c r="I93" s="135">
        <f t="shared" si="7"/>
        <v>0</v>
      </c>
      <c r="J93" s="55">
        <f t="shared" si="8"/>
        <v>0</v>
      </c>
      <c r="K93" s="36"/>
    </row>
    <row r="94" spans="1:11" x14ac:dyDescent="0.25">
      <c r="A94" s="49">
        <f>'A) Base RI'!A95</f>
        <v>5551</v>
      </c>
      <c r="B94" s="284" t="str">
        <f>'A) Base RI'!B95</f>
        <v>Bonvillars</v>
      </c>
      <c r="C94" s="95">
        <f>'B) D RI'!U95</f>
        <v>18707.412</v>
      </c>
      <c r="D94" s="398">
        <f>IF('E) PCS'!G100/'K) Plafonnement aide'!C94&gt;0,'E) PCS'!G100/'K) Plafonnement aide'!C94,0)</f>
        <v>15.115443609442517</v>
      </c>
      <c r="E94" s="135">
        <f>'H) Péréquation directe'!I104/C94</f>
        <v>12.497067020607187</v>
      </c>
      <c r="F94" s="398">
        <f>+'I) Dépenses thématiques'!U94</f>
        <v>-6.6817483359002301</v>
      </c>
      <c r="G94" s="135">
        <f t="shared" si="5"/>
        <v>20.930762294149474</v>
      </c>
      <c r="H94" s="109">
        <f t="shared" si="6"/>
        <v>27.612510630049705</v>
      </c>
      <c r="I94" s="135">
        <f t="shared" si="7"/>
        <v>0</v>
      </c>
      <c r="J94" s="55">
        <f t="shared" si="8"/>
        <v>0</v>
      </c>
      <c r="K94" s="36"/>
    </row>
    <row r="95" spans="1:11" x14ac:dyDescent="0.25">
      <c r="A95" s="49">
        <f>'A) Base RI'!A96</f>
        <v>5552</v>
      </c>
      <c r="B95" s="284" t="str">
        <f>'A) Base RI'!B96</f>
        <v>Bullet</v>
      </c>
      <c r="C95" s="95">
        <f>'B) D RI'!U96</f>
        <v>19599.59230769231</v>
      </c>
      <c r="D95" s="398">
        <f>IF('E) PCS'!G101/'K) Plafonnement aide'!C95&gt;0,'E) PCS'!G101/'K) Plafonnement aide'!C95,0)</f>
        <v>22.449592084455912</v>
      </c>
      <c r="E95" s="135">
        <f>'H) Péréquation directe'!I105/C95</f>
        <v>1.7719343066769948</v>
      </c>
      <c r="F95" s="398">
        <f>+'I) Dépenses thématiques'!U95</f>
        <v>-10.569926591879655</v>
      </c>
      <c r="G95" s="135">
        <f t="shared" si="5"/>
        <v>13.651599799253249</v>
      </c>
      <c r="H95" s="109">
        <f t="shared" si="6"/>
        <v>24.221526391132905</v>
      </c>
      <c r="I95" s="135">
        <f t="shared" si="7"/>
        <v>0</v>
      </c>
      <c r="J95" s="55">
        <f t="shared" si="8"/>
        <v>0</v>
      </c>
      <c r="K95" s="36"/>
    </row>
    <row r="96" spans="1:11" x14ac:dyDescent="0.25">
      <c r="A96" s="49">
        <f>'A) Base RI'!A97</f>
        <v>5553</v>
      </c>
      <c r="B96" s="284" t="str">
        <f>'A) Base RI'!B97</f>
        <v>Champagne</v>
      </c>
      <c r="C96" s="95">
        <f>'B) D RI'!U97</f>
        <v>40087.525538461538</v>
      </c>
      <c r="D96" s="398">
        <f>IF('E) PCS'!G102/'K) Plafonnement aide'!C96&gt;0,'E) PCS'!G102/'K) Plafonnement aide'!C96,0)</f>
        <v>15.279749763874838</v>
      </c>
      <c r="E96" s="135">
        <f>'H) Péréquation directe'!I106/C96</f>
        <v>9.5763085233209271</v>
      </c>
      <c r="F96" s="398">
        <f>+'I) Dépenses thématiques'!U96</f>
        <v>-5.9512828345189108</v>
      </c>
      <c r="G96" s="135">
        <f t="shared" si="5"/>
        <v>18.904775452676855</v>
      </c>
      <c r="H96" s="109">
        <f t="shared" si="6"/>
        <v>24.856058287195765</v>
      </c>
      <c r="I96" s="135">
        <f t="shared" si="7"/>
        <v>0</v>
      </c>
      <c r="J96" s="55">
        <f t="shared" si="8"/>
        <v>0</v>
      </c>
      <c r="K96" s="36"/>
    </row>
    <row r="97" spans="1:11" x14ac:dyDescent="0.25">
      <c r="A97" s="49">
        <f>'A) Base RI'!A98</f>
        <v>5554</v>
      </c>
      <c r="B97" s="284" t="str">
        <f>'A) Base RI'!B98</f>
        <v>Concise</v>
      </c>
      <c r="C97" s="95">
        <f>'B) D RI'!U98</f>
        <v>31501.78373333333</v>
      </c>
      <c r="D97" s="398">
        <f>IF('E) PCS'!G103/'K) Plafonnement aide'!C97&gt;0,'E) PCS'!G103/'K) Plafonnement aide'!C97,0)</f>
        <v>33.635526728473174</v>
      </c>
      <c r="E97" s="135">
        <f>'H) Péréquation directe'!I107/C97</f>
        <v>2.4689929766811436</v>
      </c>
      <c r="F97" s="398">
        <f>+'I) Dépenses thématiques'!U97</f>
        <v>-7.7682441626649403</v>
      </c>
      <c r="G97" s="135">
        <f t="shared" si="5"/>
        <v>28.336275542489375</v>
      </c>
      <c r="H97" s="109">
        <f t="shared" si="6"/>
        <v>36.104519705154317</v>
      </c>
      <c r="I97" s="135">
        <f t="shared" si="7"/>
        <v>0</v>
      </c>
      <c r="J97" s="55">
        <f t="shared" si="8"/>
        <v>0</v>
      </c>
      <c r="K97" s="36"/>
    </row>
    <row r="98" spans="1:11" x14ac:dyDescent="0.25">
      <c r="A98" s="49">
        <f>'A) Base RI'!A99</f>
        <v>5555</v>
      </c>
      <c r="B98" s="284" t="str">
        <f>'A) Base RI'!B99</f>
        <v>Corcelles-près-Concise</v>
      </c>
      <c r="C98" s="95">
        <f>'B) D RI'!U99</f>
        <v>13878.246956521738</v>
      </c>
      <c r="D98" s="398">
        <f>IF('E) PCS'!G104/'K) Plafonnement aide'!C98&gt;0,'E) PCS'!G104/'K) Plafonnement aide'!C98,0)</f>
        <v>16.000822792128609</v>
      </c>
      <c r="E98" s="135">
        <f>'H) Péréquation directe'!I108/C98</f>
        <v>6.2745134794754058</v>
      </c>
      <c r="F98" s="398">
        <f>+'I) Dépenses thématiques'!U98</f>
        <v>-15.030848903106671</v>
      </c>
      <c r="G98" s="135">
        <f t="shared" si="5"/>
        <v>7.2444873684973441</v>
      </c>
      <c r="H98" s="109">
        <f t="shared" si="6"/>
        <v>22.275336271604015</v>
      </c>
      <c r="I98" s="135">
        <f t="shared" si="7"/>
        <v>0</v>
      </c>
      <c r="J98" s="55">
        <f t="shared" si="8"/>
        <v>0</v>
      </c>
      <c r="K98" s="36"/>
    </row>
    <row r="99" spans="1:11" x14ac:dyDescent="0.25">
      <c r="A99" s="49">
        <f>'A) Base RI'!A100</f>
        <v>5556</v>
      </c>
      <c r="B99" s="284" t="str">
        <f>'A) Base RI'!B100</f>
        <v>Fiez</v>
      </c>
      <c r="C99" s="95">
        <f>'B) D RI'!U100</f>
        <v>14577.66780193237</v>
      </c>
      <c r="D99" s="398">
        <f>IF('E) PCS'!G105/'K) Plafonnement aide'!C99&gt;0,'E) PCS'!G105/'K) Plafonnement aide'!C99,0)</f>
        <v>14.180215862832053</v>
      </c>
      <c r="E99" s="135">
        <f>'H) Péréquation directe'!I109/C99</f>
        <v>5.9889219623349774</v>
      </c>
      <c r="F99" s="398">
        <f>+'I) Dépenses thématiques'!U99</f>
        <v>-5.0331434482736599</v>
      </c>
      <c r="G99" s="135">
        <f t="shared" si="5"/>
        <v>15.135994376893372</v>
      </c>
      <c r="H99" s="109">
        <f t="shared" si="6"/>
        <v>20.169137825167031</v>
      </c>
      <c r="I99" s="135">
        <f t="shared" si="7"/>
        <v>0</v>
      </c>
      <c r="J99" s="55">
        <f t="shared" si="8"/>
        <v>0</v>
      </c>
      <c r="K99" s="36"/>
    </row>
    <row r="100" spans="1:11" x14ac:dyDescent="0.25">
      <c r="A100" s="49">
        <f>'A) Base RI'!A101</f>
        <v>5557</v>
      </c>
      <c r="B100" s="284" t="str">
        <f>'A) Base RI'!B101</f>
        <v>Fontaines-sur-Grandson</v>
      </c>
      <c r="C100" s="95">
        <f>'B) D RI'!U101</f>
        <v>4232.7450724637674</v>
      </c>
      <c r="D100" s="398">
        <f>IF('E) PCS'!G106/'K) Plafonnement aide'!C100&gt;0,'E) PCS'!G106/'K) Plafonnement aide'!C100,0)</f>
        <v>13.763161051982927</v>
      </c>
      <c r="E100" s="135">
        <f>'H) Péréquation directe'!I110/C100</f>
        <v>-16.638067057767365</v>
      </c>
      <c r="F100" s="398">
        <f>+'I) Dépenses thématiques'!U100</f>
        <v>-7.9358144632285628</v>
      </c>
      <c r="G100" s="135">
        <f t="shared" si="5"/>
        <v>-10.810720469013003</v>
      </c>
      <c r="H100" s="109">
        <f t="shared" si="6"/>
        <v>-2.8749060057844398</v>
      </c>
      <c r="I100" s="135">
        <f t="shared" si="7"/>
        <v>0</v>
      </c>
      <c r="J100" s="55">
        <f t="shared" si="8"/>
        <v>0</v>
      </c>
      <c r="K100" s="36"/>
    </row>
    <row r="101" spans="1:11" x14ac:dyDescent="0.25">
      <c r="A101" s="49">
        <f>'A) Base RI'!A102</f>
        <v>5559</v>
      </c>
      <c r="B101" s="284" t="str">
        <f>'A) Base RI'!B102</f>
        <v>Giez</v>
      </c>
      <c r="C101" s="95">
        <f>'B) D RI'!U102</f>
        <v>23436.990303030303</v>
      </c>
      <c r="D101" s="398">
        <f>IF('E) PCS'!G107/'K) Plafonnement aide'!C101&gt;0,'E) PCS'!G107/'K) Plafonnement aide'!C101,0)</f>
        <v>17.351626890665813</v>
      </c>
      <c r="E101" s="135">
        <f>'H) Péréquation directe'!I111/C101</f>
        <v>16.296244847149211</v>
      </c>
      <c r="F101" s="398">
        <f>+'I) Dépenses thématiques'!U101</f>
        <v>0</v>
      </c>
      <c r="G101" s="135">
        <f t="shared" si="5"/>
        <v>33.647871737815024</v>
      </c>
      <c r="H101" s="109">
        <f t="shared" si="6"/>
        <v>33.647871737815024</v>
      </c>
      <c r="I101" s="135">
        <f t="shared" si="7"/>
        <v>0</v>
      </c>
      <c r="J101" s="55">
        <f t="shared" si="8"/>
        <v>0</v>
      </c>
      <c r="K101" s="36"/>
    </row>
    <row r="102" spans="1:11" x14ac:dyDescent="0.25">
      <c r="A102" s="49">
        <f>'A) Base RI'!A103</f>
        <v>5560</v>
      </c>
      <c r="B102" s="284" t="str">
        <f>'A) Base RI'!B103</f>
        <v>Grandevent</v>
      </c>
      <c r="C102" s="95">
        <f>'B) D RI'!U103</f>
        <v>7003.7466176470589</v>
      </c>
      <c r="D102" s="398">
        <f>IF('E) PCS'!G108/'K) Plafonnement aide'!C102&gt;0,'E) PCS'!G108/'K) Plafonnement aide'!C102,0)</f>
        <v>18.458276534723019</v>
      </c>
      <c r="E102" s="135">
        <f>'H) Péréquation directe'!I112/C102</f>
        <v>2.5157343746384369</v>
      </c>
      <c r="F102" s="398">
        <f>+'I) Dépenses thématiques'!U102</f>
        <v>-2.1711893877724311</v>
      </c>
      <c r="G102" s="135">
        <f t="shared" si="5"/>
        <v>18.802821521589024</v>
      </c>
      <c r="H102" s="109">
        <f t="shared" si="6"/>
        <v>20.974010909361454</v>
      </c>
      <c r="I102" s="135">
        <f t="shared" si="7"/>
        <v>0</v>
      </c>
      <c r="J102" s="55">
        <f t="shared" si="8"/>
        <v>0</v>
      </c>
      <c r="K102" s="36"/>
    </row>
    <row r="103" spans="1:11" x14ac:dyDescent="0.25">
      <c r="A103" s="49">
        <f>'A) Base RI'!A104</f>
        <v>5561</v>
      </c>
      <c r="B103" s="284" t="str">
        <f>'A) Base RI'!B104</f>
        <v>Grandson</v>
      </c>
      <c r="C103" s="95">
        <f>'B) D RI'!U104</f>
        <v>114506.05043478261</v>
      </c>
      <c r="D103" s="398">
        <f>IF('E) PCS'!G109/'K) Plafonnement aide'!C103&gt;0,'E) PCS'!G109/'K) Plafonnement aide'!C103,0)</f>
        <v>17.767800957605036</v>
      </c>
      <c r="E103" s="135">
        <f>'H) Péréquation directe'!I113/C103</f>
        <v>1.8366958266082973</v>
      </c>
      <c r="F103" s="398">
        <f>+'I) Dépenses thématiques'!U103</f>
        <v>-8.8485603471965391</v>
      </c>
      <c r="G103" s="135">
        <f t="shared" si="5"/>
        <v>10.755936437016796</v>
      </c>
      <c r="H103" s="109">
        <f t="shared" si="6"/>
        <v>19.604496784213335</v>
      </c>
      <c r="I103" s="135">
        <f t="shared" si="7"/>
        <v>0</v>
      </c>
      <c r="J103" s="55">
        <f t="shared" si="8"/>
        <v>0</v>
      </c>
      <c r="K103" s="36"/>
    </row>
    <row r="104" spans="1:11" x14ac:dyDescent="0.25">
      <c r="A104" s="49">
        <f>'A) Base RI'!A105</f>
        <v>5562</v>
      </c>
      <c r="B104" s="284" t="str">
        <f>'A) Base RI'!B105</f>
        <v>Mauborget</v>
      </c>
      <c r="C104" s="95">
        <f>'B) D RI'!U105</f>
        <v>6099.4916904761894</v>
      </c>
      <c r="D104" s="398">
        <f>IF('E) PCS'!G110/'K) Plafonnement aide'!C104&gt;0,'E) PCS'!G110/'K) Plafonnement aide'!C104,0)</f>
        <v>15.805577387425128</v>
      </c>
      <c r="E104" s="135">
        <f>'H) Péréquation directe'!I114/C104</f>
        <v>14.152807064907984</v>
      </c>
      <c r="F104" s="398">
        <f>+'I) Dépenses thématiques'!U104</f>
        <v>-1.2027528622984291</v>
      </c>
      <c r="G104" s="135">
        <f t="shared" si="5"/>
        <v>28.755631590034685</v>
      </c>
      <c r="H104" s="109">
        <f t="shared" si="6"/>
        <v>29.958384452333114</v>
      </c>
      <c r="I104" s="135">
        <f t="shared" si="7"/>
        <v>0</v>
      </c>
      <c r="J104" s="55">
        <f t="shared" si="8"/>
        <v>0</v>
      </c>
      <c r="K104" s="36"/>
    </row>
    <row r="105" spans="1:11" x14ac:dyDescent="0.25">
      <c r="A105" s="49">
        <f>'A) Base RI'!A106</f>
        <v>5563</v>
      </c>
      <c r="B105" s="284" t="str">
        <f>'A) Base RI'!B106</f>
        <v>Mutrux</v>
      </c>
      <c r="C105" s="95">
        <f>'B) D RI'!U106</f>
        <v>4282.2314999999999</v>
      </c>
      <c r="D105" s="398">
        <f>IF('E) PCS'!G111/'K) Plafonnement aide'!C105&gt;0,'E) PCS'!G111/'K) Plafonnement aide'!C105,0)</f>
        <v>21.411275148935957</v>
      </c>
      <c r="E105" s="135">
        <f>'H) Péréquation directe'!I115/C105</f>
        <v>-3.7977014381265399</v>
      </c>
      <c r="F105" s="398">
        <f>+'I) Dépenses thématiques'!U105</f>
        <v>-4.9453447343984092</v>
      </c>
      <c r="G105" s="135">
        <f t="shared" si="5"/>
        <v>12.668228976411006</v>
      </c>
      <c r="H105" s="109">
        <f t="shared" si="6"/>
        <v>17.613573710809415</v>
      </c>
      <c r="I105" s="135">
        <f t="shared" si="7"/>
        <v>0</v>
      </c>
      <c r="J105" s="55">
        <f t="shared" si="8"/>
        <v>0</v>
      </c>
      <c r="K105" s="36"/>
    </row>
    <row r="106" spans="1:11" x14ac:dyDescent="0.25">
      <c r="A106" s="49">
        <f>'A) Base RI'!A107</f>
        <v>5564</v>
      </c>
      <c r="B106" s="284" t="str">
        <f>'A) Base RI'!B107</f>
        <v>Novalles</v>
      </c>
      <c r="C106" s="95">
        <f>'B) D RI'!U107</f>
        <v>2099.5480592105264</v>
      </c>
      <c r="D106" s="398">
        <f>IF('E) PCS'!G112/'K) Plafonnement aide'!C106&gt;0,'E) PCS'!G112/'K) Plafonnement aide'!C106,0)</f>
        <v>13.066074718950038</v>
      </c>
      <c r="E106" s="135">
        <f>'H) Péréquation directe'!I116/C106</f>
        <v>-19.158981101996904</v>
      </c>
      <c r="F106" s="398">
        <f>+'I) Dépenses thématiques'!U106</f>
        <v>-14.844647381898179</v>
      </c>
      <c r="G106" s="135">
        <f t="shared" si="5"/>
        <v>-20.937553764945044</v>
      </c>
      <c r="H106" s="109">
        <f t="shared" si="6"/>
        <v>-6.0929063830468646</v>
      </c>
      <c r="I106" s="135">
        <f t="shared" si="7"/>
        <v>0</v>
      </c>
      <c r="J106" s="55">
        <f t="shared" si="8"/>
        <v>0</v>
      </c>
      <c r="K106" s="36"/>
    </row>
    <row r="107" spans="1:11" x14ac:dyDescent="0.25">
      <c r="A107" s="49">
        <f>'A) Base RI'!A108</f>
        <v>5565</v>
      </c>
      <c r="B107" s="284" t="str">
        <f>'A) Base RI'!B108</f>
        <v>Onnens</v>
      </c>
      <c r="C107" s="95">
        <f>'B) D RI'!U108</f>
        <v>22703.427716535429</v>
      </c>
      <c r="D107" s="398">
        <f>IF('E) PCS'!G113/'K) Plafonnement aide'!C107&gt;0,'E) PCS'!G113/'K) Plafonnement aide'!C107,0)</f>
        <v>14.687205595132724</v>
      </c>
      <c r="E107" s="135">
        <f>'H) Péréquation directe'!I117/C107</f>
        <v>15.048625873430277</v>
      </c>
      <c r="F107" s="398">
        <f>+'I) Dépenses thématiques'!U107</f>
        <v>-2.9925817264986039</v>
      </c>
      <c r="G107" s="135">
        <f t="shared" si="5"/>
        <v>26.743249742064396</v>
      </c>
      <c r="H107" s="109">
        <f t="shared" si="6"/>
        <v>29.735831468562999</v>
      </c>
      <c r="I107" s="135">
        <f t="shared" si="7"/>
        <v>0</v>
      </c>
      <c r="J107" s="55">
        <f t="shared" si="8"/>
        <v>0</v>
      </c>
      <c r="K107" s="36"/>
    </row>
    <row r="108" spans="1:11" x14ac:dyDescent="0.25">
      <c r="A108" s="49">
        <f>'A) Base RI'!A109</f>
        <v>5566</v>
      </c>
      <c r="B108" s="284" t="str">
        <f>'A) Base RI'!B109</f>
        <v>Provence</v>
      </c>
      <c r="C108" s="95">
        <f>'B) D RI'!U109</f>
        <v>9377.8413580246925</v>
      </c>
      <c r="D108" s="398">
        <f>IF('E) PCS'!G114/'K) Plafonnement aide'!C108&gt;0,'E) PCS'!G114/'K) Plafonnement aide'!C108,0)</f>
        <v>15.132216344521657</v>
      </c>
      <c r="E108" s="135">
        <f>'H) Péréquation directe'!I118/C108</f>
        <v>-14.992160497968452</v>
      </c>
      <c r="F108" s="398">
        <f>+'I) Dépenses thématiques'!U108</f>
        <v>-42.1330119338975</v>
      </c>
      <c r="G108" s="135">
        <f t="shared" si="5"/>
        <v>-41.992956087344297</v>
      </c>
      <c r="H108" s="109">
        <f t="shared" si="6"/>
        <v>0.14005584655320291</v>
      </c>
      <c r="I108" s="135">
        <f t="shared" si="7"/>
        <v>0</v>
      </c>
      <c r="J108" s="55">
        <f t="shared" si="8"/>
        <v>0</v>
      </c>
      <c r="K108" s="36"/>
    </row>
    <row r="109" spans="1:11" x14ac:dyDescent="0.25">
      <c r="A109" s="49">
        <f>'A) Base RI'!A110</f>
        <v>5568</v>
      </c>
      <c r="B109" s="284" t="str">
        <f>'A) Base RI'!B110</f>
        <v>Sainte-Croix</v>
      </c>
      <c r="C109" s="95">
        <f>'B) D RI'!U110</f>
        <v>109171.87199999999</v>
      </c>
      <c r="D109" s="398">
        <f>IF('E) PCS'!G115/'K) Plafonnement aide'!C109&gt;0,'E) PCS'!G115/'K) Plafonnement aide'!C109,0)</f>
        <v>23.656921862484413</v>
      </c>
      <c r="E109" s="135">
        <f>'H) Péréquation directe'!I119/C109</f>
        <v>-21.140713862326606</v>
      </c>
      <c r="F109" s="398">
        <f>+'I) Dépenses thématiques'!U109</f>
        <v>-14.634813791596432</v>
      </c>
      <c r="G109" s="135">
        <f t="shared" si="5"/>
        <v>-12.118605791438625</v>
      </c>
      <c r="H109" s="109">
        <f t="shared" si="6"/>
        <v>2.5162080001578069</v>
      </c>
      <c r="I109" s="135">
        <f t="shared" si="7"/>
        <v>0</v>
      </c>
      <c r="J109" s="55">
        <f t="shared" si="8"/>
        <v>0</v>
      </c>
      <c r="K109" s="36"/>
    </row>
    <row r="110" spans="1:11" x14ac:dyDescent="0.25">
      <c r="A110" s="49">
        <f>'A) Base RI'!A111</f>
        <v>5571</v>
      </c>
      <c r="B110" s="284" t="str">
        <f>'A) Base RI'!B111</f>
        <v>Tévenon</v>
      </c>
      <c r="C110" s="95">
        <f>'B) D RI'!U111</f>
        <v>25325.239790209791</v>
      </c>
      <c r="D110" s="398">
        <f>IF('E) PCS'!G116/'K) Plafonnement aide'!C110&gt;0,'E) PCS'!G116/'K) Plafonnement aide'!C110,0)</f>
        <v>16.982437829790086</v>
      </c>
      <c r="E110" s="135">
        <f>'H) Péréquation directe'!I120/C110</f>
        <v>0.27495486858852464</v>
      </c>
      <c r="F110" s="398">
        <f>+'I) Dépenses thématiques'!U110</f>
        <v>-8.7551740182060929</v>
      </c>
      <c r="G110" s="135">
        <f t="shared" si="5"/>
        <v>8.5022186801725166</v>
      </c>
      <c r="H110" s="109">
        <f t="shared" si="6"/>
        <v>17.257392698378609</v>
      </c>
      <c r="I110" s="135">
        <f t="shared" si="7"/>
        <v>0</v>
      </c>
      <c r="J110" s="55">
        <f t="shared" si="8"/>
        <v>0</v>
      </c>
      <c r="K110" s="36"/>
    </row>
    <row r="111" spans="1:11" x14ac:dyDescent="0.25">
      <c r="A111" s="49">
        <f>'A) Base RI'!A112</f>
        <v>5581</v>
      </c>
      <c r="B111" s="284" t="str">
        <f>'A) Base RI'!B112</f>
        <v>Belmont-sur-Lausanne</v>
      </c>
      <c r="C111" s="95">
        <f>'B) D RI'!U112</f>
        <v>215435.94296296299</v>
      </c>
      <c r="D111" s="398">
        <f>IF('E) PCS'!G117/'K) Plafonnement aide'!C111&gt;0,'E) PCS'!G117/'K) Plafonnement aide'!C111,0)</f>
        <v>17.819364017130358</v>
      </c>
      <c r="E111" s="135">
        <f>'H) Péréquation directe'!I121/C111</f>
        <v>12.815054311374777</v>
      </c>
      <c r="F111" s="398">
        <f>+'I) Dépenses thématiques'!U111</f>
        <v>-3.7880324471321831</v>
      </c>
      <c r="G111" s="135">
        <f t="shared" si="5"/>
        <v>26.846385881372953</v>
      </c>
      <c r="H111" s="109">
        <f t="shared" si="6"/>
        <v>30.634418328505134</v>
      </c>
      <c r="I111" s="135">
        <f t="shared" si="7"/>
        <v>0</v>
      </c>
      <c r="J111" s="55">
        <f t="shared" si="8"/>
        <v>0</v>
      </c>
      <c r="K111" s="36"/>
    </row>
    <row r="112" spans="1:11" x14ac:dyDescent="0.25">
      <c r="A112" s="49">
        <f>'A) Base RI'!A113</f>
        <v>5582</v>
      </c>
      <c r="B112" s="284" t="str">
        <f>'A) Base RI'!B113</f>
        <v>Cheseaux-sur-Lausanne</v>
      </c>
      <c r="C112" s="95">
        <f>'B) D RI'!U113</f>
        <v>167506.84698630136</v>
      </c>
      <c r="D112" s="398">
        <f>IF('E) PCS'!G118/'K) Plafonnement aide'!C112&gt;0,'E) PCS'!G118/'K) Plafonnement aide'!C112,0)</f>
        <v>18.321438859729657</v>
      </c>
      <c r="E112" s="135">
        <f>'H) Péréquation directe'!I122/C112</f>
        <v>3.3524747200757519</v>
      </c>
      <c r="F112" s="398">
        <f>+'I) Dépenses thématiques'!U112</f>
        <v>-2.8745730502680265</v>
      </c>
      <c r="G112" s="135">
        <f t="shared" si="5"/>
        <v>18.799340529537382</v>
      </c>
      <c r="H112" s="109">
        <f t="shared" si="6"/>
        <v>21.673913579805408</v>
      </c>
      <c r="I112" s="135">
        <f t="shared" si="7"/>
        <v>0</v>
      </c>
      <c r="J112" s="55">
        <f t="shared" si="8"/>
        <v>0</v>
      </c>
      <c r="K112" s="36"/>
    </row>
    <row r="113" spans="1:11" x14ac:dyDescent="0.25">
      <c r="A113" s="49">
        <f>'A) Base RI'!A114</f>
        <v>5583</v>
      </c>
      <c r="B113" s="284" t="str">
        <f>'A) Base RI'!B114</f>
        <v>Crissier</v>
      </c>
      <c r="C113" s="95">
        <f>'B) D RI'!U114</f>
        <v>337550.36173228343</v>
      </c>
      <c r="D113" s="398">
        <f>IF('E) PCS'!G119/'K) Plafonnement aide'!C113&gt;0,'E) PCS'!G119/'K) Plafonnement aide'!C113,0)</f>
        <v>18.441275929529851</v>
      </c>
      <c r="E113" s="135">
        <f>'H) Péréquation directe'!I123/C113</f>
        <v>1.5960310245238456</v>
      </c>
      <c r="F113" s="398">
        <f>+'I) Dépenses thématiques'!U113</f>
        <v>-8.6371002971064623</v>
      </c>
      <c r="G113" s="135">
        <f t="shared" si="5"/>
        <v>11.400206656947235</v>
      </c>
      <c r="H113" s="109">
        <f t="shared" si="6"/>
        <v>20.037306954053697</v>
      </c>
      <c r="I113" s="135">
        <f t="shared" si="7"/>
        <v>0</v>
      </c>
      <c r="J113" s="55">
        <f t="shared" si="8"/>
        <v>0</v>
      </c>
      <c r="K113" s="36"/>
    </row>
    <row r="114" spans="1:11" x14ac:dyDescent="0.25">
      <c r="A114" s="49">
        <f>'A) Base RI'!A115</f>
        <v>5584</v>
      </c>
      <c r="B114" s="284" t="str">
        <f>'A) Base RI'!B115</f>
        <v>Epalinges</v>
      </c>
      <c r="C114" s="95">
        <f>'B) D RI'!U115</f>
        <v>516766.84201550385</v>
      </c>
      <c r="D114" s="398">
        <f>IF('E) PCS'!G120/'K) Plafonnement aide'!C114&gt;0,'E) PCS'!G120/'K) Plafonnement aide'!C114,0)</f>
        <v>16.880077216419163</v>
      </c>
      <c r="E114" s="135">
        <f>'H) Péréquation directe'!I124/C114</f>
        <v>9.1602589524979479</v>
      </c>
      <c r="F114" s="398">
        <f>+'I) Dépenses thématiques'!U114</f>
        <v>-7.7472021662466979</v>
      </c>
      <c r="G114" s="135">
        <f t="shared" si="5"/>
        <v>18.293134002670413</v>
      </c>
      <c r="H114" s="109">
        <f t="shared" si="6"/>
        <v>26.040336168917111</v>
      </c>
      <c r="I114" s="135">
        <f t="shared" si="7"/>
        <v>0</v>
      </c>
      <c r="J114" s="55">
        <f t="shared" si="8"/>
        <v>0</v>
      </c>
      <c r="K114" s="36"/>
    </row>
    <row r="115" spans="1:11" x14ac:dyDescent="0.25">
      <c r="A115" s="49">
        <f>'A) Base RI'!A116</f>
        <v>5585</v>
      </c>
      <c r="B115" s="284" t="str">
        <f>'A) Base RI'!B116</f>
        <v>Jouxtens-Mézery</v>
      </c>
      <c r="C115" s="95">
        <f>'B) D RI'!U116</f>
        <v>191744.87050847456</v>
      </c>
      <c r="D115" s="398">
        <f>IF('E) PCS'!G121/'K) Plafonnement aide'!C115&gt;0,'E) PCS'!G121/'K) Plafonnement aide'!C115,0)</f>
        <v>29.44152306469562</v>
      </c>
      <c r="E115" s="135">
        <f>'H) Péréquation directe'!I125/C115</f>
        <v>17.165644749135481</v>
      </c>
      <c r="F115" s="398">
        <f>+'I) Dépenses thématiques'!U115</f>
        <v>0</v>
      </c>
      <c r="G115" s="135">
        <f t="shared" si="5"/>
        <v>46.607167813831097</v>
      </c>
      <c r="H115" s="109">
        <f t="shared" si="6"/>
        <v>46.607167813831097</v>
      </c>
      <c r="I115" s="135">
        <f t="shared" si="7"/>
        <v>0</v>
      </c>
      <c r="J115" s="55">
        <f t="shared" si="8"/>
        <v>0</v>
      </c>
      <c r="K115" s="36"/>
    </row>
    <row r="116" spans="1:11" x14ac:dyDescent="0.25">
      <c r="A116" s="49">
        <f>'A) Base RI'!A117</f>
        <v>5586</v>
      </c>
      <c r="B116" s="284" t="str">
        <f>'A) Base RI'!B117</f>
        <v>Lausanne</v>
      </c>
      <c r="C116" s="95">
        <f>'B) D RI'!U117</f>
        <v>6461491.7137154993</v>
      </c>
      <c r="D116" s="398">
        <f>IF('E) PCS'!G122/'K) Plafonnement aide'!C116&gt;0,'E) PCS'!G122/'K) Plafonnement aide'!C116,0)</f>
        <v>16.547315336928595</v>
      </c>
      <c r="E116" s="135">
        <f>'H) Péréquation directe'!I126/C116</f>
        <v>-4.6043829554103413</v>
      </c>
      <c r="F116" s="398">
        <f>+'I) Dépenses thématiques'!U116</f>
        <v>-7.6685369513868133</v>
      </c>
      <c r="G116" s="135">
        <f t="shared" si="5"/>
        <v>4.2743954301314409</v>
      </c>
      <c r="H116" s="109">
        <f t="shared" si="6"/>
        <v>11.942932381518254</v>
      </c>
      <c r="I116" s="135">
        <f t="shared" si="7"/>
        <v>0</v>
      </c>
      <c r="J116" s="55">
        <f t="shared" si="8"/>
        <v>0</v>
      </c>
      <c r="K116" s="36"/>
    </row>
    <row r="117" spans="1:11" x14ac:dyDescent="0.25">
      <c r="A117" s="49">
        <f>'A) Base RI'!A118</f>
        <v>5587</v>
      </c>
      <c r="B117" s="284" t="str">
        <f>'A) Base RI'!B118</f>
        <v>Le Mont-sur-Lausanne</v>
      </c>
      <c r="C117" s="95">
        <f>'B) D RI'!U118</f>
        <v>495058.05378684809</v>
      </c>
      <c r="D117" s="398">
        <f>IF('E) PCS'!G123/'K) Plafonnement aide'!C117&gt;0,'E) PCS'!G123/'K) Plafonnement aide'!C117,0)</f>
        <v>19.098952674270446</v>
      </c>
      <c r="E117" s="135">
        <f>'H) Péréquation directe'!I127/C117</f>
        <v>9.7651951456679313</v>
      </c>
      <c r="F117" s="398">
        <f>+'I) Dépenses thématiques'!U117</f>
        <v>-4.7474804405279833</v>
      </c>
      <c r="G117" s="135">
        <f t="shared" si="5"/>
        <v>24.116667379410394</v>
      </c>
      <c r="H117" s="109">
        <f t="shared" si="6"/>
        <v>28.864147819938378</v>
      </c>
      <c r="I117" s="135">
        <f t="shared" si="7"/>
        <v>0</v>
      </c>
      <c r="J117" s="55">
        <f t="shared" si="8"/>
        <v>0</v>
      </c>
      <c r="K117" s="36"/>
    </row>
    <row r="118" spans="1:11" x14ac:dyDescent="0.25">
      <c r="A118" s="49">
        <f>'A) Base RI'!A119</f>
        <v>5588</v>
      </c>
      <c r="B118" s="284" t="str">
        <f>'A) Base RI'!B119</f>
        <v>Paudex</v>
      </c>
      <c r="C118" s="95">
        <f>'B) D RI'!U119</f>
        <v>215756.29785177234</v>
      </c>
      <c r="D118" s="398">
        <f>IF('E) PCS'!G124/'K) Plafonnement aide'!C118&gt;0,'E) PCS'!G124/'K) Plafonnement aide'!C118,0)</f>
        <v>30.910789084123657</v>
      </c>
      <c r="E118" s="135">
        <f>'H) Péréquation directe'!I128/C118</f>
        <v>17.193696815460576</v>
      </c>
      <c r="F118" s="398">
        <f>+'I) Dépenses thématiques'!U118</f>
        <v>0</v>
      </c>
      <c r="G118" s="135">
        <f t="shared" si="5"/>
        <v>48.104485899584233</v>
      </c>
      <c r="H118" s="109">
        <f t="shared" si="6"/>
        <v>48.104485899584233</v>
      </c>
      <c r="I118" s="135">
        <f t="shared" si="7"/>
        <v>0</v>
      </c>
      <c r="J118" s="55">
        <f t="shared" si="8"/>
        <v>0</v>
      </c>
      <c r="K118" s="36"/>
    </row>
    <row r="119" spans="1:11" x14ac:dyDescent="0.25">
      <c r="A119" s="49">
        <f>'A) Base RI'!A120</f>
        <v>5589</v>
      </c>
      <c r="B119" s="284" t="str">
        <f>'A) Base RI'!B120</f>
        <v>Prilly</v>
      </c>
      <c r="C119" s="95">
        <f>'B) D RI'!U120</f>
        <v>419549.81642440322</v>
      </c>
      <c r="D119" s="398">
        <f>IF('E) PCS'!G125/'K) Plafonnement aide'!C119&gt;0,'E) PCS'!G125/'K) Plafonnement aide'!C119,0)</f>
        <v>16.129253986718982</v>
      </c>
      <c r="E119" s="135">
        <f>'H) Péréquation directe'!I129/C119</f>
        <v>-7.1597627233532197</v>
      </c>
      <c r="F119" s="398">
        <f>+'I) Dépenses thématiques'!U119</f>
        <v>-7.897953882314809</v>
      </c>
      <c r="G119" s="135">
        <f t="shared" si="5"/>
        <v>1.0715373810509536</v>
      </c>
      <c r="H119" s="109">
        <f t="shared" si="6"/>
        <v>8.9694912633657626</v>
      </c>
      <c r="I119" s="135">
        <f t="shared" si="7"/>
        <v>0</v>
      </c>
      <c r="J119" s="55">
        <f t="shared" si="8"/>
        <v>0</v>
      </c>
      <c r="K119" s="36"/>
    </row>
    <row r="120" spans="1:11" x14ac:dyDescent="0.25">
      <c r="A120" s="49">
        <f>'A) Base RI'!A121</f>
        <v>5590</v>
      </c>
      <c r="B120" s="284" t="str">
        <f>'A) Base RI'!B121</f>
        <v>Pully</v>
      </c>
      <c r="C120" s="95">
        <f>'B) D RI'!U121</f>
        <v>1603030.9692740045</v>
      </c>
      <c r="D120" s="398">
        <f>IF('E) PCS'!G126/'K) Plafonnement aide'!C120&gt;0,'E) PCS'!G126/'K) Plafonnement aide'!C120,0)</f>
        <v>23.202544069302885</v>
      </c>
      <c r="E120" s="135">
        <f>'H) Péréquation directe'!I130/C120</f>
        <v>9.9891889593273557</v>
      </c>
      <c r="F120" s="398">
        <f>+'I) Dépenses thématiques'!U120</f>
        <v>-1.5512508691470723</v>
      </c>
      <c r="G120" s="135">
        <f t="shared" si="5"/>
        <v>31.640482159483167</v>
      </c>
      <c r="H120" s="109">
        <f t="shared" si="6"/>
        <v>33.191733028630239</v>
      </c>
      <c r="I120" s="135">
        <f t="shared" si="7"/>
        <v>0</v>
      </c>
      <c r="J120" s="55">
        <f t="shared" si="8"/>
        <v>0</v>
      </c>
      <c r="K120" s="36"/>
    </row>
    <row r="121" spans="1:11" x14ac:dyDescent="0.25">
      <c r="A121" s="49">
        <f>'A) Base RI'!A122</f>
        <v>5591</v>
      </c>
      <c r="B121" s="284" t="str">
        <f>'A) Base RI'!B122</f>
        <v>Renens</v>
      </c>
      <c r="C121" s="95">
        <f>'B) D RI'!U122</f>
        <v>569784.47115027823</v>
      </c>
      <c r="D121" s="398">
        <f>IF('E) PCS'!G127/'K) Plafonnement aide'!C121&gt;0,'E) PCS'!G127/'K) Plafonnement aide'!C121,0)</f>
        <v>17.675814934259822</v>
      </c>
      <c r="E121" s="135">
        <f>'H) Péréquation directe'!I131/C121</f>
        <v>-27.732870354381689</v>
      </c>
      <c r="F121" s="398">
        <f>+'I) Dépenses thématiques'!U121</f>
        <v>-12.338039257030212</v>
      </c>
      <c r="G121" s="135">
        <f t="shared" si="5"/>
        <v>-22.39509467715208</v>
      </c>
      <c r="H121" s="109">
        <f t="shared" si="6"/>
        <v>-10.057055420121868</v>
      </c>
      <c r="I121" s="135">
        <f t="shared" si="7"/>
        <v>-2.057055420121868</v>
      </c>
      <c r="J121" s="55">
        <f t="shared" si="8"/>
        <v>1172078.234680952</v>
      </c>
      <c r="K121" s="36"/>
    </row>
    <row r="122" spans="1:11" x14ac:dyDescent="0.25">
      <c r="A122" s="49">
        <f>'A) Base RI'!A123</f>
        <v>5592</v>
      </c>
      <c r="B122" s="284" t="str">
        <f>'A) Base RI'!B123</f>
        <v>Romanel-sur-Lausanne</v>
      </c>
      <c r="C122" s="95">
        <f>'B) D RI'!U123</f>
        <v>121086.56368794327</v>
      </c>
      <c r="D122" s="398">
        <f>IF('E) PCS'!G128/'K) Plafonnement aide'!C122&gt;0,'E) PCS'!G128/'K) Plafonnement aide'!C122,0)</f>
        <v>19.359357756981389</v>
      </c>
      <c r="E122" s="135">
        <f>'H) Péréquation directe'!I132/C122</f>
        <v>2.0973992089964617</v>
      </c>
      <c r="F122" s="398">
        <f>+'I) Dépenses thématiques'!U122</f>
        <v>-2.0593190547133267</v>
      </c>
      <c r="G122" s="135">
        <f t="shared" si="5"/>
        <v>19.397437911264522</v>
      </c>
      <c r="H122" s="109">
        <f t="shared" si="6"/>
        <v>21.456756965977849</v>
      </c>
      <c r="I122" s="135">
        <f t="shared" si="7"/>
        <v>0</v>
      </c>
      <c r="J122" s="55">
        <f t="shared" si="8"/>
        <v>0</v>
      </c>
      <c r="K122" s="36"/>
    </row>
    <row r="123" spans="1:11" x14ac:dyDescent="0.25">
      <c r="A123" s="49">
        <f>'A) Base RI'!A124</f>
        <v>5601</v>
      </c>
      <c r="B123" s="284" t="str">
        <f>'A) Base RI'!B124</f>
        <v>Chexbres</v>
      </c>
      <c r="C123" s="95">
        <f>'B) D RI'!U124</f>
        <v>105973.06044444445</v>
      </c>
      <c r="D123" s="398">
        <f>IF('E) PCS'!G129/'K) Plafonnement aide'!C123&gt;0,'E) PCS'!G129/'K) Plafonnement aide'!C123,0)</f>
        <v>14.864142988898923</v>
      </c>
      <c r="E123" s="135">
        <f>'H) Péréquation directe'!I133/C123</f>
        <v>13.102688947281576</v>
      </c>
      <c r="F123" s="398">
        <f>+'I) Dépenses thématiques'!U123</f>
        <v>-2.7105061996762565</v>
      </c>
      <c r="G123" s="135">
        <f t="shared" si="5"/>
        <v>25.256325736504241</v>
      </c>
      <c r="H123" s="109">
        <f t="shared" si="6"/>
        <v>27.966831936180498</v>
      </c>
      <c r="I123" s="135">
        <f t="shared" si="7"/>
        <v>0</v>
      </c>
      <c r="J123" s="55">
        <f t="shared" si="8"/>
        <v>0</v>
      </c>
      <c r="K123" s="36"/>
    </row>
    <row r="124" spans="1:11" x14ac:dyDescent="0.25">
      <c r="A124" s="49">
        <f>'A) Base RI'!A125</f>
        <v>5604</v>
      </c>
      <c r="B124" s="284" t="str">
        <f>'A) Base RI'!B125</f>
        <v>Forel (Lavaux)</v>
      </c>
      <c r="C124" s="95">
        <f>'B) D RI'!U125</f>
        <v>75818.919130434777</v>
      </c>
      <c r="D124" s="398">
        <f>IF('E) PCS'!G130/'K) Plafonnement aide'!C124&gt;0,'E) PCS'!G130/'K) Plafonnement aide'!C124,0)</f>
        <v>15.166568574258143</v>
      </c>
      <c r="E124" s="135">
        <f>'H) Péréquation directe'!I134/C124</f>
        <v>5.304160911043116</v>
      </c>
      <c r="F124" s="398">
        <f>+'I) Dépenses thématiques'!U124</f>
        <v>-4.4589000884567573</v>
      </c>
      <c r="G124" s="135">
        <f t="shared" si="5"/>
        <v>16.011829396844501</v>
      </c>
      <c r="H124" s="109">
        <f t="shared" si="6"/>
        <v>20.470729485301259</v>
      </c>
      <c r="I124" s="135">
        <f t="shared" si="7"/>
        <v>0</v>
      </c>
      <c r="J124" s="55">
        <f t="shared" si="8"/>
        <v>0</v>
      </c>
      <c r="K124" s="36"/>
    </row>
    <row r="125" spans="1:11" x14ac:dyDescent="0.25">
      <c r="A125" s="49">
        <f>'A) Base RI'!A126</f>
        <v>5606</v>
      </c>
      <c r="B125" s="284" t="str">
        <f>'A) Base RI'!B126</f>
        <v>Lutry</v>
      </c>
      <c r="C125" s="95">
        <f>'B) D RI'!U126</f>
        <v>941137.19529100519</v>
      </c>
      <c r="D125" s="398">
        <f>IF('E) PCS'!G131/'K) Plafonnement aide'!C125&gt;0,'E) PCS'!G131/'K) Plafonnement aide'!C125,0)</f>
        <v>26.219424369833472</v>
      </c>
      <c r="E125" s="135">
        <f>'H) Péréquation directe'!I135/C125</f>
        <v>12.638099131358338</v>
      </c>
      <c r="F125" s="398">
        <f>+'I) Dépenses thématiques'!U125</f>
        <v>-2.2992782976608068</v>
      </c>
      <c r="G125" s="135">
        <f t="shared" si="5"/>
        <v>36.558245203531001</v>
      </c>
      <c r="H125" s="109">
        <f t="shared" si="6"/>
        <v>38.857523501191807</v>
      </c>
      <c r="I125" s="135">
        <f t="shared" si="7"/>
        <v>0</v>
      </c>
      <c r="J125" s="55">
        <f t="shared" si="8"/>
        <v>0</v>
      </c>
      <c r="K125" s="36"/>
    </row>
    <row r="126" spans="1:11" x14ac:dyDescent="0.25">
      <c r="A126" s="49">
        <f>'A) Base RI'!A127</f>
        <v>5607</v>
      </c>
      <c r="B126" s="284" t="str">
        <f>'A) Base RI'!B127</f>
        <v>Puidoux</v>
      </c>
      <c r="C126" s="95">
        <f>'B) D RI'!U127</f>
        <v>111580.38136464616</v>
      </c>
      <c r="D126" s="398">
        <f>IF('E) PCS'!G132/'K) Plafonnement aide'!C126&gt;0,'E) PCS'!G132/'K) Plafonnement aide'!C126,0)</f>
        <v>17.200089983591027</v>
      </c>
      <c r="E126" s="135">
        <f>'H) Péréquation directe'!I136/C126</f>
        <v>6.4902657604935339</v>
      </c>
      <c r="F126" s="398">
        <f>+'I) Dépenses thématiques'!U126</f>
        <v>-8.688422193538873</v>
      </c>
      <c r="G126" s="135">
        <f t="shared" si="5"/>
        <v>15.00193355054569</v>
      </c>
      <c r="H126" s="109">
        <f t="shared" si="6"/>
        <v>23.690355744084563</v>
      </c>
      <c r="I126" s="135">
        <f t="shared" si="7"/>
        <v>0</v>
      </c>
      <c r="J126" s="55">
        <f t="shared" si="8"/>
        <v>0</v>
      </c>
      <c r="K126" s="36"/>
    </row>
    <row r="127" spans="1:11" x14ac:dyDescent="0.25">
      <c r="A127" s="49">
        <f>'A) Base RI'!A128</f>
        <v>5609</v>
      </c>
      <c r="B127" s="284" t="str">
        <f>'A) Base RI'!B128</f>
        <v>Rivaz</v>
      </c>
      <c r="C127" s="95">
        <f>'B) D RI'!U128</f>
        <v>14896.510161290325</v>
      </c>
      <c r="D127" s="398">
        <f>IF('E) PCS'!G133/'K) Plafonnement aide'!C127&gt;0,'E) PCS'!G133/'K) Plafonnement aide'!C127,0)</f>
        <v>13.473612315506376</v>
      </c>
      <c r="E127" s="135">
        <f>'H) Péréquation directe'!I137/C127</f>
        <v>14.728085858701293</v>
      </c>
      <c r="F127" s="398">
        <f>+'I) Dépenses thématiques'!U127</f>
        <v>-3.3843959750564201</v>
      </c>
      <c r="G127" s="135">
        <f t="shared" si="5"/>
        <v>24.81730219915125</v>
      </c>
      <c r="H127" s="109">
        <f t="shared" si="6"/>
        <v>28.201698174207671</v>
      </c>
      <c r="I127" s="135">
        <f t="shared" si="7"/>
        <v>0</v>
      </c>
      <c r="J127" s="55">
        <f t="shared" si="8"/>
        <v>0</v>
      </c>
      <c r="K127" s="36"/>
    </row>
    <row r="128" spans="1:11" x14ac:dyDescent="0.25">
      <c r="A128" s="49">
        <f>'A) Base RI'!A129</f>
        <v>5610</v>
      </c>
      <c r="B128" s="284" t="str">
        <f>'A) Base RI'!B129</f>
        <v>St-Saphorin (Lavaux)</v>
      </c>
      <c r="C128" s="95">
        <f>'B) D RI'!U129</f>
        <v>23448.462152777778</v>
      </c>
      <c r="D128" s="398">
        <f>IF('E) PCS'!G134/'K) Plafonnement aide'!C128&gt;0,'E) PCS'!G134/'K) Plafonnement aide'!C128,0)</f>
        <v>27.328605143843852</v>
      </c>
      <c r="E128" s="135">
        <f>'H) Péréquation directe'!I138/C128</f>
        <v>16.547443806202818</v>
      </c>
      <c r="F128" s="398">
        <f>+'I) Dépenses thématiques'!U128</f>
        <v>-0.17256897518347372</v>
      </c>
      <c r="G128" s="135">
        <f t="shared" si="5"/>
        <v>43.703479974863193</v>
      </c>
      <c r="H128" s="109">
        <f t="shared" si="6"/>
        <v>43.876048950046666</v>
      </c>
      <c r="I128" s="135">
        <f t="shared" si="7"/>
        <v>0</v>
      </c>
      <c r="J128" s="55">
        <f t="shared" si="8"/>
        <v>0</v>
      </c>
      <c r="K128" s="36"/>
    </row>
    <row r="129" spans="1:11" x14ac:dyDescent="0.25">
      <c r="A129" s="49">
        <f>'A) Base RI'!A130</f>
        <v>5611</v>
      </c>
      <c r="B129" s="284" t="str">
        <f>'A) Base RI'!B130</f>
        <v>Savigny</v>
      </c>
      <c r="C129" s="95">
        <f>'B) D RI'!U130</f>
        <v>140983.13330917869</v>
      </c>
      <c r="D129" s="398">
        <f>IF('E) PCS'!G135/'K) Plafonnement aide'!C129&gt;0,'E) PCS'!G135/'K) Plafonnement aide'!C129,0)</f>
        <v>15.351122383878021</v>
      </c>
      <c r="E129" s="135">
        <f>'H) Péréquation directe'!I139/C129</f>
        <v>8.5259772720798015</v>
      </c>
      <c r="F129" s="398">
        <f>+'I) Dépenses thématiques'!U129</f>
        <v>-4.5465488324708447</v>
      </c>
      <c r="G129" s="135">
        <f t="shared" si="5"/>
        <v>19.330550823486977</v>
      </c>
      <c r="H129" s="109">
        <f t="shared" si="6"/>
        <v>23.877099655957821</v>
      </c>
      <c r="I129" s="135">
        <f t="shared" si="7"/>
        <v>0</v>
      </c>
      <c r="J129" s="55">
        <f t="shared" si="8"/>
        <v>0</v>
      </c>
      <c r="K129" s="36"/>
    </row>
    <row r="130" spans="1:11" x14ac:dyDescent="0.25">
      <c r="A130" s="49">
        <f>'A) Base RI'!A131</f>
        <v>5613</v>
      </c>
      <c r="B130" s="284" t="str">
        <f>'A) Base RI'!B131</f>
        <v>Bourg-en-Lavaux</v>
      </c>
      <c r="C130" s="95">
        <f>'B) D RI'!U131</f>
        <v>357210.57141333341</v>
      </c>
      <c r="D130" s="398">
        <f>IF('E) PCS'!G136/'K) Plafonnement aide'!C130&gt;0,'E) PCS'!G136/'K) Plafonnement aide'!C130,0)</f>
        <v>19.26356658946635</v>
      </c>
      <c r="E130" s="135">
        <f>'H) Péréquation directe'!I140/C130</f>
        <v>12.940254555183444</v>
      </c>
      <c r="F130" s="398">
        <f>+'I) Dépenses thématiques'!U130</f>
        <v>0</v>
      </c>
      <c r="G130" s="135">
        <f t="shared" si="5"/>
        <v>32.203821144649794</v>
      </c>
      <c r="H130" s="109">
        <f t="shared" si="6"/>
        <v>32.203821144649794</v>
      </c>
      <c r="I130" s="135">
        <f t="shared" si="7"/>
        <v>0</v>
      </c>
      <c r="J130" s="55">
        <f t="shared" si="8"/>
        <v>0</v>
      </c>
      <c r="K130" s="36"/>
    </row>
    <row r="131" spans="1:11" x14ac:dyDescent="0.25">
      <c r="A131" s="49">
        <f>'A) Base RI'!A132</f>
        <v>5621</v>
      </c>
      <c r="B131" s="284" t="str">
        <f>'A) Base RI'!B132</f>
        <v>Aclens</v>
      </c>
      <c r="C131" s="95">
        <f>'B) D RI'!U132</f>
        <v>32271.293782991204</v>
      </c>
      <c r="D131" s="398">
        <f>IF('E) PCS'!G137/'K) Plafonnement aide'!C131&gt;0,'E) PCS'!G137/'K) Plafonnement aide'!C131,0)</f>
        <v>22.086049518507018</v>
      </c>
      <c r="E131" s="135">
        <f>'H) Péréquation directe'!I141/C131</f>
        <v>16.655684481182867</v>
      </c>
      <c r="F131" s="398">
        <f>+'I) Dépenses thématiques'!U131</f>
        <v>-1.1152090010416977</v>
      </c>
      <c r="G131" s="135">
        <f t="shared" si="5"/>
        <v>37.626524998648186</v>
      </c>
      <c r="H131" s="109">
        <f t="shared" si="6"/>
        <v>38.741733999689885</v>
      </c>
      <c r="I131" s="135">
        <f t="shared" si="7"/>
        <v>0</v>
      </c>
      <c r="J131" s="55">
        <f t="shared" si="8"/>
        <v>0</v>
      </c>
      <c r="K131" s="36"/>
    </row>
    <row r="132" spans="1:11" x14ac:dyDescent="0.25">
      <c r="A132" s="49">
        <f>'A) Base RI'!A133</f>
        <v>5622</v>
      </c>
      <c r="B132" s="284" t="str">
        <f>'A) Base RI'!B133</f>
        <v>Bremblens</v>
      </c>
      <c r="C132" s="95">
        <f>'B) D RI'!U133</f>
        <v>28643.938676470589</v>
      </c>
      <c r="D132" s="398">
        <f>IF('E) PCS'!G138/'K) Plafonnement aide'!C132&gt;0,'E) PCS'!G138/'K) Plafonnement aide'!C132,0)</f>
        <v>16.170465064246251</v>
      </c>
      <c r="E132" s="135">
        <f>'H) Péréquation directe'!I142/C132</f>
        <v>15.541548373511155</v>
      </c>
      <c r="F132" s="398">
        <f>+'I) Dépenses thématiques'!U132</f>
        <v>-0.35097714929248724</v>
      </c>
      <c r="G132" s="135">
        <f t="shared" si="5"/>
        <v>31.36103628846492</v>
      </c>
      <c r="H132" s="109">
        <f t="shared" si="6"/>
        <v>31.712013437757406</v>
      </c>
      <c r="I132" s="135">
        <f t="shared" si="7"/>
        <v>0</v>
      </c>
      <c r="J132" s="55">
        <f t="shared" si="8"/>
        <v>0</v>
      </c>
      <c r="K132" s="36"/>
    </row>
    <row r="133" spans="1:11" x14ac:dyDescent="0.25">
      <c r="A133" s="49">
        <f>'A) Base RI'!A134</f>
        <v>5623</v>
      </c>
      <c r="B133" s="284" t="str">
        <f>'A) Base RI'!B134</f>
        <v>Buchillon</v>
      </c>
      <c r="C133" s="95">
        <f>'B) D RI'!U134</f>
        <v>89231.951153846152</v>
      </c>
      <c r="D133" s="398">
        <f>IF('E) PCS'!G139/'K) Plafonnement aide'!C133&gt;0,'E) PCS'!G139/'K) Plafonnement aide'!C133,0)</f>
        <v>26.820810572982399</v>
      </c>
      <c r="E133" s="135">
        <f>'H) Péréquation directe'!I143/C133</f>
        <v>17.718930267881522</v>
      </c>
      <c r="F133" s="398">
        <f>+'I) Dépenses thématiques'!U133</f>
        <v>0</v>
      </c>
      <c r="G133" s="135">
        <f t="shared" si="5"/>
        <v>44.539740840863921</v>
      </c>
      <c r="H133" s="109">
        <f t="shared" si="6"/>
        <v>44.539740840863921</v>
      </c>
      <c r="I133" s="135">
        <f t="shared" si="7"/>
        <v>0</v>
      </c>
      <c r="J133" s="55">
        <f t="shared" si="8"/>
        <v>0</v>
      </c>
      <c r="K133" s="36"/>
    </row>
    <row r="134" spans="1:11" x14ac:dyDescent="0.25">
      <c r="A134" s="49">
        <f>'A) Base RI'!A135</f>
        <v>5624</v>
      </c>
      <c r="B134" s="284" t="str">
        <f>'A) Base RI'!B135</f>
        <v>Bussigny</v>
      </c>
      <c r="C134" s="95">
        <f>'B) D RI'!U135</f>
        <v>441979.60352000006</v>
      </c>
      <c r="D134" s="398">
        <f>IF('E) PCS'!G140/'K) Plafonnement aide'!C134&gt;0,'E) PCS'!G140/'K) Plafonnement aide'!C134,0)</f>
        <v>17.431150190072525</v>
      </c>
      <c r="E134" s="135">
        <f>'H) Péréquation directe'!I144/C134</f>
        <v>4.798123601790472</v>
      </c>
      <c r="F134" s="398">
        <f>+'I) Dépenses thématiques'!U134</f>
        <v>-3.141426760018283</v>
      </c>
      <c r="G134" s="135">
        <f t="shared" si="5"/>
        <v>19.087847031844714</v>
      </c>
      <c r="H134" s="109">
        <f t="shared" si="6"/>
        <v>22.229273791862997</v>
      </c>
      <c r="I134" s="135">
        <f t="shared" si="7"/>
        <v>0</v>
      </c>
      <c r="J134" s="55">
        <f t="shared" si="8"/>
        <v>0</v>
      </c>
      <c r="K134" s="36"/>
    </row>
    <row r="135" spans="1:11" x14ac:dyDescent="0.25">
      <c r="A135" s="49">
        <f>'A) Base RI'!A136</f>
        <v>5625</v>
      </c>
      <c r="B135" s="284" t="str">
        <f>'A) Base RI'!B136</f>
        <v>Bussy-Chardonney</v>
      </c>
      <c r="C135" s="95">
        <f>'B) D RI'!U136</f>
        <v>21108.495740740738</v>
      </c>
      <c r="D135" s="398">
        <f>IF('E) PCS'!G141/'K) Plafonnement aide'!C135&gt;0,'E) PCS'!G141/'K) Plafonnement aide'!C135,0)</f>
        <v>13.594407527896557</v>
      </c>
      <c r="E135" s="135">
        <f>'H) Péréquation directe'!I145/C135</f>
        <v>16.219342003860561</v>
      </c>
      <c r="F135" s="398">
        <f>+'I) Dépenses thématiques'!U135</f>
        <v>-11.582233455114798</v>
      </c>
      <c r="G135" s="135">
        <f t="shared" ref="G135:G198" si="9">SUM(D135:F135)</f>
        <v>18.231516076642322</v>
      </c>
      <c r="H135" s="109">
        <f t="shared" ref="H135:H198" si="10">G135-F135</f>
        <v>29.813749531757118</v>
      </c>
      <c r="I135" s="135">
        <f t="shared" ref="I135:I198" si="11">IF(H135&lt;I$5,H135-I$5,0)</f>
        <v>0</v>
      </c>
      <c r="J135" s="55">
        <f t="shared" ref="J135:J198" si="12">-I135*C135</f>
        <v>0</v>
      </c>
      <c r="K135" s="36"/>
    </row>
    <row r="136" spans="1:11" x14ac:dyDescent="0.25">
      <c r="A136" s="49">
        <f>'A) Base RI'!A137</f>
        <v>5627</v>
      </c>
      <c r="B136" s="284" t="str">
        <f>'A) Base RI'!B137</f>
        <v>Chavannes-près-Renens</v>
      </c>
      <c r="C136" s="95">
        <f>'B) D RI'!U137</f>
        <v>194072.91458064516</v>
      </c>
      <c r="D136" s="398">
        <f>IF('E) PCS'!G142/'K) Plafonnement aide'!C136&gt;0,'E) PCS'!G142/'K) Plafonnement aide'!C136,0)</f>
        <v>17.683145216497834</v>
      </c>
      <c r="E136" s="135">
        <f>'H) Péréquation directe'!I146/C136</f>
        <v>-30.800946052670152</v>
      </c>
      <c r="F136" s="398">
        <f>+'I) Dépenses thématiques'!U136</f>
        <v>-9.771114978170413</v>
      </c>
      <c r="G136" s="135">
        <f t="shared" si="9"/>
        <v>-22.888915814342731</v>
      </c>
      <c r="H136" s="109">
        <f t="shared" si="10"/>
        <v>-13.117800836172318</v>
      </c>
      <c r="I136" s="135">
        <f t="shared" si="11"/>
        <v>-5.117800836172318</v>
      </c>
      <c r="J136" s="55">
        <f t="shared" si="12"/>
        <v>993226.52451922465</v>
      </c>
      <c r="K136" s="36"/>
    </row>
    <row r="137" spans="1:11" x14ac:dyDescent="0.25">
      <c r="A137" s="49">
        <f>'A) Base RI'!A138</f>
        <v>5628</v>
      </c>
      <c r="B137" s="284" t="str">
        <f>'A) Base RI'!B138</f>
        <v>Chigny</v>
      </c>
      <c r="C137" s="95">
        <f>'B) D RI'!U138</f>
        <v>25790.901129032256</v>
      </c>
      <c r="D137" s="398">
        <f>IF('E) PCS'!G143/'K) Plafonnement aide'!C137&gt;0,'E) PCS'!G143/'K) Plafonnement aide'!C137,0)</f>
        <v>16.775444970563523</v>
      </c>
      <c r="E137" s="135">
        <f>'H) Péréquation directe'!I147/C137</f>
        <v>16.69525687859727</v>
      </c>
      <c r="F137" s="398">
        <f>+'I) Dépenses thématiques'!U137</f>
        <v>0</v>
      </c>
      <c r="G137" s="135">
        <f t="shared" si="9"/>
        <v>33.47070184916079</v>
      </c>
      <c r="H137" s="109">
        <f t="shared" si="10"/>
        <v>33.47070184916079</v>
      </c>
      <c r="I137" s="135">
        <f t="shared" si="11"/>
        <v>0</v>
      </c>
      <c r="J137" s="55">
        <f t="shared" si="12"/>
        <v>0</v>
      </c>
      <c r="K137" s="36"/>
    </row>
    <row r="138" spans="1:11" x14ac:dyDescent="0.25">
      <c r="A138" s="49">
        <f>'A) Base RI'!A139</f>
        <v>5629</v>
      </c>
      <c r="B138" s="284" t="str">
        <f>'A) Base RI'!B139</f>
        <v>Clarmont</v>
      </c>
      <c r="C138" s="95">
        <f>'B) D RI'!U139</f>
        <v>9948.0614965986406</v>
      </c>
      <c r="D138" s="398">
        <f>IF('E) PCS'!G144/'K) Plafonnement aide'!C138&gt;0,'E) PCS'!G144/'K) Plafonnement aide'!C138,0)</f>
        <v>13.557140519272982</v>
      </c>
      <c r="E138" s="135">
        <f>'H) Péréquation directe'!I148/C138</f>
        <v>15.440457694807993</v>
      </c>
      <c r="F138" s="398">
        <f>+'I) Dépenses thématiques'!U138</f>
        <v>-4.9103668123794844</v>
      </c>
      <c r="G138" s="135">
        <f t="shared" si="9"/>
        <v>24.087231401701487</v>
      </c>
      <c r="H138" s="109">
        <f t="shared" si="10"/>
        <v>28.997598214080973</v>
      </c>
      <c r="I138" s="135">
        <f t="shared" si="11"/>
        <v>0</v>
      </c>
      <c r="J138" s="55">
        <f t="shared" si="12"/>
        <v>0</v>
      </c>
      <c r="K138" s="36"/>
    </row>
    <row r="139" spans="1:11" x14ac:dyDescent="0.25">
      <c r="A139" s="49">
        <f>'A) Base RI'!A140</f>
        <v>5631</v>
      </c>
      <c r="B139" s="284" t="str">
        <f>'A) Base RI'!B140</f>
        <v>Denens</v>
      </c>
      <c r="C139" s="95">
        <f>'B) D RI'!U140</f>
        <v>43290.229264705871</v>
      </c>
      <c r="D139" s="398">
        <f>IF('E) PCS'!G145/'K) Plafonnement aide'!C139&gt;0,'E) PCS'!G145/'K) Plafonnement aide'!C139,0)</f>
        <v>21.014949215580224</v>
      </c>
      <c r="E139" s="135">
        <f>'H) Péréquation directe'!I149/C139</f>
        <v>16.541939137258161</v>
      </c>
      <c r="F139" s="398">
        <f>+'I) Dépenses thématiques'!U139</f>
        <v>0</v>
      </c>
      <c r="G139" s="135">
        <f t="shared" si="9"/>
        <v>37.556888352838385</v>
      </c>
      <c r="H139" s="109">
        <f t="shared" si="10"/>
        <v>37.556888352838385</v>
      </c>
      <c r="I139" s="135">
        <f t="shared" si="11"/>
        <v>0</v>
      </c>
      <c r="J139" s="55">
        <f t="shared" si="12"/>
        <v>0</v>
      </c>
      <c r="K139" s="36"/>
    </row>
    <row r="140" spans="1:11" x14ac:dyDescent="0.25">
      <c r="A140" s="49">
        <f>'A) Base RI'!A141</f>
        <v>5632</v>
      </c>
      <c r="B140" s="284" t="str">
        <f>'A) Base RI'!B141</f>
        <v>Denges</v>
      </c>
      <c r="C140" s="95">
        <f>'B) D RI'!U141</f>
        <v>80521.21435483871</v>
      </c>
      <c r="D140" s="398">
        <f>IF('E) PCS'!G146/'K) Plafonnement aide'!C140&gt;0,'E) PCS'!G146/'K) Plafonnement aide'!C140,0)</f>
        <v>15.155336862295973</v>
      </c>
      <c r="E140" s="135">
        <f>'H) Péréquation directe'!I150/C140</f>
        <v>13.140133365493195</v>
      </c>
      <c r="F140" s="398">
        <f>+'I) Dépenses thématiques'!U140</f>
        <v>-1.3079002187780491</v>
      </c>
      <c r="G140" s="135">
        <f t="shared" si="9"/>
        <v>26.987570009011119</v>
      </c>
      <c r="H140" s="109">
        <f t="shared" si="10"/>
        <v>28.295470227789167</v>
      </c>
      <c r="I140" s="135">
        <f t="shared" si="11"/>
        <v>0</v>
      </c>
      <c r="J140" s="55">
        <f t="shared" si="12"/>
        <v>0</v>
      </c>
      <c r="K140" s="36"/>
    </row>
    <row r="141" spans="1:11" x14ac:dyDescent="0.25">
      <c r="A141" s="49">
        <f>'A) Base RI'!A142</f>
        <v>5633</v>
      </c>
      <c r="B141" s="284" t="str">
        <f>'A) Base RI'!B142</f>
        <v>Echandens</v>
      </c>
      <c r="C141" s="95">
        <f>'B) D RI'!U142</f>
        <v>168845.50793388431</v>
      </c>
      <c r="D141" s="398">
        <f>IF('E) PCS'!G147/'K) Plafonnement aide'!C141&gt;0,'E) PCS'!G147/'K) Plafonnement aide'!C141,0)</f>
        <v>16.874308481224052</v>
      </c>
      <c r="E141" s="135">
        <f>'H) Péréquation directe'!I151/C141</f>
        <v>14.243380954653601</v>
      </c>
      <c r="F141" s="398">
        <f>+'I) Dépenses thématiques'!U141</f>
        <v>-3.5744078109144519</v>
      </c>
      <c r="G141" s="135">
        <f t="shared" si="9"/>
        <v>27.5432816249632</v>
      </c>
      <c r="H141" s="109">
        <f t="shared" si="10"/>
        <v>31.117689435877651</v>
      </c>
      <c r="I141" s="135">
        <f t="shared" si="11"/>
        <v>0</v>
      </c>
      <c r="J141" s="55">
        <f t="shared" si="12"/>
        <v>0</v>
      </c>
      <c r="K141" s="36"/>
    </row>
    <row r="142" spans="1:11" x14ac:dyDescent="0.25">
      <c r="A142" s="49">
        <f>'A) Base RI'!A143</f>
        <v>5634</v>
      </c>
      <c r="B142" s="284" t="str">
        <f>'A) Base RI'!B143</f>
        <v>Echichens</v>
      </c>
      <c r="C142" s="95">
        <f>'B) D RI'!U143</f>
        <v>152568.89227272727</v>
      </c>
      <c r="D142" s="398">
        <f>IF('E) PCS'!G148/'K) Plafonnement aide'!C142&gt;0,'E) PCS'!G148/'K) Plafonnement aide'!C142,0)</f>
        <v>15.791656979330547</v>
      </c>
      <c r="E142" s="135">
        <f>'H) Péréquation directe'!I152/C142</f>
        <v>12.793268545370225</v>
      </c>
      <c r="F142" s="398">
        <f>+'I) Dépenses thématiques'!U142</f>
        <v>-0.82197225460261003</v>
      </c>
      <c r="G142" s="135">
        <f t="shared" si="9"/>
        <v>27.762953270098162</v>
      </c>
      <c r="H142" s="109">
        <f t="shared" si="10"/>
        <v>28.584925524700772</v>
      </c>
      <c r="I142" s="135">
        <f t="shared" si="11"/>
        <v>0</v>
      </c>
      <c r="J142" s="55">
        <f t="shared" si="12"/>
        <v>0</v>
      </c>
      <c r="K142" s="36"/>
    </row>
    <row r="143" spans="1:11" x14ac:dyDescent="0.25">
      <c r="A143" s="49">
        <f>'A) Base RI'!A144</f>
        <v>5635</v>
      </c>
      <c r="B143" s="284" t="str">
        <f>'A) Base RI'!B144</f>
        <v>Ecublens</v>
      </c>
      <c r="C143" s="95">
        <f>'B) D RI'!U144</f>
        <v>872367.07997333352</v>
      </c>
      <c r="D143" s="398">
        <f>IF('E) PCS'!G149/'K) Plafonnement aide'!C143&gt;0,'E) PCS'!G149/'K) Plafonnement aide'!C143,0)</f>
        <v>18.711759121413085</v>
      </c>
      <c r="E143" s="135">
        <f>'H) Péréquation directe'!I153/C143</f>
        <v>9.514793045354514</v>
      </c>
      <c r="F143" s="398">
        <f>+'I) Dépenses thématiques'!U143</f>
        <v>-1.4463788227755783</v>
      </c>
      <c r="G143" s="135">
        <f t="shared" si="9"/>
        <v>26.780173343992018</v>
      </c>
      <c r="H143" s="109">
        <f t="shared" si="10"/>
        <v>28.226552166767597</v>
      </c>
      <c r="I143" s="135">
        <f t="shared" si="11"/>
        <v>0</v>
      </c>
      <c r="J143" s="55">
        <f t="shared" si="12"/>
        <v>0</v>
      </c>
      <c r="K143" s="36"/>
    </row>
    <row r="144" spans="1:11" x14ac:dyDescent="0.25">
      <c r="A144" s="49">
        <f>'A) Base RI'!A145</f>
        <v>5636</v>
      </c>
      <c r="B144" s="284" t="str">
        <f>'A) Base RI'!B145</f>
        <v>Etoy</v>
      </c>
      <c r="C144" s="95">
        <f>'B) D RI'!U145</f>
        <v>187063.54000000004</v>
      </c>
      <c r="D144" s="398">
        <f>IF('E) PCS'!G150/'K) Plafonnement aide'!C144&gt;0,'E) PCS'!G150/'K) Plafonnement aide'!C144,0)</f>
        <v>21.637094951471632</v>
      </c>
      <c r="E144" s="135">
        <f>'H) Péréquation directe'!I154/C144</f>
        <v>14.40593165710729</v>
      </c>
      <c r="F144" s="398">
        <f>+'I) Dépenses thématiques'!U144</f>
        <v>0</v>
      </c>
      <c r="G144" s="135">
        <f t="shared" si="9"/>
        <v>36.04302660857892</v>
      </c>
      <c r="H144" s="109">
        <f t="shared" si="10"/>
        <v>36.04302660857892</v>
      </c>
      <c r="I144" s="135">
        <f t="shared" si="11"/>
        <v>0</v>
      </c>
      <c r="J144" s="55">
        <f t="shared" si="12"/>
        <v>0</v>
      </c>
      <c r="K144" s="36"/>
    </row>
    <row r="145" spans="1:11" x14ac:dyDescent="0.25">
      <c r="A145" s="49">
        <f>'A) Base RI'!A146</f>
        <v>5637</v>
      </c>
      <c r="B145" s="284" t="str">
        <f>'A) Base RI'!B146</f>
        <v>Lavigny</v>
      </c>
      <c r="C145" s="95">
        <f>'B) D RI'!U146</f>
        <v>37900.997397260275</v>
      </c>
      <c r="D145" s="398">
        <f>IF('E) PCS'!G151/'K) Plafonnement aide'!C145&gt;0,'E) PCS'!G151/'K) Plafonnement aide'!C145,0)</f>
        <v>18.62728530924328</v>
      </c>
      <c r="E145" s="135">
        <f>'H) Péréquation directe'!I155/C145</f>
        <v>8.5275076058863313</v>
      </c>
      <c r="F145" s="398">
        <f>+'I) Dépenses thématiques'!U145</f>
        <v>-3.0234300806216177</v>
      </c>
      <c r="G145" s="135">
        <f t="shared" si="9"/>
        <v>24.131362834507993</v>
      </c>
      <c r="H145" s="109">
        <f t="shared" si="10"/>
        <v>27.154792915129612</v>
      </c>
      <c r="I145" s="135">
        <f t="shared" si="11"/>
        <v>0</v>
      </c>
      <c r="J145" s="55">
        <f t="shared" si="12"/>
        <v>0</v>
      </c>
      <c r="K145" s="36"/>
    </row>
    <row r="146" spans="1:11" x14ac:dyDescent="0.25">
      <c r="A146" s="49">
        <f>'A) Base RI'!A147</f>
        <v>5638</v>
      </c>
      <c r="B146" s="284" t="str">
        <f>'A) Base RI'!B147</f>
        <v>Lonay</v>
      </c>
      <c r="C146" s="95">
        <f>'B) D RI'!U147</f>
        <v>174162.36418181815</v>
      </c>
      <c r="D146" s="398">
        <f>IF('E) PCS'!G152/'K) Plafonnement aide'!C146&gt;0,'E) PCS'!G152/'K) Plafonnement aide'!C146,0)</f>
        <v>39.502681819339728</v>
      </c>
      <c r="E146" s="135">
        <f>'H) Péréquation directe'!I156/C146</f>
        <v>14.42616922267645</v>
      </c>
      <c r="F146" s="398">
        <f>+'I) Dépenses thématiques'!U146</f>
        <v>-2.11793786012236</v>
      </c>
      <c r="G146" s="135">
        <f t="shared" si="9"/>
        <v>51.810913181893817</v>
      </c>
      <c r="H146" s="109">
        <f t="shared" si="10"/>
        <v>53.928851042016177</v>
      </c>
      <c r="I146" s="135">
        <f t="shared" si="11"/>
        <v>0</v>
      </c>
      <c r="J146" s="55">
        <f t="shared" si="12"/>
        <v>0</v>
      </c>
      <c r="K146" s="36"/>
    </row>
    <row r="147" spans="1:11" x14ac:dyDescent="0.25">
      <c r="A147" s="49">
        <f>'A) Base RI'!A148</f>
        <v>5639</v>
      </c>
      <c r="B147" s="284" t="str">
        <f>'A) Base RI'!B148</f>
        <v>Lully</v>
      </c>
      <c r="C147" s="95">
        <f>'B) D RI'!U148</f>
        <v>53711.269344262299</v>
      </c>
      <c r="D147" s="398">
        <f>IF('E) PCS'!G153/'K) Plafonnement aide'!C147&gt;0,'E) PCS'!G153/'K) Plafonnement aide'!C147,0)</f>
        <v>17.734663113770939</v>
      </c>
      <c r="E147" s="135">
        <f>'H) Péréquation directe'!I157/C147</f>
        <v>16.731116226486492</v>
      </c>
      <c r="F147" s="398">
        <f>+'I) Dépenses thématiques'!U147</f>
        <v>0</v>
      </c>
      <c r="G147" s="135">
        <f t="shared" si="9"/>
        <v>34.465779340257427</v>
      </c>
      <c r="H147" s="109">
        <f t="shared" si="10"/>
        <v>34.465779340257427</v>
      </c>
      <c r="I147" s="135">
        <f t="shared" si="11"/>
        <v>0</v>
      </c>
      <c r="J147" s="55">
        <f t="shared" si="12"/>
        <v>0</v>
      </c>
      <c r="K147" s="36"/>
    </row>
    <row r="148" spans="1:11" x14ac:dyDescent="0.25">
      <c r="A148" s="49">
        <f>'A) Base RI'!A149</f>
        <v>5640</v>
      </c>
      <c r="B148" s="284" t="str">
        <f>'A) Base RI'!B149</f>
        <v>Lussy-sur-Morges</v>
      </c>
      <c r="C148" s="95">
        <f>'B) D RI'!U149</f>
        <v>70527.814108527149</v>
      </c>
      <c r="D148" s="398">
        <f>IF('E) PCS'!G154/'K) Plafonnement aide'!C148&gt;0,'E) PCS'!G154/'K) Plafonnement aide'!C148,0)</f>
        <v>27.920996144846299</v>
      </c>
      <c r="E148" s="135">
        <f>'H) Péréquation directe'!I158/C148</f>
        <v>17.345308547469852</v>
      </c>
      <c r="F148" s="398">
        <f>+'I) Dépenses thématiques'!U148</f>
        <v>0</v>
      </c>
      <c r="G148" s="135">
        <f t="shared" si="9"/>
        <v>45.266304692316155</v>
      </c>
      <c r="H148" s="109">
        <f t="shared" si="10"/>
        <v>45.266304692316155</v>
      </c>
      <c r="I148" s="135">
        <f t="shared" si="11"/>
        <v>0</v>
      </c>
      <c r="J148" s="55">
        <f t="shared" si="12"/>
        <v>0</v>
      </c>
      <c r="K148" s="36"/>
    </row>
    <row r="149" spans="1:11" x14ac:dyDescent="0.25">
      <c r="A149" s="49">
        <f>'A) Base RI'!A150</f>
        <v>5642</v>
      </c>
      <c r="B149" s="284" t="str">
        <f>'A) Base RI'!B150</f>
        <v>Morges</v>
      </c>
      <c r="C149" s="95">
        <f>'B) D RI'!U150</f>
        <v>999726.82119402988</v>
      </c>
      <c r="D149" s="398">
        <f>IF('E) PCS'!G155/'K) Plafonnement aide'!C149&gt;0,'E) PCS'!G155/'K) Plafonnement aide'!C149,0)</f>
        <v>17.903124607443758</v>
      </c>
      <c r="E149" s="135">
        <f>'H) Péréquation directe'!I159/C149</f>
        <v>6.9204039117239056</v>
      </c>
      <c r="F149" s="398">
        <f>+'I) Dépenses thématiques'!U149</f>
        <v>0</v>
      </c>
      <c r="G149" s="135">
        <f t="shared" si="9"/>
        <v>24.823528519167663</v>
      </c>
      <c r="H149" s="109">
        <f t="shared" si="10"/>
        <v>24.823528519167663</v>
      </c>
      <c r="I149" s="135">
        <f t="shared" si="11"/>
        <v>0</v>
      </c>
      <c r="J149" s="55">
        <f t="shared" si="12"/>
        <v>0</v>
      </c>
      <c r="K149" s="36"/>
    </row>
    <row r="150" spans="1:11" x14ac:dyDescent="0.25">
      <c r="A150" s="49">
        <f>'A) Base RI'!A151</f>
        <v>5643</v>
      </c>
      <c r="B150" s="284" t="str">
        <f>'A) Base RI'!B151</f>
        <v>Préverenges</v>
      </c>
      <c r="C150" s="95">
        <f>'B) D RI'!U151</f>
        <v>257752.82112000001</v>
      </c>
      <c r="D150" s="398">
        <f>IF('E) PCS'!G156/'K) Plafonnement aide'!C150&gt;0,'E) PCS'!G156/'K) Plafonnement aide'!C150,0)</f>
        <v>14.419371590017022</v>
      </c>
      <c r="E150" s="135">
        <f>'H) Péréquation directe'!I160/C150</f>
        <v>11.104817807431131</v>
      </c>
      <c r="F150" s="398">
        <f>+'I) Dépenses thématiques'!U150</f>
        <v>0</v>
      </c>
      <c r="G150" s="135">
        <f t="shared" si="9"/>
        <v>25.524189397448154</v>
      </c>
      <c r="H150" s="109">
        <f t="shared" si="10"/>
        <v>25.524189397448154</v>
      </c>
      <c r="I150" s="135">
        <f t="shared" si="11"/>
        <v>0</v>
      </c>
      <c r="J150" s="55">
        <f t="shared" si="12"/>
        <v>0</v>
      </c>
      <c r="K150" s="36"/>
    </row>
    <row r="151" spans="1:11" x14ac:dyDescent="0.25">
      <c r="A151" s="49">
        <f>'A) Base RI'!A152</f>
        <v>5644</v>
      </c>
      <c r="B151" s="284" t="str">
        <f>'A) Base RI'!B152</f>
        <v>Reverolle</v>
      </c>
      <c r="C151" s="95">
        <f>'B) D RI'!U152</f>
        <v>16363.457972972968</v>
      </c>
      <c r="D151" s="398">
        <f>IF('E) PCS'!G157/'K) Plafonnement aide'!C151&gt;0,'E) PCS'!G157/'K) Plafonnement aide'!C151,0)</f>
        <v>13.516943328041885</v>
      </c>
      <c r="E151" s="135">
        <f>'H) Péréquation directe'!I161/C151</f>
        <v>11.389181517933665</v>
      </c>
      <c r="F151" s="398">
        <f>+'I) Dépenses thématiques'!U151</f>
        <v>-19.751555734490115</v>
      </c>
      <c r="G151" s="135">
        <f t="shared" si="9"/>
        <v>5.1545691114854328</v>
      </c>
      <c r="H151" s="109">
        <f t="shared" si="10"/>
        <v>24.906124845975548</v>
      </c>
      <c r="I151" s="135">
        <f t="shared" si="11"/>
        <v>0</v>
      </c>
      <c r="J151" s="55">
        <f t="shared" si="12"/>
        <v>0</v>
      </c>
      <c r="K151" s="36"/>
    </row>
    <row r="152" spans="1:11" x14ac:dyDescent="0.25">
      <c r="A152" s="49">
        <f>'A) Base RI'!A153</f>
        <v>5645</v>
      </c>
      <c r="B152" s="284" t="str">
        <f>'A) Base RI'!B153</f>
        <v>Romanel-sur-Morges</v>
      </c>
      <c r="C152" s="95">
        <f>'B) D RI'!U153</f>
        <v>26586.021785714285</v>
      </c>
      <c r="D152" s="398">
        <f>IF('E) PCS'!G158/'K) Plafonnement aide'!C152&gt;0,'E) PCS'!G158/'K) Plafonnement aide'!C152,0)</f>
        <v>18.161910425760979</v>
      </c>
      <c r="E152" s="135">
        <f>'H) Péréquation directe'!I162/C152</f>
        <v>16.467616400828469</v>
      </c>
      <c r="F152" s="398">
        <f>+'I) Dépenses thématiques'!U152</f>
        <v>-8.8249113615170086E-3</v>
      </c>
      <c r="G152" s="135">
        <f t="shared" si="9"/>
        <v>34.620701915227933</v>
      </c>
      <c r="H152" s="109">
        <f t="shared" si="10"/>
        <v>34.629526826589448</v>
      </c>
      <c r="I152" s="135">
        <f t="shared" si="11"/>
        <v>0</v>
      </c>
      <c r="J152" s="55">
        <f t="shared" si="12"/>
        <v>0</v>
      </c>
      <c r="K152" s="36"/>
    </row>
    <row r="153" spans="1:11" x14ac:dyDescent="0.25">
      <c r="A153" s="49">
        <f>'A) Base RI'!A154</f>
        <v>5646</v>
      </c>
      <c r="B153" s="284" t="str">
        <f>'A) Base RI'!B154</f>
        <v>Saint-Prex</v>
      </c>
      <c r="C153" s="95">
        <f>'B) D RI'!U154</f>
        <v>527982.74983050849</v>
      </c>
      <c r="D153" s="398">
        <f>IF('E) PCS'!G159/'K) Plafonnement aide'!C153&gt;0,'E) PCS'!G159/'K) Plafonnement aide'!C153,0)</f>
        <v>24.523480624485185</v>
      </c>
      <c r="E153" s="135">
        <f>'H) Péréquation directe'!I163/C153</f>
        <v>14.222468513346284</v>
      </c>
      <c r="F153" s="398">
        <f>+'I) Dépenses thématiques'!U153</f>
        <v>0</v>
      </c>
      <c r="G153" s="135">
        <f t="shared" si="9"/>
        <v>38.745949137831467</v>
      </c>
      <c r="H153" s="109">
        <f t="shared" si="10"/>
        <v>38.745949137831467</v>
      </c>
      <c r="I153" s="135">
        <f t="shared" si="11"/>
        <v>0</v>
      </c>
      <c r="J153" s="55">
        <f t="shared" si="12"/>
        <v>0</v>
      </c>
      <c r="K153" s="36"/>
    </row>
    <row r="154" spans="1:11" x14ac:dyDescent="0.25">
      <c r="A154" s="49">
        <f>'A) Base RI'!A155</f>
        <v>5648</v>
      </c>
      <c r="B154" s="284" t="str">
        <f>'A) Base RI'!B155</f>
        <v>Saint-Sulpice</v>
      </c>
      <c r="C154" s="95">
        <f>'B) D RI'!U155</f>
        <v>394426.68886363629</v>
      </c>
      <c r="D154" s="398">
        <f>IF('E) PCS'!G160/'K) Plafonnement aide'!C154&gt;0,'E) PCS'!G160/'K) Plafonnement aide'!C154,0)</f>
        <v>22.366708224388908</v>
      </c>
      <c r="E154" s="135">
        <f>'H) Péréquation directe'!I164/C154</f>
        <v>14.122577510758786</v>
      </c>
      <c r="F154" s="398">
        <f>+'I) Dépenses thématiques'!U154</f>
        <v>0</v>
      </c>
      <c r="G154" s="135">
        <f t="shared" si="9"/>
        <v>36.489285735147696</v>
      </c>
      <c r="H154" s="109">
        <f t="shared" si="10"/>
        <v>36.489285735147696</v>
      </c>
      <c r="I154" s="135">
        <f t="shared" si="11"/>
        <v>0</v>
      </c>
      <c r="J154" s="55">
        <f t="shared" si="12"/>
        <v>0</v>
      </c>
      <c r="K154" s="36"/>
    </row>
    <row r="155" spans="1:11" x14ac:dyDescent="0.25">
      <c r="A155" s="49">
        <f>'A) Base RI'!A156</f>
        <v>5649</v>
      </c>
      <c r="B155" s="284" t="str">
        <f>'A) Base RI'!B156</f>
        <v>Tolochenaz</v>
      </c>
      <c r="C155" s="95">
        <f>'B) D RI'!U156</f>
        <v>155778.42171874997</v>
      </c>
      <c r="D155" s="398">
        <f>IF('E) PCS'!G161/'K) Plafonnement aide'!C155&gt;0,'E) PCS'!G161/'K) Plafonnement aide'!C155,0)</f>
        <v>22.3904532915377</v>
      </c>
      <c r="E155" s="135">
        <f>'H) Péréquation directe'!I165/C155</f>
        <v>15.866759028185088</v>
      </c>
      <c r="F155" s="398">
        <f>+'I) Dépenses thématiques'!U155</f>
        <v>-1.285704191104879</v>
      </c>
      <c r="G155" s="135">
        <f t="shared" si="9"/>
        <v>36.971508128617913</v>
      </c>
      <c r="H155" s="109">
        <f t="shared" si="10"/>
        <v>38.25721231972279</v>
      </c>
      <c r="I155" s="135">
        <f t="shared" si="11"/>
        <v>0</v>
      </c>
      <c r="J155" s="55">
        <f t="shared" si="12"/>
        <v>0</v>
      </c>
      <c r="K155" s="36"/>
    </row>
    <row r="156" spans="1:11" x14ac:dyDescent="0.25">
      <c r="A156" s="49">
        <f>'A) Base RI'!A157</f>
        <v>5650</v>
      </c>
      <c r="B156" s="284" t="str">
        <f>'A) Base RI'!B157</f>
        <v>Vaux-sur-Morges</v>
      </c>
      <c r="C156" s="95">
        <f>'B) D RI'!U157</f>
        <v>83125.71642857141</v>
      </c>
      <c r="D156" s="398">
        <f>IF('E) PCS'!G162/'K) Plafonnement aide'!C156&gt;0,'E) PCS'!G162/'K) Plafonnement aide'!C156,0)</f>
        <v>47.201083335169535</v>
      </c>
      <c r="E156" s="135">
        <f>'H) Péréquation directe'!I166/C156</f>
        <v>18.36006766103802</v>
      </c>
      <c r="F156" s="398">
        <f>+'I) Dépenses thématiques'!U156</f>
        <v>0</v>
      </c>
      <c r="G156" s="135">
        <f t="shared" si="9"/>
        <v>65.561150996207559</v>
      </c>
      <c r="H156" s="109">
        <f t="shared" si="10"/>
        <v>65.561150996207559</v>
      </c>
      <c r="I156" s="135">
        <f t="shared" si="11"/>
        <v>0</v>
      </c>
      <c r="J156" s="55">
        <f t="shared" si="12"/>
        <v>0</v>
      </c>
      <c r="K156" s="36"/>
    </row>
    <row r="157" spans="1:11" x14ac:dyDescent="0.25">
      <c r="A157" s="49">
        <f>'A) Base RI'!A158</f>
        <v>5651</v>
      </c>
      <c r="B157" s="284" t="str">
        <f>'A) Base RI'!B158</f>
        <v>Villars-Sainte-Croix</v>
      </c>
      <c r="C157" s="95">
        <f>'B) D RI'!U158</f>
        <v>57697.031735537188</v>
      </c>
      <c r="D157" s="398">
        <f>IF('E) PCS'!G163/'K) Plafonnement aide'!C157&gt;0,'E) PCS'!G163/'K) Plafonnement aide'!C157,0)</f>
        <v>17.317899195519907</v>
      </c>
      <c r="E157" s="135">
        <f>'H) Péréquation directe'!I167/C157</f>
        <v>16.582888267984139</v>
      </c>
      <c r="F157" s="398">
        <f>+'I) Dépenses thématiques'!U157</f>
        <v>0</v>
      </c>
      <c r="G157" s="135">
        <f t="shared" si="9"/>
        <v>33.900787463504045</v>
      </c>
      <c r="H157" s="109">
        <f t="shared" si="10"/>
        <v>33.900787463504045</v>
      </c>
      <c r="I157" s="135">
        <f t="shared" si="11"/>
        <v>0</v>
      </c>
      <c r="J157" s="55">
        <f t="shared" si="12"/>
        <v>0</v>
      </c>
      <c r="K157" s="36"/>
    </row>
    <row r="158" spans="1:11" x14ac:dyDescent="0.25">
      <c r="A158" s="49">
        <f>'A) Base RI'!A159</f>
        <v>5652</v>
      </c>
      <c r="B158" s="284" t="str">
        <f>'A) Base RI'!B159</f>
        <v>Villars-sous-Yens</v>
      </c>
      <c r="C158" s="95">
        <f>'B) D RI'!U159</f>
        <v>25902.630833333329</v>
      </c>
      <c r="D158" s="398">
        <f>IF('E) PCS'!G164/'K) Plafonnement aide'!C158&gt;0,'E) PCS'!G164/'K) Plafonnement aide'!C158,0)</f>
        <v>13.373352326598852</v>
      </c>
      <c r="E158" s="135">
        <f>'H) Péréquation directe'!I168/C158</f>
        <v>11.7311239604846</v>
      </c>
      <c r="F158" s="398">
        <f>+'I) Dépenses thématiques'!U158</f>
        <v>-1.0107164468525522</v>
      </c>
      <c r="G158" s="135">
        <f t="shared" si="9"/>
        <v>24.093759840230899</v>
      </c>
      <c r="H158" s="109">
        <f t="shared" si="10"/>
        <v>25.10447628708345</v>
      </c>
      <c r="I158" s="135">
        <f t="shared" si="11"/>
        <v>0</v>
      </c>
      <c r="J158" s="55">
        <f t="shared" si="12"/>
        <v>0</v>
      </c>
      <c r="K158" s="36"/>
    </row>
    <row r="159" spans="1:11" x14ac:dyDescent="0.25">
      <c r="A159" s="49">
        <f>'A) Base RI'!A160</f>
        <v>5653</v>
      </c>
      <c r="B159" s="284" t="str">
        <f>'A) Base RI'!B160</f>
        <v>Vufflens-le-Château</v>
      </c>
      <c r="C159" s="95">
        <f>'B) D RI'!U160</f>
        <v>67687.367350427332</v>
      </c>
      <c r="D159" s="398">
        <f>IF('E) PCS'!G165/'K) Plafonnement aide'!C159&gt;0,'E) PCS'!G165/'K) Plafonnement aide'!C159,0)</f>
        <v>20.486225381963376</v>
      </c>
      <c r="E159" s="135">
        <f>'H) Péréquation directe'!I169/C159</f>
        <v>17.006558048390101</v>
      </c>
      <c r="F159" s="398">
        <f>+'I) Dépenses thématiques'!U159</f>
        <v>0</v>
      </c>
      <c r="G159" s="135">
        <f t="shared" si="9"/>
        <v>37.492783430353477</v>
      </c>
      <c r="H159" s="109">
        <f t="shared" si="10"/>
        <v>37.492783430353477</v>
      </c>
      <c r="I159" s="135">
        <f t="shared" si="11"/>
        <v>0</v>
      </c>
      <c r="J159" s="55">
        <f t="shared" si="12"/>
        <v>0</v>
      </c>
      <c r="K159" s="36"/>
    </row>
    <row r="160" spans="1:11" x14ac:dyDescent="0.25">
      <c r="A160" s="49">
        <f>'A) Base RI'!A161</f>
        <v>5654</v>
      </c>
      <c r="B160" s="284" t="str">
        <f>'A) Base RI'!B161</f>
        <v>Vullierens</v>
      </c>
      <c r="C160" s="95">
        <f>'B) D RI'!U161</f>
        <v>20665.692500000001</v>
      </c>
      <c r="D160" s="398">
        <f>IF('E) PCS'!G166/'K) Plafonnement aide'!C160&gt;0,'E) PCS'!G166/'K) Plafonnement aide'!C160,0)</f>
        <v>16.381468092906022</v>
      </c>
      <c r="E160" s="135">
        <f>'H) Péréquation directe'!I170/C160</f>
        <v>8.0941408885852102</v>
      </c>
      <c r="F160" s="398">
        <f>+'I) Dépenses thématiques'!U160</f>
        <v>-4.9493790251645331</v>
      </c>
      <c r="G160" s="135">
        <f t="shared" si="9"/>
        <v>19.526229956326702</v>
      </c>
      <c r="H160" s="109">
        <f t="shared" si="10"/>
        <v>24.475608981491234</v>
      </c>
      <c r="I160" s="135">
        <f t="shared" si="11"/>
        <v>0</v>
      </c>
      <c r="J160" s="55">
        <f t="shared" si="12"/>
        <v>0</v>
      </c>
      <c r="K160" s="36"/>
    </row>
    <row r="161" spans="1:11" x14ac:dyDescent="0.25">
      <c r="A161" s="49">
        <f>'A) Base RI'!A162</f>
        <v>5655</v>
      </c>
      <c r="B161" s="284" t="str">
        <f>'A) Base RI'!B162</f>
        <v>Yens</v>
      </c>
      <c r="C161" s="95">
        <f>'B) D RI'!U162</f>
        <v>73454.856083916078</v>
      </c>
      <c r="D161" s="398">
        <f>IF('E) PCS'!G167/'K) Plafonnement aide'!C161&gt;0,'E) PCS'!G167/'K) Plafonnement aide'!C161,0)</f>
        <v>13.446410614732223</v>
      </c>
      <c r="E161" s="135">
        <f>'H) Péréquation directe'!I171/C161</f>
        <v>14.583040623561779</v>
      </c>
      <c r="F161" s="398">
        <f>+'I) Dépenses thématiques'!U161</f>
        <v>0</v>
      </c>
      <c r="G161" s="135">
        <f t="shared" si="9"/>
        <v>28.029451238294001</v>
      </c>
      <c r="H161" s="109">
        <f t="shared" si="10"/>
        <v>28.029451238294001</v>
      </c>
      <c r="I161" s="135">
        <f t="shared" si="11"/>
        <v>0</v>
      </c>
      <c r="J161" s="55">
        <f t="shared" si="12"/>
        <v>0</v>
      </c>
      <c r="K161" s="36"/>
    </row>
    <row r="162" spans="1:11" x14ac:dyDescent="0.25">
      <c r="A162" s="49">
        <f>'A) Base RI'!A163</f>
        <v>5661</v>
      </c>
      <c r="B162" s="284" t="str">
        <f>'A) Base RI'!B163</f>
        <v>Boulens</v>
      </c>
      <c r="C162" s="95">
        <f>'B) D RI'!U163</f>
        <v>11226.588951048951</v>
      </c>
      <c r="D162" s="398">
        <f>IF('E) PCS'!G168/'K) Plafonnement aide'!C162&gt;0,'E) PCS'!G168/'K) Plafonnement aide'!C162,0)</f>
        <v>14.841830072308003</v>
      </c>
      <c r="E162" s="135">
        <f>'H) Péréquation directe'!I172/C162</f>
        <v>2.2999992366768582</v>
      </c>
      <c r="F162" s="398">
        <f>+'I) Dépenses thématiques'!U162</f>
        <v>-1.5458635437790791</v>
      </c>
      <c r="G162" s="135">
        <f t="shared" si="9"/>
        <v>15.595965765205781</v>
      </c>
      <c r="H162" s="109">
        <f t="shared" si="10"/>
        <v>17.14182930898486</v>
      </c>
      <c r="I162" s="135">
        <f t="shared" si="11"/>
        <v>0</v>
      </c>
      <c r="J162" s="55">
        <f t="shared" si="12"/>
        <v>0</v>
      </c>
      <c r="K162" s="36"/>
    </row>
    <row r="163" spans="1:11" x14ac:dyDescent="0.25">
      <c r="A163" s="49">
        <f>'A) Base RI'!A164</f>
        <v>5663</v>
      </c>
      <c r="B163" s="284" t="str">
        <f>'A) Base RI'!B164</f>
        <v>Bussy-sur-Moudon</v>
      </c>
      <c r="C163" s="95">
        <f>'B) D RI'!U164</f>
        <v>5263.6754140127387</v>
      </c>
      <c r="D163" s="398">
        <f>IF('E) PCS'!G169/'K) Plafonnement aide'!C163&gt;0,'E) PCS'!G169/'K) Plafonnement aide'!C163,0)</f>
        <v>14.592548551823661</v>
      </c>
      <c r="E163" s="135">
        <f>'H) Péréquation directe'!I173/C163</f>
        <v>-15.722808092533446</v>
      </c>
      <c r="F163" s="398">
        <f>+'I) Dépenses thématiques'!U163</f>
        <v>-2.0778157191850544</v>
      </c>
      <c r="G163" s="135">
        <f t="shared" si="9"/>
        <v>-3.2080752598948394</v>
      </c>
      <c r="H163" s="109">
        <f t="shared" si="10"/>
        <v>-1.1302595407097851</v>
      </c>
      <c r="I163" s="135">
        <f t="shared" si="11"/>
        <v>0</v>
      </c>
      <c r="J163" s="55">
        <f t="shared" si="12"/>
        <v>0</v>
      </c>
      <c r="K163" s="36"/>
    </row>
    <row r="164" spans="1:11" x14ac:dyDescent="0.25">
      <c r="A164" s="49">
        <f>'A) Base RI'!A165</f>
        <v>5665</v>
      </c>
      <c r="B164" s="284" t="str">
        <f>'A) Base RI'!B165</f>
        <v>Chavannes-sur-Moudon</v>
      </c>
      <c r="C164" s="95">
        <f>'B) D RI'!U165</f>
        <v>4920.86942857143</v>
      </c>
      <c r="D164" s="398">
        <f>IF('E) PCS'!G170/'K) Plafonnement aide'!C164&gt;0,'E) PCS'!G170/'K) Plafonnement aide'!C164,0)</f>
        <v>13.281380813130561</v>
      </c>
      <c r="E164" s="135">
        <f>'H) Péréquation directe'!I174/C164</f>
        <v>-10.125199956750828</v>
      </c>
      <c r="F164" s="398">
        <f>+'I) Dépenses thématiques'!U164</f>
        <v>-0.52156096922012951</v>
      </c>
      <c r="G164" s="135">
        <f t="shared" si="9"/>
        <v>2.6346198871596029</v>
      </c>
      <c r="H164" s="109">
        <f t="shared" si="10"/>
        <v>3.1561808563797324</v>
      </c>
      <c r="I164" s="135">
        <f t="shared" si="11"/>
        <v>0</v>
      </c>
      <c r="J164" s="55">
        <f t="shared" si="12"/>
        <v>0</v>
      </c>
      <c r="K164" s="36"/>
    </row>
    <row r="165" spans="1:11" x14ac:dyDescent="0.25">
      <c r="A165" s="49">
        <f>'A) Base RI'!A166</f>
        <v>5669</v>
      </c>
      <c r="B165" s="284" t="str">
        <f>'A) Base RI'!B166</f>
        <v>Curtilles</v>
      </c>
      <c r="C165" s="95">
        <f>'B) D RI'!U166</f>
        <v>9338.3773972602739</v>
      </c>
      <c r="D165" s="398">
        <f>IF('E) PCS'!G171/'K) Plafonnement aide'!C165&gt;0,'E) PCS'!G171/'K) Plafonnement aide'!C165,0)</f>
        <v>16.995974404669063</v>
      </c>
      <c r="E165" s="135">
        <f>'H) Péréquation directe'!I175/C165</f>
        <v>3.3394586042350549</v>
      </c>
      <c r="F165" s="398">
        <f>+'I) Dépenses thématiques'!U165</f>
        <v>-5.9416763831621261E-3</v>
      </c>
      <c r="G165" s="135">
        <f t="shared" si="9"/>
        <v>20.329491332520956</v>
      </c>
      <c r="H165" s="109">
        <f t="shared" si="10"/>
        <v>20.335433008904118</v>
      </c>
      <c r="I165" s="135">
        <f t="shared" si="11"/>
        <v>0</v>
      </c>
      <c r="J165" s="55">
        <f t="shared" si="12"/>
        <v>0</v>
      </c>
      <c r="K165" s="36"/>
    </row>
    <row r="166" spans="1:11" x14ac:dyDescent="0.25">
      <c r="A166" s="49">
        <f>'A) Base RI'!A167</f>
        <v>5671</v>
      </c>
      <c r="B166" s="284" t="str">
        <f>'A) Base RI'!B167</f>
        <v>Dompierre</v>
      </c>
      <c r="C166" s="95">
        <f>'B) D RI'!U167</f>
        <v>6463.9784615384606</v>
      </c>
      <c r="D166" s="398">
        <f>IF('E) PCS'!G172/'K) Plafonnement aide'!C166&gt;0,'E) PCS'!G172/'K) Plafonnement aide'!C166,0)</f>
        <v>20.456599758657067</v>
      </c>
      <c r="E166" s="135">
        <f>'H) Péréquation directe'!I176/C166</f>
        <v>-6.5414655496143821</v>
      </c>
      <c r="F166" s="398">
        <f>+'I) Dépenses thématiques'!U166</f>
        <v>0</v>
      </c>
      <c r="G166" s="135">
        <f t="shared" si="9"/>
        <v>13.915134209042684</v>
      </c>
      <c r="H166" s="109">
        <f t="shared" si="10"/>
        <v>13.915134209042684</v>
      </c>
      <c r="I166" s="135">
        <f t="shared" si="11"/>
        <v>0</v>
      </c>
      <c r="J166" s="55">
        <f t="shared" si="12"/>
        <v>0</v>
      </c>
      <c r="K166" s="36"/>
    </row>
    <row r="167" spans="1:11" x14ac:dyDescent="0.25">
      <c r="A167" s="49">
        <f>'A) Base RI'!A168</f>
        <v>5673</v>
      </c>
      <c r="B167" s="284" t="str">
        <f>'A) Base RI'!B168</f>
        <v>Hermenches</v>
      </c>
      <c r="C167" s="95">
        <f>'B) D RI'!U168</f>
        <v>10227.295238095237</v>
      </c>
      <c r="D167" s="398">
        <f>IF('E) PCS'!G173/'K) Plafonnement aide'!C167&gt;0,'E) PCS'!G173/'K) Plafonnement aide'!C167,0)</f>
        <v>12.711199860874235</v>
      </c>
      <c r="E167" s="135">
        <f>'H) Péréquation directe'!I177/C167</f>
        <v>-2.1678215105461205</v>
      </c>
      <c r="F167" s="398">
        <f>+'I) Dépenses thématiques'!U167</f>
        <v>-21.362198123415769</v>
      </c>
      <c r="G167" s="135">
        <f t="shared" si="9"/>
        <v>-10.818819773087656</v>
      </c>
      <c r="H167" s="109">
        <f t="shared" si="10"/>
        <v>10.543378350328114</v>
      </c>
      <c r="I167" s="135">
        <f t="shared" si="11"/>
        <v>0</v>
      </c>
      <c r="J167" s="55">
        <f t="shared" si="12"/>
        <v>0</v>
      </c>
      <c r="K167" s="36"/>
    </row>
    <row r="168" spans="1:11" x14ac:dyDescent="0.25">
      <c r="A168" s="49">
        <f>'A) Base RI'!A169</f>
        <v>5674</v>
      </c>
      <c r="B168" s="284" t="str">
        <f>'A) Base RI'!B169</f>
        <v>Lovatens</v>
      </c>
      <c r="C168" s="95">
        <f>'B) D RI'!U169</f>
        <v>4222.7234666666664</v>
      </c>
      <c r="D168" s="398">
        <f>IF('E) PCS'!G174/'K) Plafonnement aide'!C168&gt;0,'E) PCS'!G174/'K) Plafonnement aide'!C168,0)</f>
        <v>16.69639853457787</v>
      </c>
      <c r="E168" s="135">
        <f>'H) Péréquation directe'!I178/C168</f>
        <v>-0.77887751774406644</v>
      </c>
      <c r="F168" s="398">
        <f>+'I) Dépenses thématiques'!U168</f>
        <v>-6.0872821540196531</v>
      </c>
      <c r="G168" s="135">
        <f t="shared" si="9"/>
        <v>9.8302388628141522</v>
      </c>
      <c r="H168" s="109">
        <f t="shared" si="10"/>
        <v>15.917521016833806</v>
      </c>
      <c r="I168" s="135">
        <f t="shared" si="11"/>
        <v>0</v>
      </c>
      <c r="J168" s="55">
        <f t="shared" si="12"/>
        <v>0</v>
      </c>
      <c r="K168" s="36"/>
    </row>
    <row r="169" spans="1:11" x14ac:dyDescent="0.25">
      <c r="A169" s="49">
        <f>'A) Base RI'!A170</f>
        <v>5675</v>
      </c>
      <c r="B169" s="284" t="str">
        <f>'A) Base RI'!B170</f>
        <v>Lucens</v>
      </c>
      <c r="C169" s="95">
        <f>'B) D RI'!U170</f>
        <v>105170.58216835017</v>
      </c>
      <c r="D169" s="398">
        <f>IF('E) PCS'!G175/'K) Plafonnement aide'!C169&gt;0,'E) PCS'!G175/'K) Plafonnement aide'!C169,0)</f>
        <v>17.209666411981775</v>
      </c>
      <c r="E169" s="135">
        <f>'H) Péréquation directe'!I179/C169</f>
        <v>-14.104343518245374</v>
      </c>
      <c r="F169" s="398">
        <f>+'I) Dépenses thématiques'!U169</f>
        <v>-5.0162530824961289</v>
      </c>
      <c r="G169" s="135">
        <f t="shared" si="9"/>
        <v>-1.9109301887597274</v>
      </c>
      <c r="H169" s="109">
        <f t="shared" si="10"/>
        <v>3.1053228937364015</v>
      </c>
      <c r="I169" s="135">
        <f t="shared" si="11"/>
        <v>0</v>
      </c>
      <c r="J169" s="55">
        <f t="shared" si="12"/>
        <v>0</v>
      </c>
      <c r="K169" s="36"/>
    </row>
    <row r="170" spans="1:11" x14ac:dyDescent="0.25">
      <c r="A170" s="49">
        <f>'A) Base RI'!A171</f>
        <v>5678</v>
      </c>
      <c r="B170" s="284" t="str">
        <f>'A) Base RI'!B171</f>
        <v>Moudon</v>
      </c>
      <c r="C170" s="95">
        <f>'B) D RI'!U171</f>
        <v>124836.852</v>
      </c>
      <c r="D170" s="398">
        <f>IF('E) PCS'!G176/'K) Plafonnement aide'!C170&gt;0,'E) PCS'!G176/'K) Plafonnement aide'!C170,0)</f>
        <v>19.689322414838838</v>
      </c>
      <c r="E170" s="135">
        <f>'H) Péréquation directe'!I180/C170</f>
        <v>-30.114276231658803</v>
      </c>
      <c r="F170" s="398">
        <f>+'I) Dépenses thématiques'!U170</f>
        <v>-10.695142232519608</v>
      </c>
      <c r="G170" s="135">
        <f t="shared" si="9"/>
        <v>-21.120096049339573</v>
      </c>
      <c r="H170" s="109">
        <f t="shared" si="10"/>
        <v>-10.424953816819965</v>
      </c>
      <c r="I170" s="135">
        <f t="shared" si="11"/>
        <v>-2.4249538168199649</v>
      </c>
      <c r="J170" s="55">
        <f t="shared" si="12"/>
        <v>302723.60073718906</v>
      </c>
      <c r="K170" s="36"/>
    </row>
    <row r="171" spans="1:11" x14ac:dyDescent="0.25">
      <c r="A171" s="49">
        <f>'A) Base RI'!A172</f>
        <v>5680</v>
      </c>
      <c r="B171" s="284" t="str">
        <f>'A) Base RI'!B172</f>
        <v>Ogens</v>
      </c>
      <c r="C171" s="95">
        <f>'B) D RI'!U172</f>
        <v>8501.5391880341886</v>
      </c>
      <c r="D171" s="398">
        <f>IF('E) PCS'!G177/'K) Plafonnement aide'!C171&gt;0,'E) PCS'!G177/'K) Plafonnement aide'!C171,0)</f>
        <v>15.148121711333463</v>
      </c>
      <c r="E171" s="135">
        <f>'H) Péréquation directe'!I181/C171</f>
        <v>-6.1523548341890377</v>
      </c>
      <c r="F171" s="398">
        <f>+'I) Dépenses thématiques'!U171</f>
        <v>-2.1640328973209506</v>
      </c>
      <c r="G171" s="135">
        <f t="shared" si="9"/>
        <v>6.8317339798234755</v>
      </c>
      <c r="H171" s="109">
        <f t="shared" si="10"/>
        <v>8.9957668771444261</v>
      </c>
      <c r="I171" s="135">
        <f t="shared" si="11"/>
        <v>0</v>
      </c>
      <c r="J171" s="55">
        <f t="shared" si="12"/>
        <v>0</v>
      </c>
      <c r="K171" s="36"/>
    </row>
    <row r="172" spans="1:11" x14ac:dyDescent="0.25">
      <c r="A172" s="49">
        <f>'A) Base RI'!A173</f>
        <v>5683</v>
      </c>
      <c r="B172" s="284" t="str">
        <f>'A) Base RI'!B173</f>
        <v>Prévonloup</v>
      </c>
      <c r="C172" s="95">
        <f>'B) D RI'!U173</f>
        <v>5386.44</v>
      </c>
      <c r="D172" s="398">
        <f>IF('E) PCS'!G178/'K) Plafonnement aide'!C172&gt;0,'E) PCS'!G178/'K) Plafonnement aide'!C172,0)</f>
        <v>16.177588303438128</v>
      </c>
      <c r="E172" s="135">
        <f>'H) Péréquation directe'!I182/C172</f>
        <v>-5.8786106059695165</v>
      </c>
      <c r="F172" s="398">
        <f>+'I) Dépenses thématiques'!U172</f>
        <v>0</v>
      </c>
      <c r="G172" s="135">
        <f t="shared" si="9"/>
        <v>10.298977697468612</v>
      </c>
      <c r="H172" s="109">
        <f t="shared" si="10"/>
        <v>10.298977697468612</v>
      </c>
      <c r="I172" s="135">
        <f t="shared" si="11"/>
        <v>0</v>
      </c>
      <c r="J172" s="55">
        <f t="shared" si="12"/>
        <v>0</v>
      </c>
      <c r="K172" s="36"/>
    </row>
    <row r="173" spans="1:11" x14ac:dyDescent="0.25">
      <c r="A173" s="49">
        <f>'A) Base RI'!A174</f>
        <v>5684</v>
      </c>
      <c r="B173" s="284" t="str">
        <f>'A) Base RI'!B174</f>
        <v>Rossenges</v>
      </c>
      <c r="C173" s="95">
        <f>'B) D RI'!U174</f>
        <v>3253.4816666666666</v>
      </c>
      <c r="D173" s="398">
        <f>IF('E) PCS'!G179/'K) Plafonnement aide'!C173&gt;0,'E) PCS'!G179/'K) Plafonnement aide'!C173,0)</f>
        <v>12.196470904933735</v>
      </c>
      <c r="E173" s="135">
        <f>'H) Péréquation directe'!I183/C173</f>
        <v>6.4801722705902884</v>
      </c>
      <c r="F173" s="398">
        <f>+'I) Dépenses thématiques'!U173</f>
        <v>0</v>
      </c>
      <c r="G173" s="135">
        <f t="shared" si="9"/>
        <v>18.676643175524024</v>
      </c>
      <c r="H173" s="109">
        <f t="shared" si="10"/>
        <v>18.676643175524024</v>
      </c>
      <c r="I173" s="135">
        <f t="shared" si="11"/>
        <v>0</v>
      </c>
      <c r="J173" s="55">
        <f t="shared" si="12"/>
        <v>0</v>
      </c>
      <c r="K173" s="36"/>
    </row>
    <row r="174" spans="1:11" x14ac:dyDescent="0.25">
      <c r="A174" s="49">
        <f>'A) Base RI'!A175</f>
        <v>5688</v>
      </c>
      <c r="B174" s="284" t="str">
        <f>'A) Base RI'!B175</f>
        <v>Syens</v>
      </c>
      <c r="C174" s="95">
        <f>'B) D RI'!U175</f>
        <v>6154.6576923076918</v>
      </c>
      <c r="D174" s="398">
        <f>IF('E) PCS'!G180/'K) Plafonnement aide'!C174&gt;0,'E) PCS'!G180/'K) Plafonnement aide'!C174,0)</f>
        <v>14.307083817855844</v>
      </c>
      <c r="E174" s="135">
        <f>'H) Péréquation directe'!I184/C174</f>
        <v>10.905911735843548</v>
      </c>
      <c r="F174" s="398">
        <f>+'I) Dépenses thématiques'!U174</f>
        <v>-3.9828471057879247</v>
      </c>
      <c r="G174" s="135">
        <f t="shared" si="9"/>
        <v>21.230148447911468</v>
      </c>
      <c r="H174" s="109">
        <f t="shared" si="10"/>
        <v>25.212995553699393</v>
      </c>
      <c r="I174" s="135">
        <f t="shared" si="11"/>
        <v>0</v>
      </c>
      <c r="J174" s="55">
        <f t="shared" si="12"/>
        <v>0</v>
      </c>
      <c r="K174" s="36"/>
    </row>
    <row r="175" spans="1:11" x14ac:dyDescent="0.25">
      <c r="A175" s="49">
        <f>'A) Base RI'!A176</f>
        <v>5690</v>
      </c>
      <c r="B175" s="284" t="str">
        <f>'A) Base RI'!B176</f>
        <v>Villars-le-Comte</v>
      </c>
      <c r="C175" s="95">
        <f>'B) D RI'!U176</f>
        <v>3510.0358095238093</v>
      </c>
      <c r="D175" s="398">
        <f>IF('E) PCS'!G181/'K) Plafonnement aide'!C175&gt;0,'E) PCS'!G181/'K) Plafonnement aide'!C175,0)</f>
        <v>14.962040980789155</v>
      </c>
      <c r="E175" s="135">
        <f>'H) Péréquation directe'!I185/C175</f>
        <v>-2.3844900593367195</v>
      </c>
      <c r="F175" s="398">
        <f>+'I) Dépenses thématiques'!U175</f>
        <v>-5.9770145609150758</v>
      </c>
      <c r="G175" s="135">
        <f t="shared" si="9"/>
        <v>6.600536360537359</v>
      </c>
      <c r="H175" s="109">
        <f t="shared" si="10"/>
        <v>12.577550921452435</v>
      </c>
      <c r="I175" s="135">
        <f t="shared" si="11"/>
        <v>0</v>
      </c>
      <c r="J175" s="55">
        <f t="shared" si="12"/>
        <v>0</v>
      </c>
      <c r="K175" s="36"/>
    </row>
    <row r="176" spans="1:11" x14ac:dyDescent="0.25">
      <c r="A176" s="49">
        <f>'A) Base RI'!A177</f>
        <v>5692</v>
      </c>
      <c r="B176" s="284" t="str">
        <f>'A) Base RI'!B177</f>
        <v>Vucherens</v>
      </c>
      <c r="C176" s="95">
        <f>'B) D RI'!U177</f>
        <v>18793.189090909087</v>
      </c>
      <c r="D176" s="398">
        <f>IF('E) PCS'!G182/'K) Plafonnement aide'!C176&gt;0,'E) PCS'!G182/'K) Plafonnement aide'!C176,0)</f>
        <v>17.533383629795178</v>
      </c>
      <c r="E176" s="135">
        <f>'H) Péréquation directe'!I186/C176</f>
        <v>0.21398400034141687</v>
      </c>
      <c r="F176" s="398">
        <f>+'I) Dépenses thématiques'!U176</f>
        <v>-4.2636784564311228</v>
      </c>
      <c r="G176" s="135">
        <f t="shared" si="9"/>
        <v>13.483689173705471</v>
      </c>
      <c r="H176" s="109">
        <f t="shared" si="10"/>
        <v>17.747367630136594</v>
      </c>
      <c r="I176" s="135">
        <f t="shared" si="11"/>
        <v>0</v>
      </c>
      <c r="J176" s="55">
        <f t="shared" si="12"/>
        <v>0</v>
      </c>
      <c r="K176" s="36"/>
    </row>
    <row r="177" spans="1:11" x14ac:dyDescent="0.25">
      <c r="A177" s="49">
        <f>'A) Base RI'!A178</f>
        <v>5693</v>
      </c>
      <c r="B177" s="284" t="str">
        <f>'A) Base RI'!B178</f>
        <v>Montanaire</v>
      </c>
      <c r="C177" s="95">
        <f>'B) D RI'!U178</f>
        <v>75692.909285714297</v>
      </c>
      <c r="D177" s="398">
        <f>IF('E) PCS'!G183/'K) Plafonnement aide'!C177&gt;0,'E) PCS'!G183/'K) Plafonnement aide'!C177,0)</f>
        <v>15.654264606746132</v>
      </c>
      <c r="E177" s="135">
        <f>'H) Péréquation directe'!I187/C177</f>
        <v>-6.2119593813175946</v>
      </c>
      <c r="F177" s="398">
        <f>+'I) Dépenses thématiques'!U177</f>
        <v>-6.5213785145736365</v>
      </c>
      <c r="G177" s="135">
        <f t="shared" si="9"/>
        <v>2.9209267108549009</v>
      </c>
      <c r="H177" s="109">
        <f t="shared" si="10"/>
        <v>9.4423052254285373</v>
      </c>
      <c r="I177" s="135">
        <f t="shared" si="11"/>
        <v>0</v>
      </c>
      <c r="J177" s="55">
        <f t="shared" si="12"/>
        <v>0</v>
      </c>
      <c r="K177" s="36"/>
    </row>
    <row r="178" spans="1:11" x14ac:dyDescent="0.25">
      <c r="A178" s="49">
        <f>'A) Base RI'!A179</f>
        <v>5701</v>
      </c>
      <c r="B178" s="284" t="str">
        <f>'A) Base RI'!B179</f>
        <v>Arnex-sur-Nyon</v>
      </c>
      <c r="C178" s="95">
        <f>'B) D RI'!U179</f>
        <v>14488.714857142857</v>
      </c>
      <c r="D178" s="398">
        <f>IF('E) PCS'!G184/'K) Plafonnement aide'!C178&gt;0,'E) PCS'!G184/'K) Plafonnement aide'!C178,0)</f>
        <v>21.928131364197878</v>
      </c>
      <c r="E178" s="135">
        <f>'H) Péréquation directe'!I188/C178</f>
        <v>16.708338703239459</v>
      </c>
      <c r="F178" s="398">
        <f>+'I) Dépenses thématiques'!U178</f>
        <v>0</v>
      </c>
      <c r="G178" s="135">
        <f t="shared" si="9"/>
        <v>38.636470067437337</v>
      </c>
      <c r="H178" s="109">
        <f t="shared" si="10"/>
        <v>38.636470067437337</v>
      </c>
      <c r="I178" s="135">
        <f t="shared" si="11"/>
        <v>0</v>
      </c>
      <c r="J178" s="55">
        <f t="shared" si="12"/>
        <v>0</v>
      </c>
      <c r="K178" s="36"/>
    </row>
    <row r="179" spans="1:11" x14ac:dyDescent="0.25">
      <c r="A179" s="49">
        <f>'A) Base RI'!A180</f>
        <v>5702</v>
      </c>
      <c r="B179" s="284" t="str">
        <f>'A) Base RI'!B180</f>
        <v>Arzier-Le Muids</v>
      </c>
      <c r="C179" s="95">
        <f>'B) D RI'!U180</f>
        <v>174862.96255208339</v>
      </c>
      <c r="D179" s="398">
        <f>IF('E) PCS'!G185/'K) Plafonnement aide'!C179&gt;0,'E) PCS'!G185/'K) Plafonnement aide'!C179,0)</f>
        <v>19.020802063495168</v>
      </c>
      <c r="E179" s="135">
        <f>'H) Péréquation directe'!I189/C179</f>
        <v>14.051591249489036</v>
      </c>
      <c r="F179" s="398">
        <f>+'I) Dépenses thématiques'!U179</f>
        <v>-2.6780372541524118</v>
      </c>
      <c r="G179" s="135">
        <f t="shared" si="9"/>
        <v>30.394356058831793</v>
      </c>
      <c r="H179" s="109">
        <f t="shared" si="10"/>
        <v>33.072393312984204</v>
      </c>
      <c r="I179" s="135">
        <f t="shared" si="11"/>
        <v>0</v>
      </c>
      <c r="J179" s="55">
        <f t="shared" si="12"/>
        <v>0</v>
      </c>
      <c r="K179" s="36"/>
    </row>
    <row r="180" spans="1:11" x14ac:dyDescent="0.25">
      <c r="A180" s="49">
        <f>'A) Base RI'!A181</f>
        <v>5703</v>
      </c>
      <c r="B180" s="284" t="str">
        <f>'A) Base RI'!B181</f>
        <v>Bassins</v>
      </c>
      <c r="C180" s="95">
        <f>'B) D RI'!U181</f>
        <v>66800.247822660094</v>
      </c>
      <c r="D180" s="398">
        <f>IF('E) PCS'!G186/'K) Plafonnement aide'!C180&gt;0,'E) PCS'!G186/'K) Plafonnement aide'!C180,0)</f>
        <v>15.922328788885649</v>
      </c>
      <c r="E180" s="135">
        <f>'H) Péréquation directe'!I190/C180</f>
        <v>12.620889769150761</v>
      </c>
      <c r="F180" s="398">
        <f>+'I) Dépenses thématiques'!U180</f>
        <v>0</v>
      </c>
      <c r="G180" s="135">
        <f t="shared" si="9"/>
        <v>28.543218558036408</v>
      </c>
      <c r="H180" s="109">
        <f t="shared" si="10"/>
        <v>28.543218558036408</v>
      </c>
      <c r="I180" s="135">
        <f t="shared" si="11"/>
        <v>0</v>
      </c>
      <c r="J180" s="55">
        <f t="shared" si="12"/>
        <v>0</v>
      </c>
      <c r="K180" s="36"/>
    </row>
    <row r="181" spans="1:11" x14ac:dyDescent="0.25">
      <c r="A181" s="49">
        <f>'A) Base RI'!A182</f>
        <v>5704</v>
      </c>
      <c r="B181" s="284" t="str">
        <f>'A) Base RI'!B182</f>
        <v>Begnins</v>
      </c>
      <c r="C181" s="95">
        <f>'B) D RI'!U182</f>
        <v>202343.35360000003</v>
      </c>
      <c r="D181" s="398">
        <f>IF('E) PCS'!G187/'K) Plafonnement aide'!C181&gt;0,'E) PCS'!G187/'K) Plafonnement aide'!C181,0)</f>
        <v>25.590154742221127</v>
      </c>
      <c r="E181" s="135">
        <f>'H) Péréquation directe'!I191/C181</f>
        <v>16.413286233126126</v>
      </c>
      <c r="F181" s="398">
        <f>+'I) Dépenses thématiques'!U181</f>
        <v>0</v>
      </c>
      <c r="G181" s="135">
        <f t="shared" si="9"/>
        <v>42.003440975347253</v>
      </c>
      <c r="H181" s="109">
        <f t="shared" si="10"/>
        <v>42.003440975347253</v>
      </c>
      <c r="I181" s="135">
        <f t="shared" si="11"/>
        <v>0</v>
      </c>
      <c r="J181" s="55">
        <f t="shared" si="12"/>
        <v>0</v>
      </c>
      <c r="K181" s="36"/>
    </row>
    <row r="182" spans="1:11" x14ac:dyDescent="0.25">
      <c r="A182" s="49">
        <f>'A) Base RI'!A183</f>
        <v>5705</v>
      </c>
      <c r="B182" s="284" t="str">
        <f>'A) Base RI'!B183</f>
        <v>Bogis-Bossey</v>
      </c>
      <c r="C182" s="95">
        <f>'B) D RI'!U183</f>
        <v>51953.338389261742</v>
      </c>
      <c r="D182" s="398">
        <f>IF('E) PCS'!G188/'K) Plafonnement aide'!C182&gt;0,'E) PCS'!G188/'K) Plafonnement aide'!C182,0)</f>
        <v>20.338622203064872</v>
      </c>
      <c r="E182" s="135">
        <f>'H) Péréquation directe'!I192/C182</f>
        <v>16.521975216548057</v>
      </c>
      <c r="F182" s="398">
        <f>+'I) Dépenses thématiques'!U182</f>
        <v>0</v>
      </c>
      <c r="G182" s="135">
        <f t="shared" si="9"/>
        <v>36.86059741961293</v>
      </c>
      <c r="H182" s="109">
        <f t="shared" si="10"/>
        <v>36.86059741961293</v>
      </c>
      <c r="I182" s="135">
        <f t="shared" si="11"/>
        <v>0</v>
      </c>
      <c r="J182" s="55">
        <f t="shared" si="12"/>
        <v>0</v>
      </c>
      <c r="K182" s="36"/>
    </row>
    <row r="183" spans="1:11" x14ac:dyDescent="0.25">
      <c r="A183" s="49">
        <f>'A) Base RI'!A184</f>
        <v>5706</v>
      </c>
      <c r="B183" s="284" t="str">
        <f>'A) Base RI'!B184</f>
        <v>Borex</v>
      </c>
      <c r="C183" s="95">
        <f>'B) D RI'!U184</f>
        <v>71207.99596491229</v>
      </c>
      <c r="D183" s="398">
        <f>IF('E) PCS'!G189/'K) Plafonnement aide'!C183&gt;0,'E) PCS'!G189/'K) Plafonnement aide'!C183,0)</f>
        <v>17.146423618079062</v>
      </c>
      <c r="E183" s="135">
        <f>'H) Péréquation directe'!I193/C183</f>
        <v>16.092947503486538</v>
      </c>
      <c r="F183" s="398">
        <f>+'I) Dépenses thématiques'!U183</f>
        <v>0</v>
      </c>
      <c r="G183" s="135">
        <f t="shared" si="9"/>
        <v>33.239371121565597</v>
      </c>
      <c r="H183" s="109">
        <f t="shared" si="10"/>
        <v>33.239371121565597</v>
      </c>
      <c r="I183" s="135">
        <f t="shared" si="11"/>
        <v>0</v>
      </c>
      <c r="J183" s="55">
        <f t="shared" si="12"/>
        <v>0</v>
      </c>
      <c r="K183" s="36"/>
    </row>
    <row r="184" spans="1:11" x14ac:dyDescent="0.25">
      <c r="A184" s="49">
        <f>'A) Base RI'!A185</f>
        <v>5707</v>
      </c>
      <c r="B184" s="284" t="str">
        <f>'A) Base RI'!B185</f>
        <v>Chavannes-de-Bogis</v>
      </c>
      <c r="C184" s="95">
        <f>'B) D RI'!U185</f>
        <v>88021.415574712664</v>
      </c>
      <c r="D184" s="398">
        <f>IF('E) PCS'!G190/'K) Plafonnement aide'!C184&gt;0,'E) PCS'!G190/'K) Plafonnement aide'!C184,0)</f>
        <v>23.255865811537092</v>
      </c>
      <c r="E184" s="135">
        <f>'H) Péréquation directe'!I194/C184</f>
        <v>15.927416882058701</v>
      </c>
      <c r="F184" s="398">
        <f>+'I) Dépenses thématiques'!U184</f>
        <v>0</v>
      </c>
      <c r="G184" s="135">
        <f t="shared" si="9"/>
        <v>39.183282693595793</v>
      </c>
      <c r="H184" s="109">
        <f t="shared" si="10"/>
        <v>39.183282693595793</v>
      </c>
      <c r="I184" s="135">
        <f t="shared" si="11"/>
        <v>0</v>
      </c>
      <c r="J184" s="55">
        <f t="shared" si="12"/>
        <v>0</v>
      </c>
      <c r="K184" s="36"/>
    </row>
    <row r="185" spans="1:11" x14ac:dyDescent="0.25">
      <c r="A185" s="49">
        <f>'A) Base RI'!A186</f>
        <v>5708</v>
      </c>
      <c r="B185" s="284" t="str">
        <f>'A) Base RI'!B186</f>
        <v>Chavannes-des-Bois</v>
      </c>
      <c r="C185" s="95">
        <f>'B) D RI'!U186</f>
        <v>67001.640000000014</v>
      </c>
      <c r="D185" s="398">
        <f>IF('E) PCS'!G191/'K) Plafonnement aide'!C185&gt;0,'E) PCS'!G191/'K) Plafonnement aide'!C185,0)</f>
        <v>18.966736524432122</v>
      </c>
      <c r="E185" s="135">
        <f>'H) Péréquation directe'!I195/C185</f>
        <v>16.766270524216406</v>
      </c>
      <c r="F185" s="398">
        <f>+'I) Dépenses thématiques'!U185</f>
        <v>0</v>
      </c>
      <c r="G185" s="135">
        <f t="shared" si="9"/>
        <v>35.733007048648531</v>
      </c>
      <c r="H185" s="109">
        <f t="shared" si="10"/>
        <v>35.733007048648531</v>
      </c>
      <c r="I185" s="135">
        <f t="shared" si="11"/>
        <v>0</v>
      </c>
      <c r="J185" s="55">
        <f t="shared" si="12"/>
        <v>0</v>
      </c>
      <c r="K185" s="36"/>
    </row>
    <row r="186" spans="1:11" x14ac:dyDescent="0.25">
      <c r="A186" s="49">
        <f>'A) Base RI'!A187</f>
        <v>5709</v>
      </c>
      <c r="B186" s="284" t="str">
        <f>'A) Base RI'!B187</f>
        <v>Chéserex</v>
      </c>
      <c r="C186" s="95">
        <f>'B) D RI'!U187</f>
        <v>88342.385614035084</v>
      </c>
      <c r="D186" s="398">
        <f>IF('E) PCS'!G192/'K) Plafonnement aide'!C186&gt;0,'E) PCS'!G192/'K) Plafonnement aide'!C186,0)</f>
        <v>27.226318636820473</v>
      </c>
      <c r="E186" s="135">
        <f>'H) Péréquation directe'!I196/C186</f>
        <v>16.202234403517831</v>
      </c>
      <c r="F186" s="398">
        <f>+'I) Dépenses thématiques'!U186</f>
        <v>0</v>
      </c>
      <c r="G186" s="135">
        <f t="shared" si="9"/>
        <v>43.428553040338301</v>
      </c>
      <c r="H186" s="109">
        <f t="shared" si="10"/>
        <v>43.428553040338301</v>
      </c>
      <c r="I186" s="135">
        <f t="shared" si="11"/>
        <v>0</v>
      </c>
      <c r="J186" s="55">
        <f t="shared" si="12"/>
        <v>0</v>
      </c>
      <c r="K186" s="36"/>
    </row>
    <row r="187" spans="1:11" x14ac:dyDescent="0.25">
      <c r="A187" s="49">
        <f>'A) Base RI'!A188</f>
        <v>5710</v>
      </c>
      <c r="B187" s="284" t="str">
        <f>'A) Base RI'!B188</f>
        <v>Coinsins</v>
      </c>
      <c r="C187" s="95">
        <f>'B) D RI'!U188</f>
        <v>43412.265098039228</v>
      </c>
      <c r="D187" s="398">
        <f>IF('E) PCS'!G193/'K) Plafonnement aide'!C187&gt;0,'E) PCS'!G193/'K) Plafonnement aide'!C187,0)</f>
        <v>21.168719278720197</v>
      </c>
      <c r="E187" s="135">
        <f>'H) Péréquation directe'!I197/C187</f>
        <v>17.194431768175715</v>
      </c>
      <c r="F187" s="398">
        <f>+'I) Dépenses thématiques'!U187</f>
        <v>0</v>
      </c>
      <c r="G187" s="135">
        <f t="shared" si="9"/>
        <v>38.363151046895908</v>
      </c>
      <c r="H187" s="109">
        <f t="shared" si="10"/>
        <v>38.363151046895908</v>
      </c>
      <c r="I187" s="135">
        <f t="shared" si="11"/>
        <v>0</v>
      </c>
      <c r="J187" s="55">
        <f t="shared" si="12"/>
        <v>0</v>
      </c>
      <c r="K187" s="36"/>
    </row>
    <row r="188" spans="1:11" x14ac:dyDescent="0.25">
      <c r="A188" s="49">
        <f>'A) Base RI'!A189</f>
        <v>5711</v>
      </c>
      <c r="B188" s="284" t="str">
        <f>'A) Base RI'!B189</f>
        <v>Commugny</v>
      </c>
      <c r="C188" s="95">
        <f>'B) D RI'!U189</f>
        <v>286273.03470547468</v>
      </c>
      <c r="D188" s="398">
        <f>IF('E) PCS'!G194/'K) Plafonnement aide'!C188&gt;0,'E) PCS'!G194/'K) Plafonnement aide'!C188,0)</f>
        <v>25.018544045133947</v>
      </c>
      <c r="E188" s="135">
        <f>'H) Péréquation directe'!I198/C188</f>
        <v>15.776400220944774</v>
      </c>
      <c r="F188" s="398">
        <f>+'I) Dépenses thématiques'!U188</f>
        <v>0</v>
      </c>
      <c r="G188" s="135">
        <f t="shared" si="9"/>
        <v>40.794944266078723</v>
      </c>
      <c r="H188" s="109">
        <f t="shared" si="10"/>
        <v>40.794944266078723</v>
      </c>
      <c r="I188" s="135">
        <f t="shared" si="11"/>
        <v>0</v>
      </c>
      <c r="J188" s="55">
        <f t="shared" si="12"/>
        <v>0</v>
      </c>
      <c r="K188" s="36"/>
    </row>
    <row r="189" spans="1:11" x14ac:dyDescent="0.25">
      <c r="A189" s="49">
        <f>'A) Base RI'!A190</f>
        <v>5712</v>
      </c>
      <c r="B189" s="284" t="str">
        <f>'A) Base RI'!B190</f>
        <v>Coppet</v>
      </c>
      <c r="C189" s="95">
        <f>'B) D RI'!U190</f>
        <v>333754.3945283019</v>
      </c>
      <c r="D189" s="398">
        <f>IF('E) PCS'!G195/'K) Plafonnement aide'!C189&gt;0,'E) PCS'!G195/'K) Plafonnement aide'!C189,0)</f>
        <v>25.364904724021304</v>
      </c>
      <c r="E189" s="135">
        <f>'H) Péréquation directe'!I199/C189</f>
        <v>15.871840278771847</v>
      </c>
      <c r="F189" s="398">
        <f>+'I) Dépenses thématiques'!U189</f>
        <v>0</v>
      </c>
      <c r="G189" s="135">
        <f t="shared" si="9"/>
        <v>41.23674500279315</v>
      </c>
      <c r="H189" s="109">
        <f t="shared" si="10"/>
        <v>41.23674500279315</v>
      </c>
      <c r="I189" s="135">
        <f t="shared" si="11"/>
        <v>0</v>
      </c>
      <c r="J189" s="55">
        <f t="shared" si="12"/>
        <v>0</v>
      </c>
      <c r="K189" s="36"/>
    </row>
    <row r="190" spans="1:11" x14ac:dyDescent="0.25">
      <c r="A190" s="49">
        <f>'A) Base RI'!A191</f>
        <v>5713</v>
      </c>
      <c r="B190" s="284" t="str">
        <f>'A) Base RI'!B191</f>
        <v>Crans</v>
      </c>
      <c r="C190" s="95">
        <f>'B) D RI'!U191</f>
        <v>302504.79982142855</v>
      </c>
      <c r="D190" s="398">
        <f>IF('E) PCS'!G196/'K) Plafonnement aide'!C190&gt;0,'E) PCS'!G196/'K) Plafonnement aide'!C190,0)</f>
        <v>31.425986588371117</v>
      </c>
      <c r="E190" s="135">
        <f>'H) Péréquation directe'!I200/C190</f>
        <v>16.656450256313153</v>
      </c>
      <c r="F190" s="398">
        <f>+'I) Dépenses thématiques'!U190</f>
        <v>0</v>
      </c>
      <c r="G190" s="135">
        <f t="shared" si="9"/>
        <v>48.082436844684267</v>
      </c>
      <c r="H190" s="109">
        <f t="shared" si="10"/>
        <v>48.082436844684267</v>
      </c>
      <c r="I190" s="135">
        <f t="shared" si="11"/>
        <v>0</v>
      </c>
      <c r="J190" s="55">
        <f t="shared" si="12"/>
        <v>0</v>
      </c>
      <c r="K190" s="36"/>
    </row>
    <row r="191" spans="1:11" x14ac:dyDescent="0.25">
      <c r="A191" s="49">
        <f>'A) Base RI'!A192</f>
        <v>5714</v>
      </c>
      <c r="B191" s="284" t="str">
        <f>'A) Base RI'!B192</f>
        <v>Crassier</v>
      </c>
      <c r="C191" s="95">
        <f>'B) D RI'!U192</f>
        <v>62136.029852941167</v>
      </c>
      <c r="D191" s="398">
        <f>IF('E) PCS'!G197/'K) Plafonnement aide'!C191&gt;0,'E) PCS'!G197/'K) Plafonnement aide'!C191,0)</f>
        <v>18.4399948572079</v>
      </c>
      <c r="E191" s="135">
        <f>'H) Péréquation directe'!I201/C191</f>
        <v>15.364846418963404</v>
      </c>
      <c r="F191" s="398">
        <f>+'I) Dépenses thématiques'!U191</f>
        <v>0</v>
      </c>
      <c r="G191" s="135">
        <f t="shared" si="9"/>
        <v>33.804841276171302</v>
      </c>
      <c r="H191" s="109">
        <f t="shared" si="10"/>
        <v>33.804841276171302</v>
      </c>
      <c r="I191" s="135">
        <f t="shared" si="11"/>
        <v>0</v>
      </c>
      <c r="J191" s="55">
        <f t="shared" si="12"/>
        <v>0</v>
      </c>
      <c r="K191" s="36"/>
    </row>
    <row r="192" spans="1:11" x14ac:dyDescent="0.25">
      <c r="A192" s="49">
        <f>'A) Base RI'!A193</f>
        <v>5715</v>
      </c>
      <c r="B192" s="284" t="str">
        <f>'A) Base RI'!B193</f>
        <v>Duillier</v>
      </c>
      <c r="C192" s="95">
        <f>'B) D RI'!U193</f>
        <v>70395.129393939395</v>
      </c>
      <c r="D192" s="398">
        <f>IF('E) PCS'!G198/'K) Plafonnement aide'!C192&gt;0,'E) PCS'!G198/'K) Plafonnement aide'!C192,0)</f>
        <v>21.936516049029041</v>
      </c>
      <c r="E192" s="135">
        <f>'H) Péréquation directe'!I202/C192</f>
        <v>16.157648796876916</v>
      </c>
      <c r="F192" s="398">
        <f>+'I) Dépenses thématiques'!U192</f>
        <v>0</v>
      </c>
      <c r="G192" s="135">
        <f t="shared" si="9"/>
        <v>38.094164845905958</v>
      </c>
      <c r="H192" s="109">
        <f t="shared" si="10"/>
        <v>38.094164845905958</v>
      </c>
      <c r="I192" s="135">
        <f t="shared" si="11"/>
        <v>0</v>
      </c>
      <c r="J192" s="55">
        <f t="shared" si="12"/>
        <v>0</v>
      </c>
      <c r="K192" s="36"/>
    </row>
    <row r="193" spans="1:11" x14ac:dyDescent="0.25">
      <c r="A193" s="49">
        <f>'A) Base RI'!A194</f>
        <v>5716</v>
      </c>
      <c r="B193" s="284" t="str">
        <f>'A) Base RI'!B194</f>
        <v>Eysins</v>
      </c>
      <c r="C193" s="95">
        <f>'B) D RI'!U194</f>
        <v>203854.36605042018</v>
      </c>
      <c r="D193" s="398">
        <f>IF('E) PCS'!G199/'K) Plafonnement aide'!C193&gt;0,'E) PCS'!G199/'K) Plafonnement aide'!C193,0)</f>
        <v>26.612902209543453</v>
      </c>
      <c r="E193" s="135">
        <f>'H) Péréquation directe'!I203/C193</f>
        <v>16.781155204296333</v>
      </c>
      <c r="F193" s="398">
        <f>+'I) Dépenses thématiques'!U193</f>
        <v>0</v>
      </c>
      <c r="G193" s="135">
        <f t="shared" si="9"/>
        <v>43.394057413839789</v>
      </c>
      <c r="H193" s="109">
        <f t="shared" si="10"/>
        <v>43.394057413839789</v>
      </c>
      <c r="I193" s="135">
        <f t="shared" si="11"/>
        <v>0</v>
      </c>
      <c r="J193" s="55">
        <f t="shared" si="12"/>
        <v>0</v>
      </c>
      <c r="K193" s="36"/>
    </row>
    <row r="194" spans="1:11" x14ac:dyDescent="0.25">
      <c r="A194" s="49">
        <f>'A) Base RI'!A195</f>
        <v>5717</v>
      </c>
      <c r="B194" s="284" t="str">
        <f>'A) Base RI'!B195</f>
        <v>Founex</v>
      </c>
      <c r="C194" s="95">
        <f>'B) D RI'!U195</f>
        <v>390728.72</v>
      </c>
      <c r="D194" s="398">
        <f>IF('E) PCS'!G200/'K) Plafonnement aide'!C194&gt;0,'E) PCS'!G200/'K) Plafonnement aide'!C194,0)</f>
        <v>24.907570267604171</v>
      </c>
      <c r="E194" s="135">
        <f>'H) Péréquation directe'!I204/C194</f>
        <v>15.497253700126695</v>
      </c>
      <c r="F194" s="398">
        <f>+'I) Dépenses thématiques'!U194</f>
        <v>0</v>
      </c>
      <c r="G194" s="135">
        <f t="shared" si="9"/>
        <v>40.404823967730863</v>
      </c>
      <c r="H194" s="109">
        <f t="shared" si="10"/>
        <v>40.404823967730863</v>
      </c>
      <c r="I194" s="135">
        <f t="shared" si="11"/>
        <v>0</v>
      </c>
      <c r="J194" s="55">
        <f t="shared" si="12"/>
        <v>0</v>
      </c>
      <c r="K194" s="36"/>
    </row>
    <row r="195" spans="1:11" x14ac:dyDescent="0.25">
      <c r="A195" s="49">
        <f>'A) Base RI'!A196</f>
        <v>5718</v>
      </c>
      <c r="B195" s="284" t="str">
        <f>'A) Base RI'!B196</f>
        <v>Genolier</v>
      </c>
      <c r="C195" s="95">
        <f>'B) D RI'!U196</f>
        <v>192274.57272727272</v>
      </c>
      <c r="D195" s="398">
        <f>IF('E) PCS'!G201/'K) Plafonnement aide'!C195&gt;0,'E) PCS'!G201/'K) Plafonnement aide'!C195,0)</f>
        <v>24.599370082389978</v>
      </c>
      <c r="E195" s="135">
        <f>'H) Péréquation directe'!I205/C195</f>
        <v>16.148787830271075</v>
      </c>
      <c r="F195" s="398">
        <f>+'I) Dépenses thématiques'!U195</f>
        <v>0</v>
      </c>
      <c r="G195" s="135">
        <f t="shared" si="9"/>
        <v>40.748157912661057</v>
      </c>
      <c r="H195" s="109">
        <f t="shared" si="10"/>
        <v>40.748157912661057</v>
      </c>
      <c r="I195" s="135">
        <f t="shared" si="11"/>
        <v>0</v>
      </c>
      <c r="J195" s="55">
        <f t="shared" si="12"/>
        <v>0</v>
      </c>
      <c r="K195" s="36"/>
    </row>
    <row r="196" spans="1:11" x14ac:dyDescent="0.25">
      <c r="A196" s="49">
        <f>'A) Base RI'!A197</f>
        <v>5719</v>
      </c>
      <c r="B196" s="284" t="str">
        <f>'A) Base RI'!B197</f>
        <v>Gingins</v>
      </c>
      <c r="C196" s="95">
        <f>'B) D RI'!U197</f>
        <v>151294.23883333337</v>
      </c>
      <c r="D196" s="398">
        <f>IF('E) PCS'!G202/'K) Plafonnement aide'!C196&gt;0,'E) PCS'!G202/'K) Plafonnement aide'!C196,0)</f>
        <v>28.586732018551697</v>
      </c>
      <c r="E196" s="135">
        <f>'H) Péréquation directe'!I206/C196</f>
        <v>17.217856349942622</v>
      </c>
      <c r="F196" s="398">
        <f>+'I) Dépenses thématiques'!U196</f>
        <v>0</v>
      </c>
      <c r="G196" s="135">
        <f t="shared" si="9"/>
        <v>45.804588368494322</v>
      </c>
      <c r="H196" s="109">
        <f t="shared" si="10"/>
        <v>45.804588368494322</v>
      </c>
      <c r="I196" s="135">
        <f t="shared" si="11"/>
        <v>0</v>
      </c>
      <c r="J196" s="55">
        <f t="shared" si="12"/>
        <v>0</v>
      </c>
      <c r="K196" s="36"/>
    </row>
    <row r="197" spans="1:11" x14ac:dyDescent="0.25">
      <c r="A197" s="49">
        <f>'A) Base RI'!A198</f>
        <v>5720</v>
      </c>
      <c r="B197" s="284" t="str">
        <f>'A) Base RI'!B198</f>
        <v>Givrins</v>
      </c>
      <c r="C197" s="95">
        <f>'B) D RI'!U198</f>
        <v>74789.829883913771</v>
      </c>
      <c r="D197" s="398">
        <f>IF('E) PCS'!G203/'K) Plafonnement aide'!C197&gt;0,'E) PCS'!G203/'K) Plafonnement aide'!C197,0)</f>
        <v>22.046367805768394</v>
      </c>
      <c r="E197" s="135">
        <f>'H) Péréquation directe'!I207/C197</f>
        <v>16.939517929487792</v>
      </c>
      <c r="F197" s="398">
        <f>+'I) Dépenses thématiques'!U197</f>
        <v>-0.61234766355465442</v>
      </c>
      <c r="G197" s="135">
        <f t="shared" si="9"/>
        <v>38.373538071701539</v>
      </c>
      <c r="H197" s="109">
        <f t="shared" si="10"/>
        <v>38.98588573525619</v>
      </c>
      <c r="I197" s="135">
        <f t="shared" si="11"/>
        <v>0</v>
      </c>
      <c r="J197" s="55">
        <f t="shared" si="12"/>
        <v>0</v>
      </c>
      <c r="K197" s="36"/>
    </row>
    <row r="198" spans="1:11" x14ac:dyDescent="0.25">
      <c r="A198" s="49">
        <f>'A) Base RI'!A199</f>
        <v>5721</v>
      </c>
      <c r="B198" s="284" t="str">
        <f>'A) Base RI'!B199</f>
        <v>Gland</v>
      </c>
      <c r="C198" s="95">
        <f>'B) D RI'!U199</f>
        <v>723023.81196721317</v>
      </c>
      <c r="D198" s="398">
        <f>IF('E) PCS'!G204/'K) Plafonnement aide'!C198&gt;0,'E) PCS'!G204/'K) Plafonnement aide'!C198,0)</f>
        <v>17.025693261814187</v>
      </c>
      <c r="E198" s="135">
        <f>'H) Péréquation directe'!I208/C198</f>
        <v>7.5000252022708649</v>
      </c>
      <c r="F198" s="398">
        <f>+'I) Dépenses thématiques'!U198</f>
        <v>0</v>
      </c>
      <c r="G198" s="135">
        <f t="shared" si="9"/>
        <v>24.525718464085053</v>
      </c>
      <c r="H198" s="109">
        <f t="shared" si="10"/>
        <v>24.525718464085053</v>
      </c>
      <c r="I198" s="135">
        <f t="shared" si="11"/>
        <v>0</v>
      </c>
      <c r="J198" s="55">
        <f t="shared" si="12"/>
        <v>0</v>
      </c>
      <c r="K198" s="36"/>
    </row>
    <row r="199" spans="1:11" x14ac:dyDescent="0.25">
      <c r="A199" s="49">
        <f>'A) Base RI'!A200</f>
        <v>5722</v>
      </c>
      <c r="B199" s="284" t="str">
        <f>'A) Base RI'!B200</f>
        <v>Grens</v>
      </c>
      <c r="C199" s="95">
        <f>'B) D RI'!U200</f>
        <v>22316.761129032264</v>
      </c>
      <c r="D199" s="398">
        <f>IF('E) PCS'!G205/'K) Plafonnement aide'!C199&gt;0,'E) PCS'!G205/'K) Plafonnement aide'!C199,0)</f>
        <v>14.36967760904791</v>
      </c>
      <c r="E199" s="135">
        <f>'H) Péréquation directe'!I209/C199</f>
        <v>16.412658534644123</v>
      </c>
      <c r="F199" s="398">
        <f>+'I) Dépenses thématiques'!U199</f>
        <v>0</v>
      </c>
      <c r="G199" s="135">
        <f t="shared" ref="G199:G262" si="13">SUM(D199:F199)</f>
        <v>30.782336143692035</v>
      </c>
      <c r="H199" s="109">
        <f t="shared" ref="H199:H262" si="14">G199-F199</f>
        <v>30.782336143692035</v>
      </c>
      <c r="I199" s="135">
        <f t="shared" ref="I199:I262" si="15">IF(H199&lt;I$5,H199-I$5,0)</f>
        <v>0</v>
      </c>
      <c r="J199" s="55">
        <f t="shared" ref="J199:J262" si="16">-I199*C199</f>
        <v>0</v>
      </c>
      <c r="K199" s="36"/>
    </row>
    <row r="200" spans="1:11" x14ac:dyDescent="0.25">
      <c r="A200" s="49">
        <f>'A) Base RI'!A201</f>
        <v>5723</v>
      </c>
      <c r="B200" s="284" t="str">
        <f>'A) Base RI'!B201</f>
        <v>Mies</v>
      </c>
      <c r="C200" s="95">
        <f>'B) D RI'!U201</f>
        <v>245974.84538461536</v>
      </c>
      <c r="D200" s="398">
        <f>IF('E) PCS'!G206/'K) Plafonnement aide'!C200&gt;0,'E) PCS'!G206/'K) Plafonnement aide'!C200,0)</f>
        <v>29.960477002200935</v>
      </c>
      <c r="E200" s="135">
        <f>'H) Péréquation directe'!I210/C200</f>
        <v>16.450093548656554</v>
      </c>
      <c r="F200" s="398">
        <f>+'I) Dépenses thématiques'!U200</f>
        <v>0</v>
      </c>
      <c r="G200" s="135">
        <f t="shared" si="13"/>
        <v>46.410570550857486</v>
      </c>
      <c r="H200" s="109">
        <f t="shared" si="14"/>
        <v>46.410570550857486</v>
      </c>
      <c r="I200" s="135">
        <f t="shared" si="15"/>
        <v>0</v>
      </c>
      <c r="J200" s="55">
        <f t="shared" si="16"/>
        <v>0</v>
      </c>
      <c r="K200" s="36"/>
    </row>
    <row r="201" spans="1:11" x14ac:dyDescent="0.25">
      <c r="A201" s="49">
        <f>'A) Base RI'!A202</f>
        <v>5724</v>
      </c>
      <c r="B201" s="284" t="str">
        <f>'A) Base RI'!B202</f>
        <v>Nyon</v>
      </c>
      <c r="C201" s="95">
        <f>'B) D RI'!U202</f>
        <v>1461873.0345355188</v>
      </c>
      <c r="D201" s="398">
        <f>IF('E) PCS'!G207/'K) Plafonnement aide'!C201&gt;0,'E) PCS'!G207/'K) Plafonnement aide'!C201,0)</f>
        <v>20.84221543559395</v>
      </c>
      <c r="E201" s="135">
        <f>'H) Péréquation directe'!I211/C201</f>
        <v>6.8744709692411172</v>
      </c>
      <c r="F201" s="398">
        <f>+'I) Dépenses thématiques'!U201</f>
        <v>-0.55532510252836353</v>
      </c>
      <c r="G201" s="135">
        <f t="shared" si="13"/>
        <v>27.161361302306702</v>
      </c>
      <c r="H201" s="109">
        <f t="shared" si="14"/>
        <v>27.716686404835066</v>
      </c>
      <c r="I201" s="135">
        <f t="shared" si="15"/>
        <v>0</v>
      </c>
      <c r="J201" s="55">
        <f t="shared" si="16"/>
        <v>0</v>
      </c>
      <c r="K201" s="36"/>
    </row>
    <row r="202" spans="1:11" x14ac:dyDescent="0.25">
      <c r="A202" s="49">
        <f>'A) Base RI'!A203</f>
        <v>5725</v>
      </c>
      <c r="B202" s="284" t="str">
        <f>'A) Base RI'!B203</f>
        <v>Prangins</v>
      </c>
      <c r="C202" s="95">
        <f>'B) D RI'!U203</f>
        <v>355082.58820779232</v>
      </c>
      <c r="D202" s="398">
        <f>IF('E) PCS'!G208/'K) Plafonnement aide'!C202&gt;0,'E) PCS'!G208/'K) Plafonnement aide'!C202,0)</f>
        <v>22.851500087777531</v>
      </c>
      <c r="E202" s="135">
        <f>'H) Péréquation directe'!I212/C202</f>
        <v>14.845873391806668</v>
      </c>
      <c r="F202" s="398">
        <f>+'I) Dépenses thématiques'!U202</f>
        <v>0</v>
      </c>
      <c r="G202" s="135">
        <f t="shared" si="13"/>
        <v>37.697373479584201</v>
      </c>
      <c r="H202" s="109">
        <f t="shared" si="14"/>
        <v>37.697373479584201</v>
      </c>
      <c r="I202" s="135">
        <f t="shared" si="15"/>
        <v>0</v>
      </c>
      <c r="J202" s="55">
        <f t="shared" si="16"/>
        <v>0</v>
      </c>
      <c r="K202" s="36"/>
    </row>
    <row r="203" spans="1:11" x14ac:dyDescent="0.25">
      <c r="A203" s="49">
        <f>'A) Base RI'!A204</f>
        <v>5726</v>
      </c>
      <c r="B203" s="284" t="str">
        <f>'A) Base RI'!B204</f>
        <v>La Rippe</v>
      </c>
      <c r="C203" s="95">
        <f>'B) D RI'!U204</f>
        <v>70366.469687500008</v>
      </c>
      <c r="D203" s="398">
        <f>IF('E) PCS'!G209/'K) Plafonnement aide'!C203&gt;0,'E) PCS'!G209/'K) Plafonnement aide'!C203,0)</f>
        <v>18.496481475649436</v>
      </c>
      <c r="E203" s="135">
        <f>'H) Péréquation directe'!I213/C203</f>
        <v>16.062316880570744</v>
      </c>
      <c r="F203" s="398">
        <f>+'I) Dépenses thématiques'!U203</f>
        <v>0</v>
      </c>
      <c r="G203" s="135">
        <f t="shared" si="13"/>
        <v>34.55879835622018</v>
      </c>
      <c r="H203" s="109">
        <f t="shared" si="14"/>
        <v>34.55879835622018</v>
      </c>
      <c r="I203" s="135">
        <f t="shared" si="15"/>
        <v>0</v>
      </c>
      <c r="J203" s="55">
        <f t="shared" si="16"/>
        <v>0</v>
      </c>
      <c r="K203" s="36"/>
    </row>
    <row r="204" spans="1:11" x14ac:dyDescent="0.25">
      <c r="A204" s="49">
        <f>'A) Base RI'!A205</f>
        <v>5727</v>
      </c>
      <c r="B204" s="284" t="str">
        <f>'A) Base RI'!B205</f>
        <v>Saint-Cergue</v>
      </c>
      <c r="C204" s="95">
        <f>'B) D RI'!U205</f>
        <v>106173.30404040407</v>
      </c>
      <c r="D204" s="398">
        <f>IF('E) PCS'!G210/'K) Plafonnement aide'!C204&gt;0,'E) PCS'!G210/'K) Plafonnement aide'!C204,0)</f>
        <v>19.133812797578454</v>
      </c>
      <c r="E204" s="135">
        <f>'H) Péréquation directe'!I214/C204</f>
        <v>7.259041162721064</v>
      </c>
      <c r="F204" s="398">
        <f>+'I) Dépenses thématiques'!U204</f>
        <v>-4.4393593284796378</v>
      </c>
      <c r="G204" s="135">
        <f t="shared" si="13"/>
        <v>21.953494631819879</v>
      </c>
      <c r="H204" s="109">
        <f t="shared" si="14"/>
        <v>26.392853960299519</v>
      </c>
      <c r="I204" s="135">
        <f t="shared" si="15"/>
        <v>0</v>
      </c>
      <c r="J204" s="55">
        <f t="shared" si="16"/>
        <v>0</v>
      </c>
      <c r="K204" s="36"/>
    </row>
    <row r="205" spans="1:11" x14ac:dyDescent="0.25">
      <c r="A205" s="49">
        <f>'A) Base RI'!A206</f>
        <v>5728</v>
      </c>
      <c r="B205" s="284" t="str">
        <f>'A) Base RI'!B206</f>
        <v>Signy-Avenex</v>
      </c>
      <c r="C205" s="95">
        <f>'B) D RI'!U206</f>
        <v>56477.02620689656</v>
      </c>
      <c r="D205" s="398">
        <f>IF('E) PCS'!G211/'K) Plafonnement aide'!C205&gt;0,'E) PCS'!G211/'K) Plafonnement aide'!C205,0)</f>
        <v>24.886116032299959</v>
      </c>
      <c r="E205" s="135">
        <f>'H) Péréquation directe'!I215/C205</f>
        <v>17.364248688507427</v>
      </c>
      <c r="F205" s="398">
        <f>+'I) Dépenses thématiques'!U205</f>
        <v>0</v>
      </c>
      <c r="G205" s="135">
        <f t="shared" si="13"/>
        <v>42.250364720807383</v>
      </c>
      <c r="H205" s="109">
        <f t="shared" si="14"/>
        <v>42.250364720807383</v>
      </c>
      <c r="I205" s="135">
        <f t="shared" si="15"/>
        <v>0</v>
      </c>
      <c r="J205" s="55">
        <f t="shared" si="16"/>
        <v>0</v>
      </c>
      <c r="K205" s="36"/>
    </row>
    <row r="206" spans="1:11" x14ac:dyDescent="0.25">
      <c r="A206" s="49">
        <f>'A) Base RI'!A207</f>
        <v>5729</v>
      </c>
      <c r="B206" s="284" t="str">
        <f>'A) Base RI'!B207</f>
        <v>Tannay</v>
      </c>
      <c r="C206" s="95">
        <f>'B) D RI'!U207</f>
        <v>161688.04044077132</v>
      </c>
      <c r="D206" s="398">
        <f>IF('E) PCS'!G212/'K) Plafonnement aide'!C206&gt;0,'E) PCS'!G212/'K) Plafonnement aide'!C206,0)</f>
        <v>26.412829285930666</v>
      </c>
      <c r="E206" s="135">
        <f>'H) Péréquation directe'!I216/C206</f>
        <v>16.491433205398746</v>
      </c>
      <c r="F206" s="398">
        <f>+'I) Dépenses thématiques'!U206</f>
        <v>0</v>
      </c>
      <c r="G206" s="135">
        <f t="shared" si="13"/>
        <v>42.904262491329412</v>
      </c>
      <c r="H206" s="109">
        <f t="shared" si="14"/>
        <v>42.904262491329412</v>
      </c>
      <c r="I206" s="135">
        <f t="shared" si="15"/>
        <v>0</v>
      </c>
      <c r="J206" s="55">
        <f t="shared" si="16"/>
        <v>0</v>
      </c>
      <c r="K206" s="36"/>
    </row>
    <row r="207" spans="1:11" x14ac:dyDescent="0.25">
      <c r="A207" s="49">
        <f>'A) Base RI'!A208</f>
        <v>5730</v>
      </c>
      <c r="B207" s="284" t="str">
        <f>'A) Base RI'!B208</f>
        <v>Trélex</v>
      </c>
      <c r="C207" s="95">
        <f>'B) D RI'!U208</f>
        <v>125085.64878878882</v>
      </c>
      <c r="D207" s="398">
        <f>IF('E) PCS'!G213/'K) Plafonnement aide'!C207&gt;0,'E) PCS'!G213/'K) Plafonnement aide'!C207,0)</f>
        <v>26.129785361070077</v>
      </c>
      <c r="E207" s="135">
        <f>'H) Péréquation directe'!I217/C207</f>
        <v>16.431017557217519</v>
      </c>
      <c r="F207" s="398">
        <f>+'I) Dépenses thématiques'!U207</f>
        <v>0</v>
      </c>
      <c r="G207" s="135">
        <f t="shared" si="13"/>
        <v>42.560802918287592</v>
      </c>
      <c r="H207" s="109">
        <f t="shared" si="14"/>
        <v>42.560802918287592</v>
      </c>
      <c r="I207" s="135">
        <f t="shared" si="15"/>
        <v>0</v>
      </c>
      <c r="J207" s="55">
        <f t="shared" si="16"/>
        <v>0</v>
      </c>
      <c r="K207" s="36"/>
    </row>
    <row r="208" spans="1:11" x14ac:dyDescent="0.25">
      <c r="A208" s="49">
        <f>'A) Base RI'!A209</f>
        <v>5731</v>
      </c>
      <c r="B208" s="284" t="str">
        <f>'A) Base RI'!B209</f>
        <v>Le Vaud</v>
      </c>
      <c r="C208" s="95">
        <f>'B) D RI'!U209</f>
        <v>69596.613288288281</v>
      </c>
      <c r="D208" s="398">
        <f>IF('E) PCS'!G214/'K) Plafonnement aide'!C208&gt;0,'E) PCS'!G214/'K) Plafonnement aide'!C208,0)</f>
        <v>14.672728938158514</v>
      </c>
      <c r="E208" s="135">
        <f>'H) Péréquation directe'!I218/C208</f>
        <v>14.919458875003484</v>
      </c>
      <c r="F208" s="398">
        <f>+'I) Dépenses thématiques'!U208</f>
        <v>-2.2229432289962419</v>
      </c>
      <c r="G208" s="135">
        <f t="shared" si="13"/>
        <v>27.369244584165756</v>
      </c>
      <c r="H208" s="109">
        <f t="shared" si="14"/>
        <v>29.592187813161999</v>
      </c>
      <c r="I208" s="135">
        <f t="shared" si="15"/>
        <v>0</v>
      </c>
      <c r="J208" s="55">
        <f t="shared" si="16"/>
        <v>0</v>
      </c>
      <c r="K208" s="36"/>
    </row>
    <row r="209" spans="1:11" x14ac:dyDescent="0.25">
      <c r="A209" s="49">
        <f>'A) Base RI'!A210</f>
        <v>5732</v>
      </c>
      <c r="B209" s="284" t="str">
        <f>'A) Base RI'!B210</f>
        <v>Vich</v>
      </c>
      <c r="C209" s="95">
        <f>'B) D RI'!U210</f>
        <v>86538.031587301579</v>
      </c>
      <c r="D209" s="398">
        <f>IF('E) PCS'!G215/'K) Plafonnement aide'!C209&gt;0,'E) PCS'!G215/'K) Plafonnement aide'!C209,0)</f>
        <v>19.768024359808113</v>
      </c>
      <c r="E209" s="135">
        <f>'H) Péréquation directe'!I219/C209</f>
        <v>16.578960351558081</v>
      </c>
      <c r="F209" s="398">
        <f>+'I) Dépenses thématiques'!U209</f>
        <v>0</v>
      </c>
      <c r="G209" s="135">
        <f t="shared" si="13"/>
        <v>36.34698471136619</v>
      </c>
      <c r="H209" s="109">
        <f t="shared" si="14"/>
        <v>36.34698471136619</v>
      </c>
      <c r="I209" s="135">
        <f t="shared" si="15"/>
        <v>0</v>
      </c>
      <c r="J209" s="55">
        <f t="shared" si="16"/>
        <v>0</v>
      </c>
      <c r="K209" s="36"/>
    </row>
    <row r="210" spans="1:11" x14ac:dyDescent="0.25">
      <c r="A210" s="49">
        <f>'A) Base RI'!A211</f>
        <v>5741</v>
      </c>
      <c r="B210" s="284" t="str">
        <f>'A) Base RI'!B211</f>
        <v>L'Abergement</v>
      </c>
      <c r="C210" s="95">
        <f>'B) D RI'!U211</f>
        <v>8987.3782921810707</v>
      </c>
      <c r="D210" s="398">
        <f>IF('E) PCS'!G216/'K) Plafonnement aide'!C210&gt;0,'E) PCS'!G216/'K) Plafonnement aide'!C210,0)</f>
        <v>15.682798505860397</v>
      </c>
      <c r="E210" s="135">
        <f>'H) Péréquation directe'!I220/C210</f>
        <v>5.4975017759666835</v>
      </c>
      <c r="F210" s="398">
        <f>+'I) Dépenses thématiques'!U210</f>
        <v>-12.099851924825025</v>
      </c>
      <c r="G210" s="135">
        <f t="shared" si="13"/>
        <v>9.0804483570020551</v>
      </c>
      <c r="H210" s="109">
        <f t="shared" si="14"/>
        <v>21.18030028182708</v>
      </c>
      <c r="I210" s="135">
        <f t="shared" si="15"/>
        <v>0</v>
      </c>
      <c r="J210" s="55">
        <f t="shared" si="16"/>
        <v>0</v>
      </c>
      <c r="K210" s="36"/>
    </row>
    <row r="211" spans="1:11" x14ac:dyDescent="0.25">
      <c r="A211" s="49">
        <f>'A) Base RI'!A212</f>
        <v>5742</v>
      </c>
      <c r="B211" s="284" t="str">
        <f>'A) Base RI'!B212</f>
        <v>Agiez</v>
      </c>
      <c r="C211" s="95">
        <f>'B) D RI'!U212</f>
        <v>10160.069605263159</v>
      </c>
      <c r="D211" s="398">
        <f>IF('E) PCS'!G217/'K) Plafonnement aide'!C211&gt;0,'E) PCS'!G217/'K) Plafonnement aide'!C211,0)</f>
        <v>12.41906386815797</v>
      </c>
      <c r="E211" s="135">
        <f>'H) Péréquation directe'!I221/C211</f>
        <v>-4.0817603053606177</v>
      </c>
      <c r="F211" s="398">
        <f>+'I) Dépenses thématiques'!U211</f>
        <v>-5.1061195621730144</v>
      </c>
      <c r="G211" s="135">
        <f t="shared" si="13"/>
        <v>3.2311840006243377</v>
      </c>
      <c r="H211" s="109">
        <f t="shared" si="14"/>
        <v>8.3373035627973522</v>
      </c>
      <c r="I211" s="135">
        <f t="shared" si="15"/>
        <v>0</v>
      </c>
      <c r="J211" s="55">
        <f t="shared" si="16"/>
        <v>0</v>
      </c>
      <c r="K211" s="36"/>
    </row>
    <row r="212" spans="1:11" x14ac:dyDescent="0.25">
      <c r="A212" s="49">
        <f>'A) Base RI'!A213</f>
        <v>5743</v>
      </c>
      <c r="B212" s="284" t="str">
        <f>'A) Base RI'!B213</f>
        <v>Arnex-sur-Orbe</v>
      </c>
      <c r="C212" s="95">
        <f>'B) D RI'!U213</f>
        <v>18533.117816901413</v>
      </c>
      <c r="D212" s="398">
        <f>IF('E) PCS'!G218/'K) Plafonnement aide'!C212&gt;0,'E) PCS'!G218/'K) Plafonnement aide'!C212,0)</f>
        <v>14.743239908741394</v>
      </c>
      <c r="E212" s="135">
        <f>'H) Péréquation directe'!I222/C212</f>
        <v>-0.64531688631935225</v>
      </c>
      <c r="F212" s="398">
        <f>+'I) Dépenses thématiques'!U212</f>
        <v>-5.4204610412058178</v>
      </c>
      <c r="G212" s="135">
        <f t="shared" si="13"/>
        <v>8.6774619812162257</v>
      </c>
      <c r="H212" s="109">
        <f t="shared" si="14"/>
        <v>14.097923022422044</v>
      </c>
      <c r="I212" s="135">
        <f t="shared" si="15"/>
        <v>0</v>
      </c>
      <c r="J212" s="55">
        <f t="shared" si="16"/>
        <v>0</v>
      </c>
      <c r="K212" s="36"/>
    </row>
    <row r="213" spans="1:11" x14ac:dyDescent="0.25">
      <c r="A213" s="49">
        <f>'A) Base RI'!A214</f>
        <v>5744</v>
      </c>
      <c r="B213" s="284" t="str">
        <f>'A) Base RI'!B214</f>
        <v>Ballaigues</v>
      </c>
      <c r="C213" s="95">
        <f>'B) D RI'!U214</f>
        <v>49245.2596923077</v>
      </c>
      <c r="D213" s="398">
        <f>IF('E) PCS'!G219/'K) Plafonnement aide'!C213&gt;0,'E) PCS'!G219/'K) Plafonnement aide'!C213,0)</f>
        <v>24.295674030733689</v>
      </c>
      <c r="E213" s="135">
        <f>'H) Péréquation directe'!I223/C213</f>
        <v>12.319191416292639</v>
      </c>
      <c r="F213" s="398">
        <f>+'I) Dépenses thématiques'!U213</f>
        <v>-8.0331843013656954</v>
      </c>
      <c r="G213" s="135">
        <f t="shared" si="13"/>
        <v>28.581681145660639</v>
      </c>
      <c r="H213" s="109">
        <f t="shared" si="14"/>
        <v>36.614865447026332</v>
      </c>
      <c r="I213" s="135">
        <f t="shared" si="15"/>
        <v>0</v>
      </c>
      <c r="J213" s="55">
        <f t="shared" si="16"/>
        <v>0</v>
      </c>
      <c r="K213" s="36"/>
    </row>
    <row r="214" spans="1:11" x14ac:dyDescent="0.25">
      <c r="A214" s="49">
        <f>'A) Base RI'!A215</f>
        <v>5745</v>
      </c>
      <c r="B214" s="284" t="str">
        <f>'A) Base RI'!B215</f>
        <v>Baulmes</v>
      </c>
      <c r="C214" s="95">
        <f>'B) D RI'!U215</f>
        <v>28471.572156862745</v>
      </c>
      <c r="D214" s="398">
        <f>IF('E) PCS'!G220/'K) Plafonnement aide'!C214&gt;0,'E) PCS'!G220/'K) Plafonnement aide'!C214,0)</f>
        <v>18.168903128315989</v>
      </c>
      <c r="E214" s="135">
        <f>'H) Péréquation directe'!I224/C214</f>
        <v>-8.6288363025908268</v>
      </c>
      <c r="F214" s="398">
        <f>+'I) Dépenses thématiques'!U214</f>
        <v>-15.346724990592268</v>
      </c>
      <c r="G214" s="135">
        <f t="shared" si="13"/>
        <v>-5.8066581648671054</v>
      </c>
      <c r="H214" s="109">
        <f t="shared" si="14"/>
        <v>9.5400668257251624</v>
      </c>
      <c r="I214" s="135">
        <f t="shared" si="15"/>
        <v>0</v>
      </c>
      <c r="J214" s="55">
        <f t="shared" si="16"/>
        <v>0</v>
      </c>
      <c r="K214" s="36"/>
    </row>
    <row r="215" spans="1:11" x14ac:dyDescent="0.25">
      <c r="A215" s="49">
        <f>'A) Base RI'!A216</f>
        <v>5746</v>
      </c>
      <c r="B215" s="284" t="str">
        <f>'A) Base RI'!B216</f>
        <v>Bavois</v>
      </c>
      <c r="C215" s="95">
        <f>'B) D RI'!U216</f>
        <v>27408.124908675796</v>
      </c>
      <c r="D215" s="398">
        <f>IF('E) PCS'!G221/'K) Plafonnement aide'!C215&gt;0,'E) PCS'!G221/'K) Plafonnement aide'!C215,0)</f>
        <v>18.396670501448575</v>
      </c>
      <c r="E215" s="135">
        <f>'H) Péréquation directe'!I225/C215</f>
        <v>-1.2625820247999104</v>
      </c>
      <c r="F215" s="398">
        <f>+'I) Dépenses thématiques'!U215</f>
        <v>-6.9533088272708827</v>
      </c>
      <c r="G215" s="135">
        <f t="shared" si="13"/>
        <v>10.180779649377781</v>
      </c>
      <c r="H215" s="109">
        <f t="shared" si="14"/>
        <v>17.134088476648664</v>
      </c>
      <c r="I215" s="135">
        <f t="shared" si="15"/>
        <v>0</v>
      </c>
      <c r="J215" s="55">
        <f t="shared" si="16"/>
        <v>0</v>
      </c>
      <c r="K215" s="36"/>
    </row>
    <row r="216" spans="1:11" x14ac:dyDescent="0.25">
      <c r="A216" s="49">
        <f>'A) Base RI'!A217</f>
        <v>5747</v>
      </c>
      <c r="B216" s="284" t="str">
        <f>'A) Base RI'!B217</f>
        <v>Bofflens</v>
      </c>
      <c r="C216" s="95">
        <f>'B) D RI'!U217</f>
        <v>5808.1759420289845</v>
      </c>
      <c r="D216" s="398">
        <f>IF('E) PCS'!G222/'K) Plafonnement aide'!C216&gt;0,'E) PCS'!G222/'K) Plafonnement aide'!C216,0)</f>
        <v>12.227595995117701</v>
      </c>
      <c r="E216" s="135">
        <f>'H) Péréquation directe'!I226/C216</f>
        <v>0.61110142921959199</v>
      </c>
      <c r="F216" s="398">
        <f>+'I) Dépenses thématiques'!U216</f>
        <v>-4.0367569064437774</v>
      </c>
      <c r="G216" s="135">
        <f t="shared" si="13"/>
        <v>8.8019405178935166</v>
      </c>
      <c r="H216" s="109">
        <f t="shared" si="14"/>
        <v>12.838697424337294</v>
      </c>
      <c r="I216" s="135">
        <f t="shared" si="15"/>
        <v>0</v>
      </c>
      <c r="J216" s="55">
        <f t="shared" si="16"/>
        <v>0</v>
      </c>
      <c r="K216" s="36"/>
    </row>
    <row r="217" spans="1:11" x14ac:dyDescent="0.25">
      <c r="A217" s="49">
        <f>'A) Base RI'!A218</f>
        <v>5748</v>
      </c>
      <c r="B217" s="284" t="str">
        <f>'A) Base RI'!B218</f>
        <v>Bretonnières</v>
      </c>
      <c r="C217" s="95">
        <f>'B) D RI'!U218</f>
        <v>6643.6153664302601</v>
      </c>
      <c r="D217" s="398">
        <f>IF('E) PCS'!G223/'K) Plafonnement aide'!C217&gt;0,'E) PCS'!G223/'K) Plafonnement aide'!C217,0)</f>
        <v>14.738333891964814</v>
      </c>
      <c r="E217" s="135">
        <f>'H) Péréquation directe'!I227/C217</f>
        <v>-4.9485994458961757</v>
      </c>
      <c r="F217" s="398">
        <f>+'I) Dépenses thématiques'!U217</f>
        <v>-8.6772118224529056</v>
      </c>
      <c r="G217" s="135">
        <f t="shared" si="13"/>
        <v>1.1125226236157335</v>
      </c>
      <c r="H217" s="109">
        <f t="shared" si="14"/>
        <v>9.7897344460686391</v>
      </c>
      <c r="I217" s="135">
        <f t="shared" si="15"/>
        <v>0</v>
      </c>
      <c r="J217" s="55">
        <f t="shared" si="16"/>
        <v>0</v>
      </c>
      <c r="K217" s="36"/>
    </row>
    <row r="218" spans="1:11" x14ac:dyDescent="0.25">
      <c r="A218" s="49">
        <f>'A) Base RI'!A219</f>
        <v>5749</v>
      </c>
      <c r="B218" s="284" t="str">
        <f>'A) Base RI'!B219</f>
        <v>Chavornay</v>
      </c>
      <c r="C218" s="95">
        <f>'B) D RI'!U219</f>
        <v>153338.61687943264</v>
      </c>
      <c r="D218" s="398">
        <f>IF('E) PCS'!G224/'K) Plafonnement aide'!C218&gt;0,'E) PCS'!G224/'K) Plafonnement aide'!C218,0)</f>
        <v>15.300768143862642</v>
      </c>
      <c r="E218" s="135">
        <f>'H) Péréquation directe'!I228/C218</f>
        <v>-8.4158719595650382</v>
      </c>
      <c r="F218" s="398">
        <f>+'I) Dépenses thématiques'!U218</f>
        <v>-4.1337896412762731</v>
      </c>
      <c r="G218" s="135">
        <f t="shared" si="13"/>
        <v>2.7511065430213311</v>
      </c>
      <c r="H218" s="109">
        <f t="shared" si="14"/>
        <v>6.8848961842976042</v>
      </c>
      <c r="I218" s="135">
        <f t="shared" si="15"/>
        <v>0</v>
      </c>
      <c r="J218" s="55">
        <f t="shared" si="16"/>
        <v>0</v>
      </c>
      <c r="K218" s="36"/>
    </row>
    <row r="219" spans="1:11" x14ac:dyDescent="0.25">
      <c r="A219" s="49">
        <f>'A) Base RI'!A220</f>
        <v>5750</v>
      </c>
      <c r="B219" s="284" t="str">
        <f>'A) Base RI'!B220</f>
        <v>Les Clées</v>
      </c>
      <c r="C219" s="95">
        <f>'B) D RI'!U220</f>
        <v>4819.774166666667</v>
      </c>
      <c r="D219" s="398">
        <f>IF('E) PCS'!G225/'K) Plafonnement aide'!C219&gt;0,'E) PCS'!G225/'K) Plafonnement aide'!C219,0)</f>
        <v>16.876558440155389</v>
      </c>
      <c r="E219" s="135">
        <f>'H) Péréquation directe'!I229/C219</f>
        <v>-7.2005554045872531</v>
      </c>
      <c r="F219" s="398">
        <f>+'I) Dépenses thématiques'!U219</f>
        <v>-9.4905949518035833</v>
      </c>
      <c r="G219" s="135">
        <f t="shared" si="13"/>
        <v>0.18540808376455331</v>
      </c>
      <c r="H219" s="109">
        <f t="shared" si="14"/>
        <v>9.6760030355681366</v>
      </c>
      <c r="I219" s="135">
        <f t="shared" si="15"/>
        <v>0</v>
      </c>
      <c r="J219" s="55">
        <f t="shared" si="16"/>
        <v>0</v>
      </c>
      <c r="K219" s="36"/>
    </row>
    <row r="220" spans="1:11" x14ac:dyDescent="0.25">
      <c r="A220" s="49">
        <f>'A) Base RI'!A221</f>
        <v>5752</v>
      </c>
      <c r="B220" s="284" t="str">
        <f>'A) Base RI'!B221</f>
        <v>Croy</v>
      </c>
      <c r="C220" s="95">
        <f>'B) D RI'!U221</f>
        <v>9670.9952316602321</v>
      </c>
      <c r="D220" s="398">
        <f>IF('E) PCS'!G226/'K) Plafonnement aide'!C220&gt;0,'E) PCS'!G226/'K) Plafonnement aide'!C220,0)</f>
        <v>14.181553054199183</v>
      </c>
      <c r="E220" s="135">
        <f>'H) Péréquation directe'!I230/C220</f>
        <v>-7.1831798856907056</v>
      </c>
      <c r="F220" s="398">
        <f>+'I) Dépenses thématiques'!U220</f>
        <v>0</v>
      </c>
      <c r="G220" s="135">
        <f t="shared" si="13"/>
        <v>6.9983731685084773</v>
      </c>
      <c r="H220" s="109">
        <f t="shared" si="14"/>
        <v>6.9983731685084773</v>
      </c>
      <c r="I220" s="135">
        <f t="shared" si="15"/>
        <v>0</v>
      </c>
      <c r="J220" s="55">
        <f t="shared" si="16"/>
        <v>0</v>
      </c>
      <c r="K220" s="36"/>
    </row>
    <row r="221" spans="1:11" x14ac:dyDescent="0.25">
      <c r="A221" s="49">
        <f>'A) Base RI'!A222</f>
        <v>5754</v>
      </c>
      <c r="B221" s="284" t="str">
        <f>'A) Base RI'!B222</f>
        <v>Juriens</v>
      </c>
      <c r="C221" s="95">
        <f>'B) D RI'!U222</f>
        <v>9073.6935443037964</v>
      </c>
      <c r="D221" s="398">
        <f>IF('E) PCS'!G227/'K) Plafonnement aide'!C221&gt;0,'E) PCS'!G227/'K) Plafonnement aide'!C221,0)</f>
        <v>19.371043165076664</v>
      </c>
      <c r="E221" s="135">
        <f>'H) Péréquation directe'!I231/C221</f>
        <v>-7.4625112263497924</v>
      </c>
      <c r="F221" s="398">
        <f>+'I) Dépenses thématiques'!U221</f>
        <v>-4.3151466803206429</v>
      </c>
      <c r="G221" s="135">
        <f t="shared" si="13"/>
        <v>7.5933852584062276</v>
      </c>
      <c r="H221" s="109">
        <f t="shared" si="14"/>
        <v>11.90853193872687</v>
      </c>
      <c r="I221" s="135">
        <f t="shared" si="15"/>
        <v>0</v>
      </c>
      <c r="J221" s="55">
        <f t="shared" si="16"/>
        <v>0</v>
      </c>
      <c r="K221" s="36"/>
    </row>
    <row r="222" spans="1:11" x14ac:dyDescent="0.25">
      <c r="A222" s="49">
        <f>'A) Base RI'!A223</f>
        <v>5755</v>
      </c>
      <c r="B222" s="284" t="str">
        <f>'A) Base RI'!B223</f>
        <v>Lignerolle</v>
      </c>
      <c r="C222" s="95">
        <f>'B) D RI'!U223</f>
        <v>10746.718034576888</v>
      </c>
      <c r="D222" s="398">
        <f>IF('E) PCS'!G228/'K) Plafonnement aide'!C222&gt;0,'E) PCS'!G228/'K) Plafonnement aide'!C222,0)</f>
        <v>15.607429011591014</v>
      </c>
      <c r="E222" s="135">
        <f>'H) Péréquation directe'!I232/C222</f>
        <v>-6.8058731331327973</v>
      </c>
      <c r="F222" s="398">
        <f>+'I) Dépenses thématiques'!U222</f>
        <v>-27.059228904208904</v>
      </c>
      <c r="G222" s="135">
        <f t="shared" si="13"/>
        <v>-18.257673025750687</v>
      </c>
      <c r="H222" s="109">
        <f t="shared" si="14"/>
        <v>8.8015558784582169</v>
      </c>
      <c r="I222" s="135">
        <f t="shared" si="15"/>
        <v>0</v>
      </c>
      <c r="J222" s="55">
        <f t="shared" si="16"/>
        <v>0</v>
      </c>
      <c r="K222" s="36"/>
    </row>
    <row r="223" spans="1:11" x14ac:dyDescent="0.25">
      <c r="A223" s="49">
        <f>'A) Base RI'!A224</f>
        <v>5756</v>
      </c>
      <c r="B223" s="284" t="str">
        <f>'A) Base RI'!B224</f>
        <v>Montcherand</v>
      </c>
      <c r="C223" s="95">
        <f>'B) D RI'!U224</f>
        <v>17739.52444444444</v>
      </c>
      <c r="D223" s="398">
        <f>IF('E) PCS'!G229/'K) Plafonnement aide'!C223&gt;0,'E) PCS'!G229/'K) Plafonnement aide'!C223,0)</f>
        <v>13.88586681257801</v>
      </c>
      <c r="E223" s="135">
        <f>'H) Péréquation directe'!I233/C223</f>
        <v>7.4776803156185263</v>
      </c>
      <c r="F223" s="398">
        <f>+'I) Dépenses thématiques'!U223</f>
        <v>-1.9776518498679554</v>
      </c>
      <c r="G223" s="135">
        <f t="shared" si="13"/>
        <v>19.385895278328583</v>
      </c>
      <c r="H223" s="109">
        <f t="shared" si="14"/>
        <v>21.363547128196537</v>
      </c>
      <c r="I223" s="135">
        <f t="shared" si="15"/>
        <v>0</v>
      </c>
      <c r="J223" s="55">
        <f t="shared" si="16"/>
        <v>0</v>
      </c>
      <c r="K223" s="36"/>
    </row>
    <row r="224" spans="1:11" x14ac:dyDescent="0.25">
      <c r="A224" s="49">
        <f>'A) Base RI'!A225</f>
        <v>5757</v>
      </c>
      <c r="B224" s="284" t="str">
        <f>'A) Base RI'!B225</f>
        <v>Orbe</v>
      </c>
      <c r="C224" s="95">
        <f>'B) D RI'!U225</f>
        <v>216184.82317880794</v>
      </c>
      <c r="D224" s="398">
        <f>IF('E) PCS'!G230/'K) Plafonnement aide'!C224&gt;0,'E) PCS'!G230/'K) Plafonnement aide'!C224,0)</f>
        <v>19.901354626684661</v>
      </c>
      <c r="E224" s="135">
        <f>'H) Péréquation directe'!I234/C224</f>
        <v>-12.69765242129186</v>
      </c>
      <c r="F224" s="398">
        <f>+'I) Dépenses thématiques'!U224</f>
        <v>-9.2084693164635549</v>
      </c>
      <c r="G224" s="135">
        <f t="shared" si="13"/>
        <v>-2.0047671110707537</v>
      </c>
      <c r="H224" s="109">
        <f t="shared" si="14"/>
        <v>7.2037022053928013</v>
      </c>
      <c r="I224" s="135">
        <f t="shared" si="15"/>
        <v>0</v>
      </c>
      <c r="J224" s="55">
        <f t="shared" si="16"/>
        <v>0</v>
      </c>
      <c r="K224" s="36"/>
    </row>
    <row r="225" spans="1:11" x14ac:dyDescent="0.25">
      <c r="A225" s="49">
        <f>'A) Base RI'!A226</f>
        <v>5758</v>
      </c>
      <c r="B225" s="284" t="str">
        <f>'A) Base RI'!B226</f>
        <v>La Praz</v>
      </c>
      <c r="C225" s="95">
        <f>'B) D RI'!U226</f>
        <v>4771.8661445783146</v>
      </c>
      <c r="D225" s="398">
        <f>IF('E) PCS'!G231/'K) Plafonnement aide'!C225&gt;0,'E) PCS'!G231/'K) Plafonnement aide'!C225,0)</f>
        <v>16.78308111923473</v>
      </c>
      <c r="E225" s="135">
        <f>'H) Péréquation directe'!I235/C225</f>
        <v>-9.3681304925867313</v>
      </c>
      <c r="F225" s="398">
        <f>+'I) Dépenses thématiques'!U225</f>
        <v>-8.3802231497974944</v>
      </c>
      <c r="G225" s="135">
        <f t="shared" si="13"/>
        <v>-0.96527252314949585</v>
      </c>
      <c r="H225" s="109">
        <f t="shared" si="14"/>
        <v>7.4149506266479985</v>
      </c>
      <c r="I225" s="135">
        <f t="shared" si="15"/>
        <v>0</v>
      </c>
      <c r="J225" s="55">
        <f t="shared" si="16"/>
        <v>0</v>
      </c>
      <c r="K225" s="36"/>
    </row>
    <row r="226" spans="1:11" x14ac:dyDescent="0.25">
      <c r="A226" s="49">
        <f>'A) Base RI'!A227</f>
        <v>5759</v>
      </c>
      <c r="B226" s="284" t="str">
        <f>'A) Base RI'!B227</f>
        <v>Premier</v>
      </c>
      <c r="C226" s="95">
        <f>'B) D RI'!U227</f>
        <v>5900.0572327044019</v>
      </c>
      <c r="D226" s="398">
        <f>IF('E) PCS'!G232/'K) Plafonnement aide'!C226&gt;0,'E) PCS'!G232/'K) Plafonnement aide'!C226,0)</f>
        <v>12.420739068412802</v>
      </c>
      <c r="E226" s="135">
        <f>'H) Péréquation directe'!I236/C226</f>
        <v>-9.0379043443589833</v>
      </c>
      <c r="F226" s="398">
        <f>+'I) Dépenses thématiques'!U226</f>
        <v>-12.346721532708724</v>
      </c>
      <c r="G226" s="135">
        <f t="shared" si="13"/>
        <v>-8.9638868086549053</v>
      </c>
      <c r="H226" s="109">
        <f t="shared" si="14"/>
        <v>3.3828347240538186</v>
      </c>
      <c r="I226" s="135">
        <f t="shared" si="15"/>
        <v>0</v>
      </c>
      <c r="J226" s="55">
        <f t="shared" si="16"/>
        <v>0</v>
      </c>
      <c r="K226" s="36"/>
    </row>
    <row r="227" spans="1:11" x14ac:dyDescent="0.25">
      <c r="A227" s="49">
        <f>'A) Base RI'!A228</f>
        <v>5760</v>
      </c>
      <c r="B227" s="284" t="str">
        <f>'A) Base RI'!B228</f>
        <v>Rances</v>
      </c>
      <c r="C227" s="95">
        <f>'B) D RI'!U228</f>
        <v>14481.892461873636</v>
      </c>
      <c r="D227" s="398">
        <f>IF('E) PCS'!G233/'K) Plafonnement aide'!C227&gt;0,'E) PCS'!G233/'K) Plafonnement aide'!C227,0)</f>
        <v>16.084970294654681</v>
      </c>
      <c r="E227" s="135">
        <f>'H) Péréquation directe'!I237/C227</f>
        <v>-2.368782068423684</v>
      </c>
      <c r="F227" s="398">
        <f>+'I) Dépenses thématiques'!U227</f>
        <v>-8.8053910231739732</v>
      </c>
      <c r="G227" s="135">
        <f t="shared" si="13"/>
        <v>4.9107972030570242</v>
      </c>
      <c r="H227" s="109">
        <f t="shared" si="14"/>
        <v>13.716188226230997</v>
      </c>
      <c r="I227" s="135">
        <f t="shared" si="15"/>
        <v>0</v>
      </c>
      <c r="J227" s="55">
        <f t="shared" si="16"/>
        <v>0</v>
      </c>
      <c r="K227" s="36"/>
    </row>
    <row r="228" spans="1:11" x14ac:dyDescent="0.25">
      <c r="A228" s="49">
        <f>'A) Base RI'!A229</f>
        <v>5761</v>
      </c>
      <c r="B228" s="284" t="str">
        <f>'A) Base RI'!B229</f>
        <v>Romainmôtier-Envy</v>
      </c>
      <c r="C228" s="95">
        <f>'B) D RI'!U229</f>
        <v>12913.984792368126</v>
      </c>
      <c r="D228" s="398">
        <f>IF('E) PCS'!G234/'K) Plafonnement aide'!C228&gt;0,'E) PCS'!G234/'K) Plafonnement aide'!C228,0)</f>
        <v>19.581715005295635</v>
      </c>
      <c r="E228" s="135">
        <f>'H) Péréquation directe'!I238/C228</f>
        <v>-14.564981451999644</v>
      </c>
      <c r="F228" s="398">
        <f>+'I) Dépenses thématiques'!U228</f>
        <v>-13.255869927358304</v>
      </c>
      <c r="G228" s="135">
        <f t="shared" si="13"/>
        <v>-8.2391363740623138</v>
      </c>
      <c r="H228" s="109">
        <f t="shared" si="14"/>
        <v>5.0167335532959907</v>
      </c>
      <c r="I228" s="135">
        <f t="shared" si="15"/>
        <v>0</v>
      </c>
      <c r="J228" s="55">
        <f t="shared" si="16"/>
        <v>0</v>
      </c>
      <c r="K228" s="36"/>
    </row>
    <row r="229" spans="1:11" x14ac:dyDescent="0.25">
      <c r="A229" s="49">
        <f>'A) Base RI'!A230</f>
        <v>5762</v>
      </c>
      <c r="B229" s="284" t="str">
        <f>'A) Base RI'!B230</f>
        <v>Sergey</v>
      </c>
      <c r="C229" s="95">
        <f>'B) D RI'!U230</f>
        <v>3849.6283333333336</v>
      </c>
      <c r="D229" s="398">
        <f>IF('E) PCS'!G235/'K) Plafonnement aide'!C229&gt;0,'E) PCS'!G235/'K) Plafonnement aide'!C229,0)</f>
        <v>13.144515672891854</v>
      </c>
      <c r="E229" s="135">
        <f>'H) Péréquation directe'!I239/C229</f>
        <v>-4.6814872867944004</v>
      </c>
      <c r="F229" s="398">
        <f>+'I) Dépenses thématiques'!U229</f>
        <v>-6.8672236540583773</v>
      </c>
      <c r="G229" s="135">
        <f t="shared" si="13"/>
        <v>1.5958047320390767</v>
      </c>
      <c r="H229" s="109">
        <f t="shared" si="14"/>
        <v>8.463028386097454</v>
      </c>
      <c r="I229" s="135">
        <f t="shared" si="15"/>
        <v>0</v>
      </c>
      <c r="J229" s="55">
        <f t="shared" si="16"/>
        <v>0</v>
      </c>
      <c r="K229" s="36"/>
    </row>
    <row r="230" spans="1:11" x14ac:dyDescent="0.25">
      <c r="A230" s="49">
        <f>'A) Base RI'!A231</f>
        <v>5763</v>
      </c>
      <c r="B230" s="284" t="str">
        <f>'A) Base RI'!B231</f>
        <v>Valeyres-sous-Rances</v>
      </c>
      <c r="C230" s="95">
        <f>'B) D RI'!U231</f>
        <v>22663.97352941176</v>
      </c>
      <c r="D230" s="398">
        <f>IF('E) PCS'!G236/'K) Plafonnement aide'!C230&gt;0,'E) PCS'!G236/'K) Plafonnement aide'!C230,0)</f>
        <v>13.233561553204098</v>
      </c>
      <c r="E230" s="135">
        <f>'H) Péréquation directe'!I240/C230</f>
        <v>9.5328073404681923</v>
      </c>
      <c r="F230" s="398">
        <f>+'I) Dépenses thématiques'!U230</f>
        <v>-3.1528641075996378</v>
      </c>
      <c r="G230" s="135">
        <f t="shared" si="13"/>
        <v>19.613504786072653</v>
      </c>
      <c r="H230" s="109">
        <f t="shared" si="14"/>
        <v>22.76636889367229</v>
      </c>
      <c r="I230" s="135">
        <f t="shared" si="15"/>
        <v>0</v>
      </c>
      <c r="J230" s="55">
        <f t="shared" si="16"/>
        <v>0</v>
      </c>
      <c r="K230" s="36"/>
    </row>
    <row r="231" spans="1:11" x14ac:dyDescent="0.25">
      <c r="A231" s="49">
        <f>'A) Base RI'!A232</f>
        <v>5764</v>
      </c>
      <c r="B231" s="284" t="str">
        <f>'A) Base RI'!B232</f>
        <v>Vallorbe</v>
      </c>
      <c r="C231" s="95">
        <f>'B) D RI'!U232</f>
        <v>83682.382797202779</v>
      </c>
      <c r="D231" s="398">
        <f>IF('E) PCS'!G237/'K) Plafonnement aide'!C231&gt;0,'E) PCS'!G237/'K) Plafonnement aide'!C231,0)</f>
        <v>22.849720372751225</v>
      </c>
      <c r="E231" s="135">
        <f>'H) Péréquation directe'!I241/C231</f>
        <v>-22.60505672512711</v>
      </c>
      <c r="F231" s="398">
        <f>+'I) Dépenses thématiques'!U231</f>
        <v>-25.814058394511786</v>
      </c>
      <c r="G231" s="135">
        <f t="shared" si="13"/>
        <v>-25.569394746887671</v>
      </c>
      <c r="H231" s="109">
        <f t="shared" si="14"/>
        <v>0.2446636476241153</v>
      </c>
      <c r="I231" s="135">
        <f t="shared" si="15"/>
        <v>0</v>
      </c>
      <c r="J231" s="55">
        <f t="shared" si="16"/>
        <v>0</v>
      </c>
      <c r="K231" s="36"/>
    </row>
    <row r="232" spans="1:11" x14ac:dyDescent="0.25">
      <c r="A232" s="49">
        <f>'A) Base RI'!A233</f>
        <v>5765</v>
      </c>
      <c r="B232" s="284" t="str">
        <f>'A) Base RI'!B233</f>
        <v>Vaulion</v>
      </c>
      <c r="C232" s="95">
        <f>'B) D RI'!U233</f>
        <v>10279.479012345679</v>
      </c>
      <c r="D232" s="398">
        <f>IF('E) PCS'!G238/'K) Plafonnement aide'!C232&gt;0,'E) PCS'!G238/'K) Plafonnement aide'!C232,0)</f>
        <v>17.052256391732438</v>
      </c>
      <c r="E232" s="135">
        <f>'H) Péréquation directe'!I242/C232</f>
        <v>-21.800846414793224</v>
      </c>
      <c r="F232" s="398">
        <f>+'I) Dépenses thématiques'!U232</f>
        <v>-12.893151079617093</v>
      </c>
      <c r="G232" s="135">
        <f t="shared" si="13"/>
        <v>-17.641741102677877</v>
      </c>
      <c r="H232" s="109">
        <f t="shared" si="14"/>
        <v>-4.7485900230607836</v>
      </c>
      <c r="I232" s="135">
        <f t="shared" si="15"/>
        <v>0</v>
      </c>
      <c r="J232" s="55">
        <f t="shared" si="16"/>
        <v>0</v>
      </c>
      <c r="K232" s="36"/>
    </row>
    <row r="233" spans="1:11" x14ac:dyDescent="0.25">
      <c r="A233" s="49">
        <f>'A) Base RI'!A234</f>
        <v>5766</v>
      </c>
      <c r="B233" s="284" t="str">
        <f>'A) Base RI'!B234</f>
        <v>Vuiteboeuf</v>
      </c>
      <c r="C233" s="95">
        <f>'B) D RI'!U234</f>
        <v>15554.101904761903</v>
      </c>
      <c r="D233" s="398">
        <f>IF('E) PCS'!G239/'K) Plafonnement aide'!C233&gt;0,'E) PCS'!G239/'K) Plafonnement aide'!C233,0)</f>
        <v>15.533036096403363</v>
      </c>
      <c r="E233" s="135">
        <f>'H) Péréquation directe'!I243/C233</f>
        <v>-4.9252844318619573</v>
      </c>
      <c r="F233" s="398">
        <f>+'I) Dépenses thématiques'!U233</f>
        <v>-3.9092460956708606</v>
      </c>
      <c r="G233" s="135">
        <f t="shared" si="13"/>
        <v>6.6985055688705444</v>
      </c>
      <c r="H233" s="109">
        <f t="shared" si="14"/>
        <v>10.607751664541405</v>
      </c>
      <c r="I233" s="135">
        <f t="shared" si="15"/>
        <v>0</v>
      </c>
      <c r="J233" s="55">
        <f t="shared" si="16"/>
        <v>0</v>
      </c>
      <c r="K233" s="36"/>
    </row>
    <row r="234" spans="1:11" x14ac:dyDescent="0.25">
      <c r="A234" s="49">
        <f>'A) Base RI'!A235</f>
        <v>5785</v>
      </c>
      <c r="B234" s="284" t="str">
        <f>'A) Base RI'!B235</f>
        <v>Corcelles-le-Jorat</v>
      </c>
      <c r="C234" s="95">
        <f>'B) D RI'!U235</f>
        <v>14579.940909090908</v>
      </c>
      <c r="D234" s="398">
        <f>IF('E) PCS'!G240/'K) Plafonnement aide'!C234&gt;0,'E) PCS'!G240/'K) Plafonnement aide'!C234,0)</f>
        <v>14.799526722281792</v>
      </c>
      <c r="E234" s="135">
        <f>'H) Péréquation directe'!I244/C234</f>
        <v>-0.28018017587700045</v>
      </c>
      <c r="F234" s="398">
        <f>+'I) Dépenses thématiques'!U234</f>
        <v>-4.2391906283446099</v>
      </c>
      <c r="G234" s="135">
        <f t="shared" si="13"/>
        <v>10.280155918060181</v>
      </c>
      <c r="H234" s="109">
        <f t="shared" si="14"/>
        <v>14.51934654640479</v>
      </c>
      <c r="I234" s="135">
        <f t="shared" si="15"/>
        <v>0</v>
      </c>
      <c r="J234" s="55">
        <f t="shared" si="16"/>
        <v>0</v>
      </c>
      <c r="K234" s="36"/>
    </row>
    <row r="235" spans="1:11" x14ac:dyDescent="0.25">
      <c r="A235" s="49">
        <f>'A) Base RI'!A236</f>
        <v>5788</v>
      </c>
      <c r="B235" s="284" t="str">
        <f>'A) Base RI'!B236</f>
        <v>Essertes</v>
      </c>
      <c r="C235" s="95">
        <f>'B) D RI'!U236</f>
        <v>13314.951048951047</v>
      </c>
      <c r="D235" s="398">
        <f>IF('E) PCS'!G241/'K) Plafonnement aide'!C235&gt;0,'E) PCS'!G241/'K) Plafonnement aide'!C235,0)</f>
        <v>13.291747180932427</v>
      </c>
      <c r="E235" s="135">
        <f>'H) Péréquation directe'!I245/C235</f>
        <v>5.8946725302861482</v>
      </c>
      <c r="F235" s="398">
        <f>+'I) Dépenses thématiques'!U235</f>
        <v>-2.8312754262257385</v>
      </c>
      <c r="G235" s="135">
        <f t="shared" si="13"/>
        <v>16.355144284992839</v>
      </c>
      <c r="H235" s="109">
        <f t="shared" si="14"/>
        <v>19.186419711218576</v>
      </c>
      <c r="I235" s="135">
        <f t="shared" si="15"/>
        <v>0</v>
      </c>
      <c r="J235" s="55">
        <f t="shared" si="16"/>
        <v>0</v>
      </c>
      <c r="K235" s="36"/>
    </row>
    <row r="236" spans="1:11" x14ac:dyDescent="0.25">
      <c r="A236" s="49">
        <f>'A) Base RI'!A237</f>
        <v>5790</v>
      </c>
      <c r="B236" s="284" t="str">
        <f>'A) Base RI'!B237</f>
        <v>Maracon</v>
      </c>
      <c r="C236" s="95">
        <f>'B) D RI'!U237</f>
        <v>15172.050604026846</v>
      </c>
      <c r="D236" s="398">
        <f>IF('E) PCS'!G242/'K) Plafonnement aide'!C236&gt;0,'E) PCS'!G242/'K) Plafonnement aide'!C236,0)</f>
        <v>14.382709987948415</v>
      </c>
      <c r="E236" s="135">
        <f>'H) Péréquation directe'!I246/C236</f>
        <v>-2.3480567105262433</v>
      </c>
      <c r="F236" s="398">
        <f>+'I) Dépenses thématiques'!U236</f>
        <v>-7.1426038051228726</v>
      </c>
      <c r="G236" s="135">
        <f t="shared" si="13"/>
        <v>4.8920494722992984</v>
      </c>
      <c r="H236" s="109">
        <f t="shared" si="14"/>
        <v>12.034653277422171</v>
      </c>
      <c r="I236" s="135">
        <f t="shared" si="15"/>
        <v>0</v>
      </c>
      <c r="J236" s="55">
        <f t="shared" si="16"/>
        <v>0</v>
      </c>
      <c r="K236" s="36"/>
    </row>
    <row r="237" spans="1:11" x14ac:dyDescent="0.25">
      <c r="A237" s="49">
        <f>'A) Base RI'!A238</f>
        <v>5792</v>
      </c>
      <c r="B237" s="284" t="str">
        <f>'A) Base RI'!B238</f>
        <v>Montpreveyres</v>
      </c>
      <c r="C237" s="95">
        <f>'B) D RI'!U238</f>
        <v>20145.836291390729</v>
      </c>
      <c r="D237" s="398">
        <f>IF('E) PCS'!G243/'K) Plafonnement aide'!C237&gt;0,'E) PCS'!G243/'K) Plafonnement aide'!C237,0)</f>
        <v>16.540389108885286</v>
      </c>
      <c r="E237" s="135">
        <f>'H) Péréquation directe'!I247/C237</f>
        <v>1.1214381454034845</v>
      </c>
      <c r="F237" s="398">
        <f>+'I) Dépenses thématiques'!U237</f>
        <v>-7.2461366279462709</v>
      </c>
      <c r="G237" s="135">
        <f t="shared" si="13"/>
        <v>10.415690626342499</v>
      </c>
      <c r="H237" s="109">
        <f t="shared" si="14"/>
        <v>17.66182725428877</v>
      </c>
      <c r="I237" s="135">
        <f t="shared" si="15"/>
        <v>0</v>
      </c>
      <c r="J237" s="55">
        <f t="shared" si="16"/>
        <v>0</v>
      </c>
      <c r="K237" s="36"/>
    </row>
    <row r="238" spans="1:11" x14ac:dyDescent="0.25">
      <c r="A238" s="49">
        <f>'A) Base RI'!A239</f>
        <v>5798</v>
      </c>
      <c r="B238" s="284" t="str">
        <f>'A) Base RI'!B239</f>
        <v>Ropraz</v>
      </c>
      <c r="C238" s="95">
        <f>'B) D RI'!U239</f>
        <v>17444.805161290325</v>
      </c>
      <c r="D238" s="398">
        <f>IF('E) PCS'!G244/'K) Plafonnement aide'!C238&gt;0,'E) PCS'!G244/'K) Plafonnement aide'!C238,0)</f>
        <v>16.152842407044279</v>
      </c>
      <c r="E238" s="135">
        <f>'H) Péréquation directe'!I248/C238</f>
        <v>3.2921667816524152</v>
      </c>
      <c r="F238" s="398">
        <f>+'I) Dépenses thématiques'!U238</f>
        <v>-2.9658353047739716</v>
      </c>
      <c r="G238" s="135">
        <f t="shared" si="13"/>
        <v>16.479173883922723</v>
      </c>
      <c r="H238" s="109">
        <f t="shared" si="14"/>
        <v>19.445009188696694</v>
      </c>
      <c r="I238" s="135">
        <f t="shared" si="15"/>
        <v>0</v>
      </c>
      <c r="J238" s="55">
        <f t="shared" si="16"/>
        <v>0</v>
      </c>
      <c r="K238" s="36"/>
    </row>
    <row r="239" spans="1:11" x14ac:dyDescent="0.25">
      <c r="A239" s="49">
        <f>'A) Base RI'!A240</f>
        <v>5799</v>
      </c>
      <c r="B239" s="284" t="str">
        <f>'A) Base RI'!B240</f>
        <v>Servion</v>
      </c>
      <c r="C239" s="95">
        <f>'B) D RI'!U240</f>
        <v>71744.263478260895</v>
      </c>
      <c r="D239" s="398">
        <f>IF('E) PCS'!G245/'K) Plafonnement aide'!C239&gt;0,'E) PCS'!G245/'K) Plafonnement aide'!C239,0)</f>
        <v>15.669095306123548</v>
      </c>
      <c r="E239" s="135">
        <f>'H) Péréquation directe'!I249/C239</f>
        <v>3.5190702821914557</v>
      </c>
      <c r="F239" s="398">
        <f>+'I) Dépenses thématiques'!U239</f>
        <v>-4.7059953334490467</v>
      </c>
      <c r="G239" s="135">
        <f t="shared" si="13"/>
        <v>14.482170254865959</v>
      </c>
      <c r="H239" s="109">
        <f t="shared" si="14"/>
        <v>19.188165588315005</v>
      </c>
      <c r="I239" s="135">
        <f t="shared" si="15"/>
        <v>0</v>
      </c>
      <c r="J239" s="55">
        <f t="shared" si="16"/>
        <v>0</v>
      </c>
      <c r="K239" s="36"/>
    </row>
    <row r="240" spans="1:11" x14ac:dyDescent="0.25">
      <c r="A240" s="49">
        <f>'A) Base RI'!A241</f>
        <v>5803</v>
      </c>
      <c r="B240" s="284" t="str">
        <f>'A) Base RI'!B241</f>
        <v>Vulliens</v>
      </c>
      <c r="C240" s="95">
        <f>'B) D RI'!U241</f>
        <v>17996.188026315795</v>
      </c>
      <c r="D240" s="398">
        <f>IF('E) PCS'!G246/'K) Plafonnement aide'!C240&gt;0,'E) PCS'!G246/'K) Plafonnement aide'!C240,0)</f>
        <v>15.199085120843451</v>
      </c>
      <c r="E240" s="135">
        <f>'H) Péréquation directe'!I250/C240</f>
        <v>-1.7905566385671354</v>
      </c>
      <c r="F240" s="398">
        <f>+'I) Dépenses thématiques'!U240</f>
        <v>-3.2625032454789795</v>
      </c>
      <c r="G240" s="135">
        <f t="shared" si="13"/>
        <v>10.146025236797335</v>
      </c>
      <c r="H240" s="109">
        <f t="shared" si="14"/>
        <v>13.408528482276315</v>
      </c>
      <c r="I240" s="135">
        <f t="shared" si="15"/>
        <v>0</v>
      </c>
      <c r="J240" s="55">
        <f t="shared" si="16"/>
        <v>0</v>
      </c>
      <c r="K240" s="36"/>
    </row>
    <row r="241" spans="1:11" x14ac:dyDescent="0.25">
      <c r="A241" s="49">
        <f>'A) Base RI'!A242</f>
        <v>5804</v>
      </c>
      <c r="B241" s="284" t="str">
        <f>'A) Base RI'!B242</f>
        <v>Jorat-Menthue</v>
      </c>
      <c r="C241" s="95">
        <f>'B) D RI'!U242</f>
        <v>46854.424539007086</v>
      </c>
      <c r="D241" s="398">
        <f>IF('E) PCS'!G247/'K) Plafonnement aide'!C241&gt;0,'E) PCS'!G247/'K) Plafonnement aide'!C241,0)</f>
        <v>14.027429151546702</v>
      </c>
      <c r="E241" s="135">
        <f>'H) Péréquation directe'!I251/C241</f>
        <v>-1.5153474297393332</v>
      </c>
      <c r="F241" s="398">
        <f>+'I) Dépenses thématiques'!U241</f>
        <v>-11.341269038942357</v>
      </c>
      <c r="G241" s="135">
        <f t="shared" si="13"/>
        <v>1.1708126828650123</v>
      </c>
      <c r="H241" s="109">
        <f t="shared" si="14"/>
        <v>12.51208172180737</v>
      </c>
      <c r="I241" s="135">
        <f t="shared" si="15"/>
        <v>0</v>
      </c>
      <c r="J241" s="55">
        <f t="shared" si="16"/>
        <v>0</v>
      </c>
      <c r="K241" s="36"/>
    </row>
    <row r="242" spans="1:11" x14ac:dyDescent="0.25">
      <c r="A242" s="49">
        <f>'A) Base RI'!A243</f>
        <v>5805</v>
      </c>
      <c r="B242" s="284" t="str">
        <f>'A) Base RI'!B243</f>
        <v>Oron</v>
      </c>
      <c r="C242" s="95">
        <f>'B) D RI'!U243</f>
        <v>162115.58504611329</v>
      </c>
      <c r="D242" s="398">
        <f>IF('E) PCS'!G248/'K) Plafonnement aide'!C242&gt;0,'E) PCS'!G248/'K) Plafonnement aide'!C242,0)</f>
        <v>14.168556931758737</v>
      </c>
      <c r="E242" s="135">
        <f>'H) Péréquation directe'!I252/C242</f>
        <v>-8.530190942675647</v>
      </c>
      <c r="F242" s="398">
        <f>+'I) Dépenses thématiques'!U242</f>
        <v>-5.7750060825861729</v>
      </c>
      <c r="G242" s="135">
        <f t="shared" si="13"/>
        <v>-0.13664009350308337</v>
      </c>
      <c r="H242" s="109">
        <f t="shared" si="14"/>
        <v>5.6383659890830895</v>
      </c>
      <c r="I242" s="135">
        <f t="shared" si="15"/>
        <v>0</v>
      </c>
      <c r="J242" s="55">
        <f t="shared" si="16"/>
        <v>0</v>
      </c>
      <c r="K242" s="36"/>
    </row>
    <row r="243" spans="1:11" x14ac:dyDescent="0.25">
      <c r="A243" s="49">
        <f>'A) Base RI'!A244</f>
        <v>5806</v>
      </c>
      <c r="B243" s="284" t="str">
        <f>'A) Base RI'!B244</f>
        <v>Jorat-Mézières</v>
      </c>
      <c r="C243" s="95">
        <f>'B) D RI'!U244</f>
        <v>102077.74465753423</v>
      </c>
      <c r="D243" s="398">
        <f>IF('E) PCS'!G249/'K) Plafonnement aide'!C243&gt;0,'E) PCS'!G249/'K) Plafonnement aide'!C243,0)</f>
        <v>17.046937298574374</v>
      </c>
      <c r="E243" s="135">
        <f>'H) Péréquation directe'!I253/C243</f>
        <v>0.18171438374759658</v>
      </c>
      <c r="F243" s="398">
        <f>+'I) Dépenses thématiques'!U243</f>
        <v>-4.0153442205243906</v>
      </c>
      <c r="G243" s="135">
        <f t="shared" si="13"/>
        <v>13.21330746179758</v>
      </c>
      <c r="H243" s="109">
        <f t="shared" si="14"/>
        <v>17.228651682321971</v>
      </c>
      <c r="I243" s="135">
        <f t="shared" si="15"/>
        <v>0</v>
      </c>
      <c r="J243" s="55">
        <f t="shared" si="16"/>
        <v>0</v>
      </c>
      <c r="K243" s="36"/>
    </row>
    <row r="244" spans="1:11" x14ac:dyDescent="0.25">
      <c r="A244" s="49">
        <f>'A) Base RI'!A245</f>
        <v>5812</v>
      </c>
      <c r="B244" s="284" t="str">
        <f>'A) Base RI'!B245</f>
        <v>Champtauroz</v>
      </c>
      <c r="C244" s="95">
        <f>'B) D RI'!U245</f>
        <v>3349.1505194805191</v>
      </c>
      <c r="D244" s="398">
        <f>IF('E) PCS'!G250/'K) Plafonnement aide'!C244&gt;0,'E) PCS'!G250/'K) Plafonnement aide'!C244,0)</f>
        <v>14.318098451581637</v>
      </c>
      <c r="E244" s="135">
        <f>'H) Péréquation directe'!I254/C244</f>
        <v>-21.780360474339851</v>
      </c>
      <c r="F244" s="398">
        <f>+'I) Dépenses thématiques'!U244</f>
        <v>-6.0713445886782162</v>
      </c>
      <c r="G244" s="135">
        <f t="shared" si="13"/>
        <v>-13.533606611436429</v>
      </c>
      <c r="H244" s="109">
        <f t="shared" si="14"/>
        <v>-7.462262022758213</v>
      </c>
      <c r="I244" s="135">
        <f t="shared" si="15"/>
        <v>0</v>
      </c>
      <c r="J244" s="55">
        <f t="shared" si="16"/>
        <v>0</v>
      </c>
      <c r="K244" s="36"/>
    </row>
    <row r="245" spans="1:11" x14ac:dyDescent="0.25">
      <c r="A245" s="49">
        <f>'A) Base RI'!A246</f>
        <v>5813</v>
      </c>
      <c r="B245" s="284" t="str">
        <f>'A) Base RI'!B246</f>
        <v>Chevroux</v>
      </c>
      <c r="C245" s="95">
        <f>'B) D RI'!U246</f>
        <v>15276.905328467155</v>
      </c>
      <c r="D245" s="398">
        <f>IF('E) PCS'!G251/'K) Plafonnement aide'!C245&gt;0,'E) PCS'!G251/'K) Plafonnement aide'!C245,0)</f>
        <v>17.182087976087121</v>
      </c>
      <c r="E245" s="135">
        <f>'H) Péréquation directe'!I255/C245</f>
        <v>3.2271784014139517</v>
      </c>
      <c r="F245" s="398">
        <f>+'I) Dépenses thématiques'!U245</f>
        <v>-22.545882861981209</v>
      </c>
      <c r="G245" s="135">
        <f t="shared" si="13"/>
        <v>-2.1366164844801361</v>
      </c>
      <c r="H245" s="109">
        <f t="shared" si="14"/>
        <v>20.409266377501073</v>
      </c>
      <c r="I245" s="135">
        <f t="shared" si="15"/>
        <v>0</v>
      </c>
      <c r="J245" s="55">
        <f t="shared" si="16"/>
        <v>0</v>
      </c>
      <c r="K245" s="36"/>
    </row>
    <row r="246" spans="1:11" x14ac:dyDescent="0.25">
      <c r="A246" s="49">
        <f>'A) Base RI'!A247</f>
        <v>5816</v>
      </c>
      <c r="B246" s="284" t="str">
        <f>'A) Base RI'!B247</f>
        <v>Corcelles-près-Payerne</v>
      </c>
      <c r="C246" s="95">
        <f>'B) D RI'!U247</f>
        <v>65651.255161626686</v>
      </c>
      <c r="D246" s="398">
        <f>IF('E) PCS'!G252/'K) Plafonnement aide'!C246&gt;0,'E) PCS'!G252/'K) Plafonnement aide'!C246,0)</f>
        <v>14.261646576993812</v>
      </c>
      <c r="E246" s="135">
        <f>'H) Péréquation directe'!I256/C246</f>
        <v>-11.265569731040918</v>
      </c>
      <c r="F246" s="398">
        <f>+'I) Dépenses thématiques'!U246</f>
        <v>-5.7431418196345962</v>
      </c>
      <c r="G246" s="135">
        <f t="shared" si="13"/>
        <v>-2.7470649736817023</v>
      </c>
      <c r="H246" s="109">
        <f t="shared" si="14"/>
        <v>2.9960768459528939</v>
      </c>
      <c r="I246" s="135">
        <f t="shared" si="15"/>
        <v>0</v>
      </c>
      <c r="J246" s="55">
        <f t="shared" si="16"/>
        <v>0</v>
      </c>
      <c r="K246" s="36"/>
    </row>
    <row r="247" spans="1:11" x14ac:dyDescent="0.25">
      <c r="A247" s="49">
        <f>'A) Base RI'!A248</f>
        <v>5817</v>
      </c>
      <c r="B247" s="284" t="str">
        <f>'A) Base RI'!B248</f>
        <v>Grandcour</v>
      </c>
      <c r="C247" s="95">
        <f>'B) D RI'!U248</f>
        <v>24623.103809523807</v>
      </c>
      <c r="D247" s="398">
        <f>IF('E) PCS'!G253/'K) Plafonnement aide'!C247&gt;0,'E) PCS'!G253/'K) Plafonnement aide'!C247,0)</f>
        <v>13.125659815356579</v>
      </c>
      <c r="E247" s="135">
        <f>'H) Péréquation directe'!I257/C247</f>
        <v>-6.6195661221121824</v>
      </c>
      <c r="F247" s="398">
        <f>+'I) Dépenses thématiques'!U247</f>
        <v>-6.4205573151409991</v>
      </c>
      <c r="G247" s="135">
        <f t="shared" si="13"/>
        <v>8.5536378103397759E-2</v>
      </c>
      <c r="H247" s="109">
        <f t="shared" si="14"/>
        <v>6.5060936932443969</v>
      </c>
      <c r="I247" s="135">
        <f t="shared" si="15"/>
        <v>0</v>
      </c>
      <c r="J247" s="55">
        <f t="shared" si="16"/>
        <v>0</v>
      </c>
      <c r="K247" s="36"/>
    </row>
    <row r="248" spans="1:11" x14ac:dyDescent="0.25">
      <c r="A248" s="49">
        <f>'A) Base RI'!A249</f>
        <v>5819</v>
      </c>
      <c r="B248" s="284" t="str">
        <f>'A) Base RI'!B249</f>
        <v>Henniez</v>
      </c>
      <c r="C248" s="95">
        <f>'B) D RI'!U249</f>
        <v>10062.980434782607</v>
      </c>
      <c r="D248" s="398">
        <f>IF('E) PCS'!G254/'K) Plafonnement aide'!C248&gt;0,'E) PCS'!G254/'K) Plafonnement aide'!C248,0)</f>
        <v>15.493871731164878</v>
      </c>
      <c r="E248" s="135">
        <f>'H) Péréquation directe'!I258/C248</f>
        <v>-4.5902768948806489</v>
      </c>
      <c r="F248" s="398">
        <f>+'I) Dépenses thématiques'!U248</f>
        <v>-13.195505869447013</v>
      </c>
      <c r="G248" s="135">
        <f t="shared" si="13"/>
        <v>-2.2919110331627834</v>
      </c>
      <c r="H248" s="109">
        <f t="shared" si="14"/>
        <v>10.903594836284229</v>
      </c>
      <c r="I248" s="135">
        <f t="shared" si="15"/>
        <v>0</v>
      </c>
      <c r="J248" s="55">
        <f t="shared" si="16"/>
        <v>0</v>
      </c>
      <c r="K248" s="36"/>
    </row>
    <row r="249" spans="1:11" x14ac:dyDescent="0.25">
      <c r="A249" s="49">
        <f>'A) Base RI'!A250</f>
        <v>5821</v>
      </c>
      <c r="B249" s="284" t="str">
        <f>'A) Base RI'!B250</f>
        <v>Missy</v>
      </c>
      <c r="C249" s="95">
        <f>'B) D RI'!U250</f>
        <v>8044.6855555555558</v>
      </c>
      <c r="D249" s="398">
        <f>IF('E) PCS'!G255/'K) Plafonnement aide'!C249&gt;0,'E) PCS'!G255/'K) Plafonnement aide'!C249,0)</f>
        <v>13.7245449253671</v>
      </c>
      <c r="E249" s="135">
        <f>'H) Péréquation directe'!I259/C249</f>
        <v>-11.897291722611845</v>
      </c>
      <c r="F249" s="398">
        <f>+'I) Dépenses thématiques'!U249</f>
        <v>-3.3610557528869642</v>
      </c>
      <c r="G249" s="135">
        <f t="shared" si="13"/>
        <v>-1.5338025501317092</v>
      </c>
      <c r="H249" s="109">
        <f t="shared" si="14"/>
        <v>1.827253202755255</v>
      </c>
      <c r="I249" s="135">
        <f t="shared" si="15"/>
        <v>0</v>
      </c>
      <c r="J249" s="55">
        <f t="shared" si="16"/>
        <v>0</v>
      </c>
      <c r="K249" s="36"/>
    </row>
    <row r="250" spans="1:11" x14ac:dyDescent="0.25">
      <c r="A250" s="49">
        <f>'A) Base RI'!A251</f>
        <v>5822</v>
      </c>
      <c r="B250" s="284" t="str">
        <f>'A) Base RI'!B251</f>
        <v>Payerne</v>
      </c>
      <c r="C250" s="95">
        <f>'B) D RI'!U251</f>
        <v>239984.44424657538</v>
      </c>
      <c r="D250" s="398">
        <f>IF('E) PCS'!G256/'K) Plafonnement aide'!C250&gt;0,'E) PCS'!G256/'K) Plafonnement aide'!C250,0)</f>
        <v>16.948306585701086</v>
      </c>
      <c r="E250" s="135">
        <f>'H) Péréquation directe'!I260/C250</f>
        <v>-26.100491976530229</v>
      </c>
      <c r="F250" s="398">
        <f>+'I) Dépenses thématiques'!U250</f>
        <v>-6.7525421891743003</v>
      </c>
      <c r="G250" s="135">
        <f t="shared" si="13"/>
        <v>-15.904727580003442</v>
      </c>
      <c r="H250" s="109">
        <f t="shared" si="14"/>
        <v>-9.1521853908291426</v>
      </c>
      <c r="I250" s="135">
        <f t="shared" si="15"/>
        <v>-1.1521853908291426</v>
      </c>
      <c r="J250" s="55">
        <f t="shared" si="16"/>
        <v>276506.57068715506</v>
      </c>
      <c r="K250" s="36"/>
    </row>
    <row r="251" spans="1:11" x14ac:dyDescent="0.25">
      <c r="A251" s="49">
        <f>'A) Base RI'!A252</f>
        <v>5827</v>
      </c>
      <c r="B251" s="284" t="str">
        <f>'A) Base RI'!B252</f>
        <v>Trey</v>
      </c>
      <c r="C251" s="95">
        <f>'B) D RI'!U252</f>
        <v>7747.4438461538457</v>
      </c>
      <c r="D251" s="398">
        <f>IF('E) PCS'!G257/'K) Plafonnement aide'!C251&gt;0,'E) PCS'!G257/'K) Plafonnement aide'!C251,0)</f>
        <v>19.642975345058254</v>
      </c>
      <c r="E251" s="135">
        <f>'H) Péréquation directe'!I261/C251</f>
        <v>-10.932081688659862</v>
      </c>
      <c r="F251" s="398">
        <f>+'I) Dépenses thématiques'!U251</f>
        <v>-4.3980424511230858</v>
      </c>
      <c r="G251" s="135">
        <f t="shared" si="13"/>
        <v>4.3128512052753063</v>
      </c>
      <c r="H251" s="109">
        <f t="shared" si="14"/>
        <v>8.7108936563983921</v>
      </c>
      <c r="I251" s="135">
        <f t="shared" si="15"/>
        <v>0</v>
      </c>
      <c r="J251" s="55">
        <f t="shared" si="16"/>
        <v>0</v>
      </c>
      <c r="K251" s="36"/>
    </row>
    <row r="252" spans="1:11" x14ac:dyDescent="0.25">
      <c r="A252" s="49">
        <f>'A) Base RI'!A253</f>
        <v>5828</v>
      </c>
      <c r="B252" s="284" t="str">
        <f>'A) Base RI'!B253</f>
        <v>Treytorrens (Payerne)</v>
      </c>
      <c r="C252" s="95">
        <f>'B) D RI'!U253</f>
        <v>2899.2203232323236</v>
      </c>
      <c r="D252" s="398">
        <f>IF('E) PCS'!G258/'K) Plafonnement aide'!C252&gt;0,'E) PCS'!G258/'K) Plafonnement aide'!C252,0)</f>
        <v>14.55469975191472</v>
      </c>
      <c r="E252" s="135">
        <f>'H) Péréquation directe'!I262/C252</f>
        <v>-8.8021229825807605</v>
      </c>
      <c r="F252" s="398">
        <f>+'I) Dépenses thématiques'!U252</f>
        <v>-7.7843094157965371</v>
      </c>
      <c r="G252" s="135">
        <f t="shared" si="13"/>
        <v>-2.0317326464625776</v>
      </c>
      <c r="H252" s="109">
        <f t="shared" si="14"/>
        <v>5.7525767693339596</v>
      </c>
      <c r="I252" s="135">
        <f t="shared" si="15"/>
        <v>0</v>
      </c>
      <c r="J252" s="55">
        <f t="shared" si="16"/>
        <v>0</v>
      </c>
      <c r="K252" s="36"/>
    </row>
    <row r="253" spans="1:11" x14ac:dyDescent="0.25">
      <c r="A253" s="49">
        <f>'A) Base RI'!A254</f>
        <v>5830</v>
      </c>
      <c r="B253" s="284" t="str">
        <f>'A) Base RI'!B254</f>
        <v>Villarzel</v>
      </c>
      <c r="C253" s="95">
        <f>'B) D RI'!U254</f>
        <v>12409.986933333334</v>
      </c>
      <c r="D253" s="398">
        <f>IF('E) PCS'!G259/'K) Plafonnement aide'!C253&gt;0,'E) PCS'!G259/'K) Plafonnement aide'!C253,0)</f>
        <v>17.410494928295048</v>
      </c>
      <c r="E253" s="135">
        <f>'H) Péréquation directe'!I263/C253</f>
        <v>-7.7049216680740207</v>
      </c>
      <c r="F253" s="398">
        <f>+'I) Dépenses thématiques'!U253</f>
        <v>-10.551992431858805</v>
      </c>
      <c r="G253" s="135">
        <f t="shared" si="13"/>
        <v>-0.84641917163777869</v>
      </c>
      <c r="H253" s="109">
        <f t="shared" si="14"/>
        <v>9.7055732602210263</v>
      </c>
      <c r="I253" s="135">
        <f t="shared" si="15"/>
        <v>0</v>
      </c>
      <c r="J253" s="55">
        <f t="shared" si="16"/>
        <v>0</v>
      </c>
      <c r="K253" s="36"/>
    </row>
    <row r="254" spans="1:11" x14ac:dyDescent="0.25">
      <c r="A254" s="49">
        <f>'A) Base RI'!A255</f>
        <v>5831</v>
      </c>
      <c r="B254" s="284" t="str">
        <f>'A) Base RI'!B255</f>
        <v>Valbroye</v>
      </c>
      <c r="C254" s="95">
        <f>'B) D RI'!U255</f>
        <v>81068.822458628842</v>
      </c>
      <c r="D254" s="398">
        <f>IF('E) PCS'!G260/'K) Plafonnement aide'!C254&gt;0,'E) PCS'!G260/'K) Plafonnement aide'!C254,0)</f>
        <v>17.529063532890255</v>
      </c>
      <c r="E254" s="135">
        <f>'H) Péréquation directe'!I264/C254</f>
        <v>-13.480051570206248</v>
      </c>
      <c r="F254" s="398">
        <f>+'I) Dépenses thématiques'!U254</f>
        <v>-11.98865094832494</v>
      </c>
      <c r="G254" s="135">
        <f t="shared" si="13"/>
        <v>-7.9396389856409328</v>
      </c>
      <c r="H254" s="109">
        <f t="shared" si="14"/>
        <v>4.0490119626840073</v>
      </c>
      <c r="I254" s="135">
        <f t="shared" si="15"/>
        <v>0</v>
      </c>
      <c r="J254" s="55">
        <f t="shared" si="16"/>
        <v>0</v>
      </c>
      <c r="K254" s="36"/>
    </row>
    <row r="255" spans="1:11" x14ac:dyDescent="0.25">
      <c r="A255" s="49">
        <f>'A) Base RI'!A256</f>
        <v>5841</v>
      </c>
      <c r="B255" s="284" t="str">
        <f>'A) Base RI'!B256</f>
        <v>Château-d'Oex</v>
      </c>
      <c r="C255" s="95">
        <f>'B) D RI'!U256</f>
        <v>110857.63779141105</v>
      </c>
      <c r="D255" s="398">
        <f>IF('E) PCS'!G261/'K) Plafonnement aide'!C255&gt;0,'E) PCS'!G261/'K) Plafonnement aide'!C255,0)</f>
        <v>20.264539130263504</v>
      </c>
      <c r="E255" s="135">
        <f>'H) Péréquation directe'!I265/C255</f>
        <v>-5.8109507729063621</v>
      </c>
      <c r="F255" s="398">
        <f>+'I) Dépenses thématiques'!U255</f>
        <v>-21.685210159130659</v>
      </c>
      <c r="G255" s="135">
        <f t="shared" si="13"/>
        <v>-7.2316218017735174</v>
      </c>
      <c r="H255" s="109">
        <f t="shared" si="14"/>
        <v>14.453588357357141</v>
      </c>
      <c r="I255" s="135">
        <f t="shared" si="15"/>
        <v>0</v>
      </c>
      <c r="J255" s="55">
        <f t="shared" si="16"/>
        <v>0</v>
      </c>
      <c r="K255" s="36"/>
    </row>
    <row r="256" spans="1:11" x14ac:dyDescent="0.25">
      <c r="A256" s="49">
        <f>'A) Base RI'!A257</f>
        <v>5842</v>
      </c>
      <c r="B256" s="284" t="str">
        <f>'A) Base RI'!B257</f>
        <v>Rossinière</v>
      </c>
      <c r="C256" s="95">
        <f>'B) D RI'!U257</f>
        <v>14944.680411522633</v>
      </c>
      <c r="D256" s="398">
        <f>IF('E) PCS'!G262/'K) Plafonnement aide'!C256&gt;0,'E) PCS'!G262/'K) Plafonnement aide'!C256,0)</f>
        <v>15.11263731330993</v>
      </c>
      <c r="E256" s="135">
        <f>'H) Péréquation directe'!I266/C256</f>
        <v>-4.9061407324998907</v>
      </c>
      <c r="F256" s="398">
        <f>+'I) Dépenses thématiques'!U256</f>
        <v>-22.510461780289553</v>
      </c>
      <c r="G256" s="135">
        <f t="shared" si="13"/>
        <v>-12.303965199479514</v>
      </c>
      <c r="H256" s="109">
        <f t="shared" si="14"/>
        <v>10.20649658081004</v>
      </c>
      <c r="I256" s="135">
        <f t="shared" si="15"/>
        <v>0</v>
      </c>
      <c r="J256" s="55">
        <f t="shared" si="16"/>
        <v>0</v>
      </c>
      <c r="K256" s="36"/>
    </row>
    <row r="257" spans="1:11" x14ac:dyDescent="0.25">
      <c r="A257" s="49">
        <f>'A) Base RI'!A258</f>
        <v>5843</v>
      </c>
      <c r="B257" s="284" t="str">
        <f>'A) Base RI'!B258</f>
        <v>Rougemont</v>
      </c>
      <c r="C257" s="95">
        <f>'B) D RI'!U258</f>
        <v>97088.109459459462</v>
      </c>
      <c r="D257" s="398">
        <f>IF('E) PCS'!G263/'K) Plafonnement aide'!C257&gt;0,'E) PCS'!G263/'K) Plafonnement aide'!C257,0)</f>
        <v>39.859692352694061</v>
      </c>
      <c r="E257" s="135">
        <f>'H) Péréquation directe'!I267/C257</f>
        <v>17.546625321706038</v>
      </c>
      <c r="F257" s="398">
        <f>+'I) Dépenses thématiques'!U257</f>
        <v>0</v>
      </c>
      <c r="G257" s="135">
        <f t="shared" si="13"/>
        <v>57.4063176744001</v>
      </c>
      <c r="H257" s="109">
        <f t="shared" si="14"/>
        <v>57.4063176744001</v>
      </c>
      <c r="I257" s="135">
        <f t="shared" si="15"/>
        <v>0</v>
      </c>
      <c r="J257" s="55">
        <f t="shared" si="16"/>
        <v>0</v>
      </c>
      <c r="K257" s="36"/>
    </row>
    <row r="258" spans="1:11" x14ac:dyDescent="0.25">
      <c r="A258" s="49">
        <f>'A) Base RI'!A259</f>
        <v>5851</v>
      </c>
      <c r="B258" s="284" t="str">
        <f>'A) Base RI'!B259</f>
        <v>Allaman</v>
      </c>
      <c r="C258" s="95">
        <f>'B) D RI'!U259</f>
        <v>24875.935818181821</v>
      </c>
      <c r="D258" s="398">
        <f>IF('E) PCS'!G264/'K) Plafonnement aide'!C258&gt;0,'E) PCS'!G264/'K) Plafonnement aide'!C258,0)</f>
        <v>16.318063082060334</v>
      </c>
      <c r="E258" s="135">
        <f>'H) Péréquation directe'!I268/C258</f>
        <v>16.497833734888353</v>
      </c>
      <c r="F258" s="398">
        <f>+'I) Dépenses thématiques'!U258</f>
        <v>-0.70241116630225275</v>
      </c>
      <c r="G258" s="135">
        <f t="shared" si="13"/>
        <v>32.113485650646432</v>
      </c>
      <c r="H258" s="109">
        <f t="shared" si="14"/>
        <v>32.815896816948687</v>
      </c>
      <c r="I258" s="135">
        <f t="shared" si="15"/>
        <v>0</v>
      </c>
      <c r="J258" s="55">
        <f t="shared" si="16"/>
        <v>0</v>
      </c>
      <c r="K258" s="36"/>
    </row>
    <row r="259" spans="1:11" x14ac:dyDescent="0.25">
      <c r="A259" s="49">
        <f>'A) Base RI'!A260</f>
        <v>5852</v>
      </c>
      <c r="B259" s="284" t="str">
        <f>'A) Base RI'!B260</f>
        <v>Bursinel</v>
      </c>
      <c r="C259" s="95">
        <f>'B) D RI'!U260</f>
        <v>34636.657688172039</v>
      </c>
      <c r="D259" s="398">
        <f>IF('E) PCS'!G265/'K) Plafonnement aide'!C259&gt;0,'E) PCS'!G265/'K) Plafonnement aide'!C259,0)</f>
        <v>21.447506099205562</v>
      </c>
      <c r="E259" s="135">
        <f>'H) Péréquation directe'!I269/C259</f>
        <v>16.799368512018333</v>
      </c>
      <c r="F259" s="398">
        <f>+'I) Dépenses thématiques'!U259</f>
        <v>0</v>
      </c>
      <c r="G259" s="135">
        <f t="shared" si="13"/>
        <v>38.246874611223895</v>
      </c>
      <c r="H259" s="109">
        <f t="shared" si="14"/>
        <v>38.246874611223895</v>
      </c>
      <c r="I259" s="135">
        <f t="shared" si="15"/>
        <v>0</v>
      </c>
      <c r="J259" s="55">
        <f t="shared" si="16"/>
        <v>0</v>
      </c>
      <c r="K259" s="36"/>
    </row>
    <row r="260" spans="1:11" x14ac:dyDescent="0.25">
      <c r="A260" s="49">
        <f>'A) Base RI'!A261</f>
        <v>5853</v>
      </c>
      <c r="B260" s="284" t="str">
        <f>'A) Base RI'!B261</f>
        <v>Bursins</v>
      </c>
      <c r="C260" s="95">
        <f>'B) D RI'!U261</f>
        <v>44486.311690140843</v>
      </c>
      <c r="D260" s="398">
        <f>IF('E) PCS'!G266/'K) Plafonnement aide'!C260&gt;0,'E) PCS'!G266/'K) Plafonnement aide'!C260,0)</f>
        <v>20.882188359110913</v>
      </c>
      <c r="E260" s="135">
        <f>'H) Péréquation directe'!I270/C260</f>
        <v>16.486562758322822</v>
      </c>
      <c r="F260" s="398">
        <f>+'I) Dépenses thématiques'!U260</f>
        <v>-0.16054413056628378</v>
      </c>
      <c r="G260" s="135">
        <f t="shared" si="13"/>
        <v>37.208206986867445</v>
      </c>
      <c r="H260" s="109">
        <f t="shared" si="14"/>
        <v>37.368751117433732</v>
      </c>
      <c r="I260" s="135">
        <f t="shared" si="15"/>
        <v>0</v>
      </c>
      <c r="J260" s="55">
        <f t="shared" si="16"/>
        <v>0</v>
      </c>
      <c r="K260" s="36"/>
    </row>
    <row r="261" spans="1:11" x14ac:dyDescent="0.25">
      <c r="A261" s="49">
        <f>'A) Base RI'!A262</f>
        <v>5854</v>
      </c>
      <c r="B261" s="284" t="str">
        <f>'A) Base RI'!B262</f>
        <v>Burtigny</v>
      </c>
      <c r="C261" s="95">
        <f>'B) D RI'!U262</f>
        <v>15255.967208333332</v>
      </c>
      <c r="D261" s="398">
        <f>IF('E) PCS'!G267/'K) Plafonnement aide'!C261&gt;0,'E) PCS'!G267/'K) Plafonnement aide'!C261,0)</f>
        <v>14.513927380632495</v>
      </c>
      <c r="E261" s="135">
        <f>'H) Péréquation directe'!I271/C261</f>
        <v>7.087071231870512</v>
      </c>
      <c r="F261" s="398">
        <f>+'I) Dépenses thématiques'!U261</f>
        <v>-5.2711159014437357</v>
      </c>
      <c r="G261" s="135">
        <f t="shared" si="13"/>
        <v>16.32988271105927</v>
      </c>
      <c r="H261" s="109">
        <f t="shared" si="14"/>
        <v>21.600998612503005</v>
      </c>
      <c r="I261" s="135">
        <f t="shared" si="15"/>
        <v>0</v>
      </c>
      <c r="J261" s="55">
        <f t="shared" si="16"/>
        <v>0</v>
      </c>
      <c r="K261" s="36"/>
    </row>
    <row r="262" spans="1:11" x14ac:dyDescent="0.25">
      <c r="A262" s="49">
        <f>'A) Base RI'!A263</f>
        <v>5855</v>
      </c>
      <c r="B262" s="284" t="str">
        <f>'A) Base RI'!B263</f>
        <v>Dully</v>
      </c>
      <c r="C262" s="95">
        <f>'B) D RI'!U263</f>
        <v>93684.152857142864</v>
      </c>
      <c r="D262" s="398">
        <f>IF('E) PCS'!G268/'K) Plafonnement aide'!C262&gt;0,'E) PCS'!G268/'K) Plafonnement aide'!C262,0)</f>
        <v>29.599303063489057</v>
      </c>
      <c r="E262" s="135">
        <f>'H) Péréquation directe'!I272/C262</f>
        <v>17.809983516514219</v>
      </c>
      <c r="F262" s="398">
        <f>+'I) Dépenses thématiques'!U262</f>
        <v>0</v>
      </c>
      <c r="G262" s="135">
        <f t="shared" si="13"/>
        <v>47.409286580003275</v>
      </c>
      <c r="H262" s="109">
        <f t="shared" si="14"/>
        <v>47.409286580003275</v>
      </c>
      <c r="I262" s="135">
        <f t="shared" si="15"/>
        <v>0</v>
      </c>
      <c r="J262" s="55">
        <f t="shared" si="16"/>
        <v>0</v>
      </c>
      <c r="K262" s="36"/>
    </row>
    <row r="263" spans="1:11" x14ac:dyDescent="0.25">
      <c r="A263" s="49">
        <f>'A) Base RI'!A264</f>
        <v>5856</v>
      </c>
      <c r="B263" s="284" t="str">
        <f>'A) Base RI'!B264</f>
        <v>Essertines-sur-Rolle</v>
      </c>
      <c r="C263" s="95">
        <f>'B) D RI'!U264</f>
        <v>42060.670213996527</v>
      </c>
      <c r="D263" s="398">
        <f>IF('E) PCS'!G269/'K) Plafonnement aide'!C263&gt;0,'E) PCS'!G269/'K) Plafonnement aide'!C263,0)</f>
        <v>19.558656073127224</v>
      </c>
      <c r="E263" s="135">
        <f>'H) Péréquation directe'!I273/C263</f>
        <v>16.420872824197051</v>
      </c>
      <c r="F263" s="398">
        <f>+'I) Dépenses thématiques'!U263</f>
        <v>0</v>
      </c>
      <c r="G263" s="135">
        <f t="shared" ref="G263:G313" si="17">SUM(D263:F263)</f>
        <v>35.979528897324272</v>
      </c>
      <c r="H263" s="109">
        <f t="shared" ref="H263:H313" si="18">G263-F263</f>
        <v>35.979528897324272</v>
      </c>
      <c r="I263" s="135">
        <f t="shared" ref="I263:I313" si="19">IF(H263&lt;I$5,H263-I$5,0)</f>
        <v>0</v>
      </c>
      <c r="J263" s="55">
        <f t="shared" ref="J263:J313" si="20">-I263*C263</f>
        <v>0</v>
      </c>
      <c r="K263" s="36"/>
    </row>
    <row r="264" spans="1:11" x14ac:dyDescent="0.25">
      <c r="A264" s="49">
        <f>'A) Base RI'!A265</f>
        <v>5857</v>
      </c>
      <c r="B264" s="284" t="str">
        <f>'A) Base RI'!B265</f>
        <v>Gilly</v>
      </c>
      <c r="C264" s="95">
        <f>'B) D RI'!U265</f>
        <v>88866.553953488372</v>
      </c>
      <c r="D264" s="398">
        <f>IF('E) PCS'!G270/'K) Plafonnement aide'!C264&gt;0,'E) PCS'!G270/'K) Plafonnement aide'!C264,0)</f>
        <v>18.151059465580619</v>
      </c>
      <c r="E264" s="135">
        <f>'H) Péréquation directe'!I274/C264</f>
        <v>15.528848180220075</v>
      </c>
      <c r="F264" s="398">
        <f>+'I) Dépenses thématiques'!U264</f>
        <v>0</v>
      </c>
      <c r="G264" s="135">
        <f t="shared" si="17"/>
        <v>33.679907645800697</v>
      </c>
      <c r="H264" s="109">
        <f t="shared" si="18"/>
        <v>33.679907645800697</v>
      </c>
      <c r="I264" s="135">
        <f t="shared" si="19"/>
        <v>0</v>
      </c>
      <c r="J264" s="55">
        <f t="shared" si="20"/>
        <v>0</v>
      </c>
      <c r="K264" s="36"/>
    </row>
    <row r="265" spans="1:11" x14ac:dyDescent="0.25">
      <c r="A265" s="49">
        <f>'A) Base RI'!A266</f>
        <v>5858</v>
      </c>
      <c r="B265" s="284" t="str">
        <f>'A) Base RI'!B266</f>
        <v>Luins</v>
      </c>
      <c r="C265" s="95">
        <f>'B) D RI'!U266</f>
        <v>38253.397207977199</v>
      </c>
      <c r="D265" s="398">
        <f>IF('E) PCS'!G271/'K) Plafonnement aide'!C265&gt;0,'E) PCS'!G271/'K) Plafonnement aide'!C265,0)</f>
        <v>16.244824144336441</v>
      </c>
      <c r="E265" s="135">
        <f>'H) Péréquation directe'!I275/C265</f>
        <v>16.599710380942572</v>
      </c>
      <c r="F265" s="398">
        <f>+'I) Dépenses thématiques'!U265</f>
        <v>0</v>
      </c>
      <c r="G265" s="135">
        <f t="shared" si="17"/>
        <v>32.844534525279016</v>
      </c>
      <c r="H265" s="109">
        <f t="shared" si="18"/>
        <v>32.844534525279016</v>
      </c>
      <c r="I265" s="135">
        <f t="shared" si="19"/>
        <v>0</v>
      </c>
      <c r="J265" s="55">
        <f t="shared" si="20"/>
        <v>0</v>
      </c>
      <c r="K265" s="36"/>
    </row>
    <row r="266" spans="1:11" x14ac:dyDescent="0.25">
      <c r="A266" s="49">
        <f>'A) Base RI'!A267</f>
        <v>5859</v>
      </c>
      <c r="B266" s="284" t="str">
        <f>'A) Base RI'!B267</f>
        <v>Mont-sur-Rolle</v>
      </c>
      <c r="C266" s="95">
        <f>'B) D RI'!U267</f>
        <v>160910.93779527559</v>
      </c>
      <c r="D266" s="398">
        <f>IF('E) PCS'!G272/'K) Plafonnement aide'!C266&gt;0,'E) PCS'!G272/'K) Plafonnement aide'!C266,0)</f>
        <v>19.926526989178839</v>
      </c>
      <c r="E266" s="135">
        <f>'H) Péréquation directe'!I276/C266</f>
        <v>14.104028239366034</v>
      </c>
      <c r="F266" s="398">
        <f>+'I) Dépenses thématiques'!U266</f>
        <v>0</v>
      </c>
      <c r="G266" s="135">
        <f t="shared" si="17"/>
        <v>34.03055522854487</v>
      </c>
      <c r="H266" s="109">
        <f t="shared" si="18"/>
        <v>34.03055522854487</v>
      </c>
      <c r="I266" s="135">
        <f t="shared" si="19"/>
        <v>0</v>
      </c>
      <c r="J266" s="55">
        <f t="shared" si="20"/>
        <v>0</v>
      </c>
      <c r="K266" s="36"/>
    </row>
    <row r="267" spans="1:11" x14ac:dyDescent="0.25">
      <c r="A267" s="49">
        <f>'A) Base RI'!A268</f>
        <v>5860</v>
      </c>
      <c r="B267" s="284" t="str">
        <f>'A) Base RI'!B268</f>
        <v>Perroy</v>
      </c>
      <c r="C267" s="95">
        <f>'B) D RI'!U268</f>
        <v>124242.10120973046</v>
      </c>
      <c r="D267" s="398">
        <f>IF('E) PCS'!G273/'K) Plafonnement aide'!C267&gt;0,'E) PCS'!G273/'K) Plafonnement aide'!C267,0)</f>
        <v>23.507032386584363</v>
      </c>
      <c r="E267" s="135">
        <f>'H) Péréquation directe'!I277/C267</f>
        <v>16.205067170587391</v>
      </c>
      <c r="F267" s="398">
        <f>+'I) Dépenses thématiques'!U267</f>
        <v>0</v>
      </c>
      <c r="G267" s="135">
        <f t="shared" si="17"/>
        <v>39.712099557171754</v>
      </c>
      <c r="H267" s="109">
        <f t="shared" si="18"/>
        <v>39.712099557171754</v>
      </c>
      <c r="I267" s="135">
        <f t="shared" si="19"/>
        <v>0</v>
      </c>
      <c r="J267" s="55">
        <f t="shared" si="20"/>
        <v>0</v>
      </c>
      <c r="K267" s="36"/>
    </row>
    <row r="268" spans="1:11" x14ac:dyDescent="0.25">
      <c r="A268" s="49">
        <f>'A) Base RI'!A269</f>
        <v>5861</v>
      </c>
      <c r="B268" s="284" t="str">
        <f>'A) Base RI'!B269</f>
        <v>Rolle</v>
      </c>
      <c r="C268" s="95">
        <f>'B) D RI'!U269</f>
        <v>638128.58403361356</v>
      </c>
      <c r="D268" s="398">
        <f>IF('E) PCS'!G274/'K) Plafonnement aide'!C268&gt;0,'E) PCS'!G274/'K) Plafonnement aide'!C268,0)</f>
        <v>25.770349751272168</v>
      </c>
      <c r="E268" s="135">
        <f>'H) Péréquation directe'!I278/C268</f>
        <v>14.588618581152144</v>
      </c>
      <c r="F268" s="398">
        <f>+'I) Dépenses thématiques'!U268</f>
        <v>0</v>
      </c>
      <c r="G268" s="135">
        <f t="shared" si="17"/>
        <v>40.358968332424311</v>
      </c>
      <c r="H268" s="109">
        <f t="shared" si="18"/>
        <v>40.358968332424311</v>
      </c>
      <c r="I268" s="135">
        <f t="shared" si="19"/>
        <v>0</v>
      </c>
      <c r="J268" s="55">
        <f t="shared" si="20"/>
        <v>0</v>
      </c>
      <c r="K268" s="36"/>
    </row>
    <row r="269" spans="1:11" x14ac:dyDescent="0.25">
      <c r="A269" s="49">
        <f>'A) Base RI'!A270</f>
        <v>5862</v>
      </c>
      <c r="B269" s="284" t="str">
        <f>'A) Base RI'!B270</f>
        <v>Tartegnin</v>
      </c>
      <c r="C269" s="95">
        <f>'B) D RI'!U270</f>
        <v>7891.022278481013</v>
      </c>
      <c r="D269" s="398">
        <f>IF('E) PCS'!G275/'K) Plafonnement aide'!C269&gt;0,'E) PCS'!G275/'K) Plafonnement aide'!C269,0)</f>
        <v>14.482004307770826</v>
      </c>
      <c r="E269" s="135">
        <f>'H) Péréquation directe'!I279/C269</f>
        <v>2.9338920564859183</v>
      </c>
      <c r="F269" s="398">
        <f>+'I) Dépenses thématiques'!U269</f>
        <v>0</v>
      </c>
      <c r="G269" s="135">
        <f t="shared" si="17"/>
        <v>17.415896364256746</v>
      </c>
      <c r="H269" s="109">
        <f t="shared" si="18"/>
        <v>17.415896364256746</v>
      </c>
      <c r="I269" s="135">
        <f t="shared" si="19"/>
        <v>0</v>
      </c>
      <c r="J269" s="55">
        <f t="shared" si="20"/>
        <v>0</v>
      </c>
      <c r="K269" s="36"/>
    </row>
    <row r="270" spans="1:11" x14ac:dyDescent="0.25">
      <c r="A270" s="49">
        <f>'A) Base RI'!A271</f>
        <v>5863</v>
      </c>
      <c r="B270" s="284" t="str">
        <f>'A) Base RI'!B271</f>
        <v>Vinzel</v>
      </c>
      <c r="C270" s="95">
        <f>'B) D RI'!U271</f>
        <v>21424.128507462683</v>
      </c>
      <c r="D270" s="398">
        <f>IF('E) PCS'!G276/'K) Plafonnement aide'!C270&gt;0,'E) PCS'!G276/'K) Plafonnement aide'!C270,0)</f>
        <v>19.313245985496366</v>
      </c>
      <c r="E270" s="135">
        <f>'H) Péréquation directe'!I280/C270</f>
        <v>16.505594436250881</v>
      </c>
      <c r="F270" s="398">
        <f>+'I) Dépenses thématiques'!U270</f>
        <v>0</v>
      </c>
      <c r="G270" s="135">
        <f t="shared" si="17"/>
        <v>35.818840421747247</v>
      </c>
      <c r="H270" s="109">
        <f t="shared" si="18"/>
        <v>35.818840421747247</v>
      </c>
      <c r="I270" s="135">
        <f t="shared" si="19"/>
        <v>0</v>
      </c>
      <c r="J270" s="55">
        <f t="shared" si="20"/>
        <v>0</v>
      </c>
      <c r="K270" s="36"/>
    </row>
    <row r="271" spans="1:11" x14ac:dyDescent="0.25">
      <c r="A271" s="49">
        <f>'A) Base RI'!A272</f>
        <v>5871</v>
      </c>
      <c r="B271" s="284" t="str">
        <f>'A) Base RI'!B272</f>
        <v>L'Abbaye</v>
      </c>
      <c r="C271" s="95">
        <f>'B) D RI'!U272</f>
        <v>52137.53921442369</v>
      </c>
      <c r="D271" s="398">
        <f>IF('E) PCS'!G277/'K) Plafonnement aide'!C271&gt;0,'E) PCS'!G277/'K) Plafonnement aide'!C271,0)</f>
        <v>21.517446392506365</v>
      </c>
      <c r="E271" s="135">
        <f>'H) Péréquation directe'!I281/C271</f>
        <v>2.8586294641540562</v>
      </c>
      <c r="F271" s="398">
        <f>+'I) Dépenses thématiques'!U271</f>
        <v>-7.9910803423226584</v>
      </c>
      <c r="G271" s="135">
        <f t="shared" si="17"/>
        <v>16.384995514337763</v>
      </c>
      <c r="H271" s="109">
        <f t="shared" si="18"/>
        <v>24.376075856660421</v>
      </c>
      <c r="I271" s="135">
        <f t="shared" si="19"/>
        <v>0</v>
      </c>
      <c r="J271" s="55">
        <f t="shared" si="20"/>
        <v>0</v>
      </c>
      <c r="K271" s="36"/>
    </row>
    <row r="272" spans="1:11" x14ac:dyDescent="0.25">
      <c r="A272" s="49">
        <f>'A) Base RI'!A273</f>
        <v>5872</v>
      </c>
      <c r="B272" s="284" t="str">
        <f>'A) Base RI'!B273</f>
        <v>Le Chenit</v>
      </c>
      <c r="C272" s="95">
        <f>'B) D RI'!U273</f>
        <v>199146.55575459031</v>
      </c>
      <c r="D272" s="398">
        <f>IF('E) PCS'!G278/'K) Plafonnement aide'!C272&gt;0,'E) PCS'!G278/'K) Plafonnement aide'!C272,0)</f>
        <v>26.577753469163998</v>
      </c>
      <c r="E272" s="135">
        <f>'H) Péréquation directe'!I282/C272</f>
        <v>8.6140049905052543</v>
      </c>
      <c r="F272" s="398">
        <f>+'I) Dépenses thématiques'!U272</f>
        <v>-8.6154891916425616</v>
      </c>
      <c r="G272" s="135">
        <f t="shared" si="17"/>
        <v>26.576269268026692</v>
      </c>
      <c r="H272" s="109">
        <f t="shared" si="18"/>
        <v>35.191758459669252</v>
      </c>
      <c r="I272" s="135">
        <f t="shared" si="19"/>
        <v>0</v>
      </c>
      <c r="J272" s="55">
        <f t="shared" si="20"/>
        <v>0</v>
      </c>
      <c r="K272" s="36"/>
    </row>
    <row r="273" spans="1:11" x14ac:dyDescent="0.25">
      <c r="A273" s="49">
        <f>'A) Base RI'!A274</f>
        <v>5873</v>
      </c>
      <c r="B273" s="284" t="str">
        <f>'A) Base RI'!B274</f>
        <v>Le Lieu</v>
      </c>
      <c r="C273" s="95">
        <f>'B) D RI'!U274</f>
        <v>31475.129392857143</v>
      </c>
      <c r="D273" s="398">
        <f>IF('E) PCS'!G279/'K) Plafonnement aide'!C273&gt;0,'E) PCS'!G279/'K) Plafonnement aide'!C273,0)</f>
        <v>24.044984388237548</v>
      </c>
      <c r="E273" s="135">
        <f>'H) Péréquation directe'!I283/C273</f>
        <v>8.2267105832548246</v>
      </c>
      <c r="F273" s="398">
        <f>+'I) Dépenses thématiques'!U273</f>
        <v>-22.34666354565752</v>
      </c>
      <c r="G273" s="135">
        <f t="shared" si="17"/>
        <v>9.9250314258348524</v>
      </c>
      <c r="H273" s="109">
        <f t="shared" si="18"/>
        <v>32.271694971492373</v>
      </c>
      <c r="I273" s="135">
        <f t="shared" si="19"/>
        <v>0</v>
      </c>
      <c r="J273" s="55">
        <f t="shared" si="20"/>
        <v>0</v>
      </c>
      <c r="K273" s="36"/>
    </row>
    <row r="274" spans="1:11" x14ac:dyDescent="0.25">
      <c r="A274" s="49">
        <f>'A) Base RI'!A275</f>
        <v>5881</v>
      </c>
      <c r="B274" s="284" t="str">
        <f>'A) Base RI'!B275</f>
        <v>Blonay</v>
      </c>
      <c r="C274" s="95">
        <f>'B) D RI'!U275</f>
        <v>371401.9382481752</v>
      </c>
      <c r="D274" s="398">
        <f>IF('E) PCS'!G280/'K) Plafonnement aide'!C274&gt;0,'E) PCS'!G280/'K) Plafonnement aide'!C274,0)</f>
        <v>21.342865880238381</v>
      </c>
      <c r="E274" s="135">
        <f>'H) Péréquation directe'!I284/C274</f>
        <v>11.668867317487335</v>
      </c>
      <c r="F274" s="398">
        <f>+'I) Dépenses thématiques'!U274</f>
        <v>-2.5893757349812176</v>
      </c>
      <c r="G274" s="135">
        <f t="shared" si="17"/>
        <v>30.4223574627445</v>
      </c>
      <c r="H274" s="109">
        <f t="shared" si="18"/>
        <v>33.011733197725718</v>
      </c>
      <c r="I274" s="135">
        <f t="shared" si="19"/>
        <v>0</v>
      </c>
      <c r="J274" s="55">
        <f t="shared" si="20"/>
        <v>0</v>
      </c>
      <c r="K274" s="36"/>
    </row>
    <row r="275" spans="1:11" x14ac:dyDescent="0.25">
      <c r="A275" s="49">
        <f>'A) Base RI'!A276</f>
        <v>5882</v>
      </c>
      <c r="B275" s="284" t="str">
        <f>'A) Base RI'!B276</f>
        <v>Chardonne</v>
      </c>
      <c r="C275" s="95">
        <f>'B) D RI'!U276</f>
        <v>186949.52411764706</v>
      </c>
      <c r="D275" s="398">
        <f>IF('E) PCS'!G281/'K) Plafonnement aide'!C275&gt;0,'E) PCS'!G281/'K) Plafonnement aide'!C275,0)</f>
        <v>19.188169160033446</v>
      </c>
      <c r="E275" s="135">
        <f>'H) Péréquation directe'!I285/C275</f>
        <v>14.041939536240456</v>
      </c>
      <c r="F275" s="398">
        <f>+'I) Dépenses thématiques'!U275</f>
        <v>-1.692179248849212</v>
      </c>
      <c r="G275" s="135">
        <f t="shared" si="17"/>
        <v>31.537929447424691</v>
      </c>
      <c r="H275" s="109">
        <f t="shared" si="18"/>
        <v>33.230108696273902</v>
      </c>
      <c r="I275" s="135">
        <f t="shared" si="19"/>
        <v>0</v>
      </c>
      <c r="J275" s="55">
        <f t="shared" si="20"/>
        <v>0</v>
      </c>
      <c r="K275" s="36"/>
    </row>
    <row r="276" spans="1:11" x14ac:dyDescent="0.25">
      <c r="A276" s="49">
        <f>'A) Base RI'!A277</f>
        <v>5883</v>
      </c>
      <c r="B276" s="284" t="str">
        <f>'A) Base RI'!B277</f>
        <v>Corseaux</v>
      </c>
      <c r="C276" s="95">
        <f>'B) D RI'!U277</f>
        <v>193095.30118518518</v>
      </c>
      <c r="D276" s="398">
        <f>IF('E) PCS'!G282/'K) Plafonnement aide'!C276&gt;0,'E) PCS'!G282/'K) Plafonnement aide'!C276,0)</f>
        <v>28.712929777742456</v>
      </c>
      <c r="E276" s="135">
        <f>'H) Péréquation directe'!I286/C276</f>
        <v>15.602286555806133</v>
      </c>
      <c r="F276" s="398">
        <f>+'I) Dépenses thématiques'!U276</f>
        <v>0</v>
      </c>
      <c r="G276" s="135">
        <f t="shared" si="17"/>
        <v>44.315216333548591</v>
      </c>
      <c r="H276" s="109">
        <f t="shared" si="18"/>
        <v>44.315216333548591</v>
      </c>
      <c r="I276" s="135">
        <f t="shared" si="19"/>
        <v>0</v>
      </c>
      <c r="J276" s="55">
        <f t="shared" si="20"/>
        <v>0</v>
      </c>
      <c r="K276" s="36"/>
    </row>
    <row r="277" spans="1:11" x14ac:dyDescent="0.25">
      <c r="A277" s="49">
        <f>'A) Base RI'!A278</f>
        <v>5884</v>
      </c>
      <c r="B277" s="284" t="str">
        <f>'A) Base RI'!B278</f>
        <v>Corsier-sur-Vevey</v>
      </c>
      <c r="C277" s="95">
        <f>'B) D RI'!U278</f>
        <v>148896.79012919901</v>
      </c>
      <c r="D277" s="398">
        <f>IF('E) PCS'!G283/'K) Plafonnement aide'!C277&gt;0,'E) PCS'!G283/'K) Plafonnement aide'!C277,0)</f>
        <v>15.93880802661711</v>
      </c>
      <c r="E277" s="135">
        <f>'H) Péréquation directe'!I287/C277</f>
        <v>10.128253395377646</v>
      </c>
      <c r="F277" s="398">
        <f>+'I) Dépenses thématiques'!U277</f>
        <v>-9.1636898823733297</v>
      </c>
      <c r="G277" s="135">
        <f t="shared" si="17"/>
        <v>16.903371539621428</v>
      </c>
      <c r="H277" s="109">
        <f t="shared" si="18"/>
        <v>26.067061421994758</v>
      </c>
      <c r="I277" s="135">
        <f t="shared" si="19"/>
        <v>0</v>
      </c>
      <c r="J277" s="55">
        <f t="shared" si="20"/>
        <v>0</v>
      </c>
      <c r="K277" s="36"/>
    </row>
    <row r="278" spans="1:11" x14ac:dyDescent="0.25">
      <c r="A278" s="49">
        <f>'A) Base RI'!A279</f>
        <v>5885</v>
      </c>
      <c r="B278" s="284" t="str">
        <f>'A) Base RI'!B279</f>
        <v>Jongny</v>
      </c>
      <c r="C278" s="95">
        <f>'B) D RI'!U279</f>
        <v>97076.940527577928</v>
      </c>
      <c r="D278" s="398">
        <f>IF('E) PCS'!G284/'K) Plafonnement aide'!C278&gt;0,'E) PCS'!G284/'K) Plafonnement aide'!C278,0)</f>
        <v>19.578642206555507</v>
      </c>
      <c r="E278" s="135">
        <f>'H) Péréquation directe'!I288/C278</f>
        <v>14.472663995295861</v>
      </c>
      <c r="F278" s="398">
        <f>+'I) Dépenses thématiques'!U278</f>
        <v>-0.77925413000672616</v>
      </c>
      <c r="G278" s="135">
        <f t="shared" si="17"/>
        <v>33.272052071844641</v>
      </c>
      <c r="H278" s="109">
        <f t="shared" si="18"/>
        <v>34.051306201851368</v>
      </c>
      <c r="I278" s="135">
        <f t="shared" si="19"/>
        <v>0</v>
      </c>
      <c r="J278" s="55">
        <f t="shared" si="20"/>
        <v>0</v>
      </c>
      <c r="K278" s="36"/>
    </row>
    <row r="279" spans="1:11" x14ac:dyDescent="0.25">
      <c r="A279" s="49">
        <f>'A) Base RI'!A280</f>
        <v>5886</v>
      </c>
      <c r="B279" s="284" t="str">
        <f>'A) Base RI'!B280</f>
        <v>Montreux</v>
      </c>
      <c r="C279" s="95">
        <f>'B) D RI'!U280</f>
        <v>1223405.0430769229</v>
      </c>
      <c r="D279" s="398">
        <f>IF('E) PCS'!G285/'K) Plafonnement aide'!C279&gt;0,'E) PCS'!G285/'K) Plafonnement aide'!C279,0)</f>
        <v>24.892880935199855</v>
      </c>
      <c r="E279" s="135">
        <f>'H) Péréquation directe'!I289/C279</f>
        <v>0.76176474500585556</v>
      </c>
      <c r="F279" s="398">
        <f>+'I) Dépenses thématiques'!U279</f>
        <v>-5.0082845059398036</v>
      </c>
      <c r="G279" s="135">
        <f t="shared" si="17"/>
        <v>20.646361174265905</v>
      </c>
      <c r="H279" s="109">
        <f t="shared" si="18"/>
        <v>25.654645680205711</v>
      </c>
      <c r="I279" s="135">
        <f t="shared" si="19"/>
        <v>0</v>
      </c>
      <c r="J279" s="55">
        <f t="shared" si="20"/>
        <v>0</v>
      </c>
      <c r="K279" s="36"/>
    </row>
    <row r="280" spans="1:11" x14ac:dyDescent="0.25">
      <c r="A280" s="49">
        <f>'A) Base RI'!A281</f>
        <v>5888</v>
      </c>
      <c r="B280" s="284" t="str">
        <f>'A) Base RI'!B281</f>
        <v>Saint-Légier-La Chiésaz</v>
      </c>
      <c r="C280" s="95">
        <f>'B) D RI'!U281</f>
        <v>334017.18953771284</v>
      </c>
      <c r="D280" s="398">
        <f>IF('E) PCS'!G286/'K) Plafonnement aide'!C280&gt;0,'E) PCS'!G286/'K) Plafonnement aide'!C280,0)</f>
        <v>19.030964736357468</v>
      </c>
      <c r="E280" s="135">
        <f>'H) Péréquation directe'!I290/C280</f>
        <v>12.064839752794294</v>
      </c>
      <c r="F280" s="398">
        <f>+'I) Dépenses thématiques'!U280</f>
        <v>-5.2087340864952774</v>
      </c>
      <c r="G280" s="135">
        <f t="shared" si="17"/>
        <v>25.887070402656484</v>
      </c>
      <c r="H280" s="109">
        <f t="shared" si="18"/>
        <v>31.09580448915176</v>
      </c>
      <c r="I280" s="135">
        <f t="shared" si="19"/>
        <v>0</v>
      </c>
      <c r="J280" s="55">
        <f t="shared" si="20"/>
        <v>0</v>
      </c>
      <c r="K280" s="36"/>
    </row>
    <row r="281" spans="1:11" x14ac:dyDescent="0.25">
      <c r="A281" s="49">
        <f>'A) Base RI'!A282</f>
        <v>5889</v>
      </c>
      <c r="B281" s="284" t="str">
        <f>'A) Base RI'!B282</f>
        <v>La Tour-de-Peilz</v>
      </c>
      <c r="C281" s="95">
        <f>'B) D RI'!U282</f>
        <v>740535.59942708339</v>
      </c>
      <c r="D281" s="398">
        <f>IF('E) PCS'!G287/'K) Plafonnement aide'!C281&gt;0,'E) PCS'!G287/'K) Plafonnement aide'!C281,0)</f>
        <v>17.725812192134075</v>
      </c>
      <c r="E281" s="135">
        <f>'H) Péréquation directe'!I291/C281</f>
        <v>9.2246534433778198</v>
      </c>
      <c r="F281" s="398">
        <f>+'I) Dépenses thématiques'!U281</f>
        <v>-0.21889245238568783</v>
      </c>
      <c r="G281" s="135">
        <f t="shared" si="17"/>
        <v>26.731573183126208</v>
      </c>
      <c r="H281" s="109">
        <f t="shared" si="18"/>
        <v>26.950465635511897</v>
      </c>
      <c r="I281" s="135">
        <f t="shared" si="19"/>
        <v>0</v>
      </c>
      <c r="J281" s="55">
        <f t="shared" si="20"/>
        <v>0</v>
      </c>
      <c r="K281" s="36"/>
    </row>
    <row r="282" spans="1:11" x14ac:dyDescent="0.25">
      <c r="A282" s="49">
        <f>'A) Base RI'!A283</f>
        <v>5890</v>
      </c>
      <c r="B282" s="284" t="str">
        <f>'A) Base RI'!B283</f>
        <v>Vevey</v>
      </c>
      <c r="C282" s="95">
        <f>'B) D RI'!U283</f>
        <v>969776.79771812086</v>
      </c>
      <c r="D282" s="398">
        <f>IF('E) PCS'!G288/'K) Plafonnement aide'!C282&gt;0,'E) PCS'!G288/'K) Plafonnement aide'!C282,0)</f>
        <v>15.883843876825471</v>
      </c>
      <c r="E282" s="135">
        <f>'H) Péréquation directe'!I292/C282</f>
        <v>3.4935986979187841</v>
      </c>
      <c r="F282" s="398">
        <f>+'I) Dépenses thématiques'!U282</f>
        <v>-3.7706364209737862</v>
      </c>
      <c r="G282" s="135">
        <f t="shared" si="17"/>
        <v>15.606806153770467</v>
      </c>
      <c r="H282" s="109">
        <f t="shared" si="18"/>
        <v>19.377442574744254</v>
      </c>
      <c r="I282" s="135">
        <f t="shared" si="19"/>
        <v>0</v>
      </c>
      <c r="J282" s="55">
        <f t="shared" si="20"/>
        <v>0</v>
      </c>
      <c r="K282" s="36"/>
    </row>
    <row r="283" spans="1:11" x14ac:dyDescent="0.25">
      <c r="A283" s="49">
        <f>'A) Base RI'!A284</f>
        <v>5891</v>
      </c>
      <c r="B283" s="284" t="str">
        <f>'A) Base RI'!B284</f>
        <v>Veytaux</v>
      </c>
      <c r="C283" s="95">
        <f>'B) D RI'!U284</f>
        <v>39123.353381294961</v>
      </c>
      <c r="D283" s="398">
        <f>IF('E) PCS'!G289/'K) Plafonnement aide'!C283&gt;0,'E) PCS'!G289/'K) Plafonnement aide'!C283,0)</f>
        <v>15.54244533417544</v>
      </c>
      <c r="E283" s="135">
        <f>'H) Péréquation directe'!I293/C283</f>
        <v>12.195525278737007</v>
      </c>
      <c r="F283" s="398">
        <f>+'I) Dépenses thématiques'!U283</f>
        <v>-14.853880469103689</v>
      </c>
      <c r="G283" s="135">
        <f t="shared" si="17"/>
        <v>12.884090143808759</v>
      </c>
      <c r="H283" s="109">
        <f t="shared" si="18"/>
        <v>27.737970612912449</v>
      </c>
      <c r="I283" s="135">
        <f t="shared" si="19"/>
        <v>0</v>
      </c>
      <c r="J283" s="55">
        <f t="shared" si="20"/>
        <v>0</v>
      </c>
      <c r="K283" s="36"/>
    </row>
    <row r="284" spans="1:11" x14ac:dyDescent="0.25">
      <c r="A284" s="49">
        <f>'A) Base RI'!A285</f>
        <v>5902</v>
      </c>
      <c r="B284" s="284" t="str">
        <f>'A) Base RI'!B285</f>
        <v>Belmont-sur-Yverdon</v>
      </c>
      <c r="C284" s="95">
        <f>'B) D RI'!U285</f>
        <v>12109.15</v>
      </c>
      <c r="D284" s="398">
        <f>IF('E) PCS'!G290/'K) Plafonnement aide'!C284&gt;0,'E) PCS'!G290/'K) Plafonnement aide'!C284,0)</f>
        <v>14.788583068050054</v>
      </c>
      <c r="E284" s="135">
        <f>'H) Péréquation directe'!I294/C284</f>
        <v>1.4949027428048078</v>
      </c>
      <c r="F284" s="398">
        <f>+'I) Dépenses thématiques'!U284</f>
        <v>-9.5370432689329956</v>
      </c>
      <c r="G284" s="135">
        <f t="shared" si="17"/>
        <v>6.7464425419218674</v>
      </c>
      <c r="H284" s="109">
        <f t="shared" si="18"/>
        <v>16.283485810854863</v>
      </c>
      <c r="I284" s="135">
        <f t="shared" si="19"/>
        <v>0</v>
      </c>
      <c r="J284" s="55">
        <f t="shared" si="20"/>
        <v>0</v>
      </c>
      <c r="K284" s="36"/>
    </row>
    <row r="285" spans="1:11" x14ac:dyDescent="0.25">
      <c r="A285" s="49">
        <f>'A) Base RI'!A286</f>
        <v>5903</v>
      </c>
      <c r="B285" s="284" t="str">
        <f>'A) Base RI'!B286</f>
        <v>Bioley-Magnoux</v>
      </c>
      <c r="C285" s="95">
        <f>'B) D RI'!U286</f>
        <v>6059.1993849206356</v>
      </c>
      <c r="D285" s="398">
        <f>IF('E) PCS'!G291/'K) Plafonnement aide'!C285&gt;0,'E) PCS'!G291/'K) Plafonnement aide'!C285,0)</f>
        <v>13.972341662179156</v>
      </c>
      <c r="E285" s="135">
        <f>'H) Péréquation directe'!I295/C285</f>
        <v>-4.1496493389590929</v>
      </c>
      <c r="F285" s="398">
        <f>+'I) Dépenses thématiques'!U285</f>
        <v>-25.242221692262245</v>
      </c>
      <c r="G285" s="135">
        <f t="shared" si="17"/>
        <v>-15.419529369042181</v>
      </c>
      <c r="H285" s="109">
        <f t="shared" si="18"/>
        <v>9.822692323220064</v>
      </c>
      <c r="I285" s="135">
        <f t="shared" si="19"/>
        <v>0</v>
      </c>
      <c r="J285" s="55">
        <f t="shared" si="20"/>
        <v>0</v>
      </c>
      <c r="K285" s="36"/>
    </row>
    <row r="286" spans="1:11" x14ac:dyDescent="0.25">
      <c r="A286" s="49">
        <f>'A) Base RI'!A287</f>
        <v>5904</v>
      </c>
      <c r="B286" s="284" t="str">
        <f>'A) Base RI'!B287</f>
        <v>Chamblon</v>
      </c>
      <c r="C286" s="95">
        <f>'B) D RI'!U287</f>
        <v>22178.215151515149</v>
      </c>
      <c r="D286" s="398">
        <f>IF('E) PCS'!G292/'K) Plafonnement aide'!C286&gt;0,'E) PCS'!G292/'K) Plafonnement aide'!C286,0)</f>
        <v>13.686917037509094</v>
      </c>
      <c r="E286" s="135">
        <f>'H) Péréquation directe'!I296/C286</f>
        <v>11.601948738594874</v>
      </c>
      <c r="F286" s="398">
        <f>+'I) Dépenses thématiques'!U286</f>
        <v>0</v>
      </c>
      <c r="G286" s="135">
        <f t="shared" si="17"/>
        <v>25.288865776103968</v>
      </c>
      <c r="H286" s="109">
        <f t="shared" si="18"/>
        <v>25.288865776103968</v>
      </c>
      <c r="I286" s="135">
        <f t="shared" si="19"/>
        <v>0</v>
      </c>
      <c r="J286" s="55">
        <f t="shared" si="20"/>
        <v>0</v>
      </c>
      <c r="K286" s="36"/>
    </row>
    <row r="287" spans="1:11" x14ac:dyDescent="0.25">
      <c r="A287" s="49">
        <f>'A) Base RI'!A288</f>
        <v>5905</v>
      </c>
      <c r="B287" s="284" t="str">
        <f>'A) Base RI'!B288</f>
        <v>Champvent</v>
      </c>
      <c r="C287" s="95">
        <f>'B) D RI'!U288</f>
        <v>23298.236142857142</v>
      </c>
      <c r="D287" s="398">
        <f>IF('E) PCS'!G293/'K) Plafonnement aide'!C287&gt;0,'E) PCS'!G293/'K) Plafonnement aide'!C287,0)</f>
        <v>19.697299462445688</v>
      </c>
      <c r="E287" s="135">
        <f>'H) Péréquation directe'!I297/C287</f>
        <v>5.4724707202401159</v>
      </c>
      <c r="F287" s="398">
        <f>+'I) Dépenses thématiques'!U287</f>
        <v>-0.99158390764259785</v>
      </c>
      <c r="G287" s="135">
        <f t="shared" si="17"/>
        <v>24.178186275043203</v>
      </c>
      <c r="H287" s="109">
        <f t="shared" si="18"/>
        <v>25.169770182685802</v>
      </c>
      <c r="I287" s="135">
        <f t="shared" si="19"/>
        <v>0</v>
      </c>
      <c r="J287" s="55">
        <f t="shared" si="20"/>
        <v>0</v>
      </c>
      <c r="K287" s="36"/>
    </row>
    <row r="288" spans="1:11" x14ac:dyDescent="0.25">
      <c r="A288" s="49">
        <f>'A) Base RI'!A289</f>
        <v>5907</v>
      </c>
      <c r="B288" s="284" t="str">
        <f>'A) Base RI'!B289</f>
        <v>Chavannes-le-Chêne</v>
      </c>
      <c r="C288" s="95">
        <f>'B) D RI'!U289</f>
        <v>7818.3477333333331</v>
      </c>
      <c r="D288" s="398">
        <f>IF('E) PCS'!G294/'K) Plafonnement aide'!C288&gt;0,'E) PCS'!G294/'K) Plafonnement aide'!C288,0)</f>
        <v>13.822288204643504</v>
      </c>
      <c r="E288" s="135">
        <f>'H) Péréquation directe'!I298/C288</f>
        <v>-9.2545737166060409</v>
      </c>
      <c r="F288" s="398">
        <f>+'I) Dépenses thématiques'!U288</f>
        <v>-8.7158316723970071</v>
      </c>
      <c r="G288" s="135">
        <f t="shared" si="17"/>
        <v>-4.1481171843595437</v>
      </c>
      <c r="H288" s="109">
        <f t="shared" si="18"/>
        <v>4.5677144880374634</v>
      </c>
      <c r="I288" s="135">
        <f t="shared" si="19"/>
        <v>0</v>
      </c>
      <c r="J288" s="55">
        <f t="shared" si="20"/>
        <v>0</v>
      </c>
      <c r="K288" s="36"/>
    </row>
    <row r="289" spans="1:11" x14ac:dyDescent="0.25">
      <c r="A289" s="49">
        <f>'A) Base RI'!A290</f>
        <v>5908</v>
      </c>
      <c r="B289" s="284" t="str">
        <f>'A) Base RI'!B290</f>
        <v>Chêne-Pâquier</v>
      </c>
      <c r="C289" s="95">
        <f>'B) D RI'!U290</f>
        <v>4413.8781012658228</v>
      </c>
      <c r="D289" s="398">
        <f>IF('E) PCS'!G295/'K) Plafonnement aide'!C289&gt;0,'E) PCS'!G295/'K) Plafonnement aide'!C289,0)</f>
        <v>13.880723353561175</v>
      </c>
      <c r="E289" s="135">
        <f>'H) Péréquation directe'!I299/C289</f>
        <v>-2.5525311211626276</v>
      </c>
      <c r="F289" s="398">
        <f>+'I) Dépenses thématiques'!U289</f>
        <v>-6.3502145218775858</v>
      </c>
      <c r="G289" s="135">
        <f t="shared" si="17"/>
        <v>4.9779777105209604</v>
      </c>
      <c r="H289" s="109">
        <f t="shared" si="18"/>
        <v>11.328192232398546</v>
      </c>
      <c r="I289" s="135">
        <f t="shared" si="19"/>
        <v>0</v>
      </c>
      <c r="J289" s="55">
        <f t="shared" si="20"/>
        <v>0</v>
      </c>
      <c r="K289" s="36"/>
    </row>
    <row r="290" spans="1:11" x14ac:dyDescent="0.25">
      <c r="A290" s="49">
        <f>'A) Base RI'!A291</f>
        <v>5909</v>
      </c>
      <c r="B290" s="284" t="str">
        <f>'A) Base RI'!B291</f>
        <v>Cheseaux-Noréaz</v>
      </c>
      <c r="C290" s="95">
        <f>'B) D RI'!U291</f>
        <v>36898.573134328355</v>
      </c>
      <c r="D290" s="398">
        <f>IF('E) PCS'!G296/'K) Plafonnement aide'!C290&gt;0,'E) PCS'!G296/'K) Plafonnement aide'!C290,0)</f>
        <v>16.46004902151622</v>
      </c>
      <c r="E290" s="135">
        <f>'H) Péréquation directe'!I300/C290</f>
        <v>16.19295112334429</v>
      </c>
      <c r="F290" s="398">
        <f>+'I) Dépenses thématiques'!U290</f>
        <v>-1.1604598106855573</v>
      </c>
      <c r="G290" s="135">
        <f t="shared" si="17"/>
        <v>31.492540334174954</v>
      </c>
      <c r="H290" s="109">
        <f t="shared" si="18"/>
        <v>32.653000144860513</v>
      </c>
      <c r="I290" s="135">
        <f t="shared" si="19"/>
        <v>0</v>
      </c>
      <c r="J290" s="55">
        <f t="shared" si="20"/>
        <v>0</v>
      </c>
      <c r="K290" s="36"/>
    </row>
    <row r="291" spans="1:11" x14ac:dyDescent="0.25">
      <c r="A291" s="49">
        <f>'A) Base RI'!A292</f>
        <v>5910</v>
      </c>
      <c r="B291" s="284" t="str">
        <f>'A) Base RI'!B292</f>
        <v>Cronay</v>
      </c>
      <c r="C291" s="95">
        <f>'B) D RI'!U292</f>
        <v>10600.416103896103</v>
      </c>
      <c r="D291" s="398">
        <f>IF('E) PCS'!G297/'K) Plafonnement aide'!C291&gt;0,'E) PCS'!G297/'K) Plafonnement aide'!C291,0)</f>
        <v>14.921010179329285</v>
      </c>
      <c r="E291" s="135">
        <f>'H) Péréquation directe'!I301/C291</f>
        <v>-5.9700961443779157</v>
      </c>
      <c r="F291" s="398">
        <f>+'I) Dépenses thématiques'!U291</f>
        <v>-4.8359838704689917</v>
      </c>
      <c r="G291" s="135">
        <f t="shared" si="17"/>
        <v>4.1149301644823773</v>
      </c>
      <c r="H291" s="109">
        <f t="shared" si="18"/>
        <v>8.9509140349513689</v>
      </c>
      <c r="I291" s="135">
        <f t="shared" si="19"/>
        <v>0</v>
      </c>
      <c r="J291" s="55">
        <f t="shared" si="20"/>
        <v>0</v>
      </c>
      <c r="K291" s="36"/>
    </row>
    <row r="292" spans="1:11" x14ac:dyDescent="0.25">
      <c r="A292" s="49">
        <f>'A) Base RI'!A293</f>
        <v>5911</v>
      </c>
      <c r="B292" s="284" t="str">
        <f>'A) Base RI'!B293</f>
        <v>Cuarny</v>
      </c>
      <c r="C292" s="95">
        <f>'B) D RI'!U293</f>
        <v>7503.9646753246761</v>
      </c>
      <c r="D292" s="398">
        <f>IF('E) PCS'!G298/'K) Plafonnement aide'!C292&gt;0,'E) PCS'!G298/'K) Plafonnement aide'!C292,0)</f>
        <v>15.428200537103242</v>
      </c>
      <c r="E292" s="135">
        <f>'H) Péréquation directe'!I302/C292</f>
        <v>0.85042613710437576</v>
      </c>
      <c r="F292" s="398">
        <f>+'I) Dépenses thématiques'!U292</f>
        <v>-3.277998965326173</v>
      </c>
      <c r="G292" s="135">
        <f t="shared" si="17"/>
        <v>13.000627708881446</v>
      </c>
      <c r="H292" s="109">
        <f t="shared" si="18"/>
        <v>16.278626674207619</v>
      </c>
      <c r="I292" s="135">
        <f t="shared" si="19"/>
        <v>0</v>
      </c>
      <c r="J292" s="55">
        <f t="shared" si="20"/>
        <v>0</v>
      </c>
      <c r="K292" s="36"/>
    </row>
    <row r="293" spans="1:11" x14ac:dyDescent="0.25">
      <c r="A293" s="49">
        <f>'A) Base RI'!A294</f>
        <v>5912</v>
      </c>
      <c r="B293" s="284" t="str">
        <f>'A) Base RI'!B294</f>
        <v>Démoret</v>
      </c>
      <c r="C293" s="95">
        <f>'B) D RI'!U294</f>
        <v>4722.5551851851851</v>
      </c>
      <c r="D293" s="398">
        <f>IF('E) PCS'!G299/'K) Plafonnement aide'!C293&gt;0,'E) PCS'!G299/'K) Plafonnement aide'!C293,0)</f>
        <v>15.766397425408879</v>
      </c>
      <c r="E293" s="135">
        <f>'H) Péréquation directe'!I303/C293</f>
        <v>-3.5066972076937404</v>
      </c>
      <c r="F293" s="398">
        <f>+'I) Dépenses thématiques'!U293</f>
        <v>-3.89097276592027</v>
      </c>
      <c r="G293" s="135">
        <f t="shared" si="17"/>
        <v>8.368727451794868</v>
      </c>
      <c r="H293" s="109">
        <f t="shared" si="18"/>
        <v>12.259700217715139</v>
      </c>
      <c r="I293" s="135">
        <f t="shared" si="19"/>
        <v>0</v>
      </c>
      <c r="J293" s="55">
        <f t="shared" si="20"/>
        <v>0</v>
      </c>
      <c r="K293" s="36"/>
    </row>
    <row r="294" spans="1:11" x14ac:dyDescent="0.25">
      <c r="A294" s="49">
        <f>'A) Base RI'!A295</f>
        <v>5913</v>
      </c>
      <c r="B294" s="284" t="str">
        <f>'A) Base RI'!B295</f>
        <v>Donneloye</v>
      </c>
      <c r="C294" s="95">
        <f>'B) D RI'!U295</f>
        <v>23893.322465753423</v>
      </c>
      <c r="D294" s="398">
        <f>IF('E) PCS'!G300/'K) Plafonnement aide'!C294&gt;0,'E) PCS'!G300/'K) Plafonnement aide'!C294,0)</f>
        <v>15.56180802434236</v>
      </c>
      <c r="E294" s="135">
        <f>'H) Péréquation directe'!I304/C294</f>
        <v>-3.1191316891948939</v>
      </c>
      <c r="F294" s="398">
        <f>+'I) Dépenses thématiques'!U294</f>
        <v>-1.1233713266388974</v>
      </c>
      <c r="G294" s="135">
        <f t="shared" si="17"/>
        <v>11.319305008508568</v>
      </c>
      <c r="H294" s="109">
        <f t="shared" si="18"/>
        <v>12.442676335147466</v>
      </c>
      <c r="I294" s="135">
        <f t="shared" si="19"/>
        <v>0</v>
      </c>
      <c r="J294" s="55">
        <f t="shared" si="20"/>
        <v>0</v>
      </c>
      <c r="K294" s="36"/>
    </row>
    <row r="295" spans="1:11" x14ac:dyDescent="0.25">
      <c r="A295" s="49">
        <f>'A) Base RI'!A296</f>
        <v>5914</v>
      </c>
      <c r="B295" s="284" t="str">
        <f>'A) Base RI'!B296</f>
        <v>Ependes</v>
      </c>
      <c r="C295" s="95">
        <f>'B) D RI'!U296</f>
        <v>9829.5133333333324</v>
      </c>
      <c r="D295" s="398">
        <f>IF('E) PCS'!G301/'K) Plafonnement aide'!C295&gt;0,'E) PCS'!G301/'K) Plafonnement aide'!C295,0)</f>
        <v>18.705970697056369</v>
      </c>
      <c r="E295" s="135">
        <f>'H) Péréquation directe'!I305/C295</f>
        <v>-5.0726825416783257</v>
      </c>
      <c r="F295" s="398">
        <f>+'I) Dépenses thématiques'!U295</f>
        <v>-6.0574753785707944</v>
      </c>
      <c r="G295" s="135">
        <f t="shared" si="17"/>
        <v>7.5758127768072487</v>
      </c>
      <c r="H295" s="109">
        <f t="shared" si="18"/>
        <v>13.633288155378043</v>
      </c>
      <c r="I295" s="135">
        <f t="shared" si="19"/>
        <v>0</v>
      </c>
      <c r="J295" s="55">
        <f t="shared" si="20"/>
        <v>0</v>
      </c>
      <c r="K295" s="36"/>
    </row>
    <row r="296" spans="1:11" x14ac:dyDescent="0.25">
      <c r="A296" s="49">
        <f>'A) Base RI'!A297</f>
        <v>5919</v>
      </c>
      <c r="B296" s="284" t="str">
        <f>'A) Base RI'!B297</f>
        <v>Mathod</v>
      </c>
      <c r="C296" s="95">
        <f>'B) D RI'!U297</f>
        <v>18684.885972222222</v>
      </c>
      <c r="D296" s="398">
        <f>IF('E) PCS'!G302/'K) Plafonnement aide'!C296&gt;0,'E) PCS'!G302/'K) Plafonnement aide'!C296,0)</f>
        <v>14.754073615008847</v>
      </c>
      <c r="E296" s="135">
        <f>'H) Péréquation directe'!I306/C296</f>
        <v>-0.13450811735896304</v>
      </c>
      <c r="F296" s="398">
        <f>+'I) Dépenses thématiques'!U296</f>
        <v>-7.5579679692690416</v>
      </c>
      <c r="G296" s="135">
        <f t="shared" si="17"/>
        <v>7.0615975283808421</v>
      </c>
      <c r="H296" s="109">
        <f t="shared" si="18"/>
        <v>14.619565497649884</v>
      </c>
      <c r="I296" s="135">
        <f t="shared" si="19"/>
        <v>0</v>
      </c>
      <c r="J296" s="55">
        <f t="shared" si="20"/>
        <v>0</v>
      </c>
      <c r="K296" s="36"/>
    </row>
    <row r="297" spans="1:11" x14ac:dyDescent="0.25">
      <c r="A297" s="49">
        <f>'A) Base RI'!A298</f>
        <v>5921</v>
      </c>
      <c r="B297" s="284" t="str">
        <f>'A) Base RI'!B298</f>
        <v>Molondin</v>
      </c>
      <c r="C297" s="95">
        <f>'B) D RI'!U298</f>
        <v>5874.9966666666678</v>
      </c>
      <c r="D297" s="398">
        <f>IF('E) PCS'!G303/'K) Plafonnement aide'!C297&gt;0,'E) PCS'!G303/'K) Plafonnement aide'!C297,0)</f>
        <v>12.970925812425881</v>
      </c>
      <c r="E297" s="135">
        <f>'H) Péréquation directe'!I307/C297</f>
        <v>-11.798935199322345</v>
      </c>
      <c r="F297" s="398">
        <f>+'I) Dépenses thématiques'!U297</f>
        <v>-6.2502201419688719</v>
      </c>
      <c r="G297" s="135">
        <f t="shared" si="17"/>
        <v>-5.0782295288653367</v>
      </c>
      <c r="H297" s="109">
        <f t="shared" si="18"/>
        <v>1.1719906131035351</v>
      </c>
      <c r="I297" s="135">
        <f t="shared" si="19"/>
        <v>0</v>
      </c>
      <c r="J297" s="55">
        <f t="shared" si="20"/>
        <v>0</v>
      </c>
      <c r="K297" s="36"/>
    </row>
    <row r="298" spans="1:11" x14ac:dyDescent="0.25">
      <c r="A298" s="49">
        <f>'A) Base RI'!A299</f>
        <v>5922</v>
      </c>
      <c r="B298" s="284" t="str">
        <f>'A) Base RI'!B299</f>
        <v>Montagny-près-Yverdon</v>
      </c>
      <c r="C298" s="95">
        <f>'B) D RI'!U299</f>
        <v>39614.024961240313</v>
      </c>
      <c r="D298" s="398">
        <f>IF('E) PCS'!G304/'K) Plafonnement aide'!C298&gt;0,'E) PCS'!G304/'K) Plafonnement aide'!C298,0)</f>
        <v>19.859185465722184</v>
      </c>
      <c r="E298" s="135">
        <f>'H) Péréquation directe'!I308/C298</f>
        <v>16.213657122057</v>
      </c>
      <c r="F298" s="398">
        <f>+'I) Dépenses thématiques'!U298</f>
        <v>-3.7455825399649676</v>
      </c>
      <c r="G298" s="135">
        <f t="shared" si="17"/>
        <v>32.327260047814221</v>
      </c>
      <c r="H298" s="109">
        <f t="shared" si="18"/>
        <v>36.072842587779192</v>
      </c>
      <c r="I298" s="135">
        <f t="shared" si="19"/>
        <v>0</v>
      </c>
      <c r="J298" s="55">
        <f t="shared" si="20"/>
        <v>0</v>
      </c>
      <c r="K298" s="36"/>
    </row>
    <row r="299" spans="1:11" x14ac:dyDescent="0.25">
      <c r="A299" s="49">
        <f>'A) Base RI'!A300</f>
        <v>5923</v>
      </c>
      <c r="B299" s="284" t="str">
        <f>'A) Base RI'!B300</f>
        <v>Oppens</v>
      </c>
      <c r="C299" s="95">
        <f>'B) D RI'!U300</f>
        <v>5094.8359259259259</v>
      </c>
      <c r="D299" s="398">
        <f>IF('E) PCS'!G305/'K) Plafonnement aide'!C299&gt;0,'E) PCS'!G305/'K) Plafonnement aide'!C299,0)</f>
        <v>19.013253722858959</v>
      </c>
      <c r="E299" s="135">
        <f>'H) Péréquation directe'!I309/C299</f>
        <v>-10.087034484763212</v>
      </c>
      <c r="F299" s="398">
        <f>+'I) Dépenses thématiques'!U299</f>
        <v>-7.2700785733877078</v>
      </c>
      <c r="G299" s="135">
        <f t="shared" si="17"/>
        <v>1.6561406647080394</v>
      </c>
      <c r="H299" s="109">
        <f t="shared" si="18"/>
        <v>8.9262192380957472</v>
      </c>
      <c r="I299" s="135">
        <f t="shared" si="19"/>
        <v>0</v>
      </c>
      <c r="J299" s="55">
        <f t="shared" si="20"/>
        <v>0</v>
      </c>
      <c r="K299" s="36"/>
    </row>
    <row r="300" spans="1:11" x14ac:dyDescent="0.25">
      <c r="A300" s="49">
        <f>'A) Base RI'!A301</f>
        <v>5924</v>
      </c>
      <c r="B300" s="284" t="str">
        <f>'A) Base RI'!B301</f>
        <v>Orges</v>
      </c>
      <c r="C300" s="95">
        <f>'B) D RI'!U301</f>
        <v>13110.169864864867</v>
      </c>
      <c r="D300" s="398">
        <f>IF('E) PCS'!G306/'K) Plafonnement aide'!C300&gt;0,'E) PCS'!G306/'K) Plafonnement aide'!C300,0)</f>
        <v>15.758395767947807</v>
      </c>
      <c r="E300" s="135">
        <f>'H) Péréquation directe'!I310/C300</f>
        <v>7.407642905542791</v>
      </c>
      <c r="F300" s="398">
        <f>+'I) Dépenses thématiques'!U300</f>
        <v>-2.2477192221425528</v>
      </c>
      <c r="G300" s="135">
        <f t="shared" si="17"/>
        <v>20.918319451348044</v>
      </c>
      <c r="H300" s="109">
        <f t="shared" si="18"/>
        <v>23.166038673490597</v>
      </c>
      <c r="I300" s="135">
        <f t="shared" si="19"/>
        <v>0</v>
      </c>
      <c r="J300" s="55">
        <f t="shared" si="20"/>
        <v>0</v>
      </c>
      <c r="K300" s="36"/>
    </row>
    <row r="301" spans="1:11" x14ac:dyDescent="0.25">
      <c r="A301" s="49">
        <f>'A) Base RI'!A302</f>
        <v>5925</v>
      </c>
      <c r="B301" s="284" t="str">
        <f>'A) Base RI'!B302</f>
        <v>Orzens</v>
      </c>
      <c r="C301" s="95">
        <f>'B) D RI'!U302</f>
        <v>5230.5868354430377</v>
      </c>
      <c r="D301" s="398">
        <f>IF('E) PCS'!G307/'K) Plafonnement aide'!C301&gt;0,'E) PCS'!G307/'K) Plafonnement aide'!C301,0)</f>
        <v>25.323549598042593</v>
      </c>
      <c r="E301" s="135">
        <f>'H) Péréquation directe'!I311/C301</f>
        <v>-7.8170147852081158</v>
      </c>
      <c r="F301" s="398">
        <f>+'I) Dépenses thématiques'!U301</f>
        <v>-1.8878971297264224</v>
      </c>
      <c r="G301" s="135">
        <f t="shared" si="17"/>
        <v>15.618637683108055</v>
      </c>
      <c r="H301" s="109">
        <f t="shared" si="18"/>
        <v>17.506534812834477</v>
      </c>
      <c r="I301" s="135">
        <f t="shared" si="19"/>
        <v>0</v>
      </c>
      <c r="J301" s="55">
        <f t="shared" si="20"/>
        <v>0</v>
      </c>
      <c r="K301" s="36"/>
    </row>
    <row r="302" spans="1:11" x14ac:dyDescent="0.25">
      <c r="A302" s="49">
        <f>'A) Base RI'!A303</f>
        <v>5926</v>
      </c>
      <c r="B302" s="284" t="str">
        <f>'A) Base RI'!B303</f>
        <v>Pomy</v>
      </c>
      <c r="C302" s="95">
        <f>'B) D RI'!U303</f>
        <v>27875.103943661972</v>
      </c>
      <c r="D302" s="398">
        <f>IF('E) PCS'!G308/'K) Plafonnement aide'!C302&gt;0,'E) PCS'!G308/'K) Plafonnement aide'!C302,0)</f>
        <v>16.015561775954701</v>
      </c>
      <c r="E302" s="135">
        <f>'H) Péréquation directe'!I312/C302</f>
        <v>5.7496980300951863</v>
      </c>
      <c r="F302" s="398">
        <f>+'I) Dépenses thématiques'!U302</f>
        <v>-1.6147221718438056</v>
      </c>
      <c r="G302" s="135">
        <f t="shared" si="17"/>
        <v>20.150537634206081</v>
      </c>
      <c r="H302" s="109">
        <f t="shared" si="18"/>
        <v>21.765259806049887</v>
      </c>
      <c r="I302" s="135">
        <f t="shared" si="19"/>
        <v>0</v>
      </c>
      <c r="J302" s="55">
        <f t="shared" si="20"/>
        <v>0</v>
      </c>
      <c r="K302" s="36"/>
    </row>
    <row r="303" spans="1:11" x14ac:dyDescent="0.25">
      <c r="A303" s="49">
        <f>'A) Base RI'!A304</f>
        <v>5928</v>
      </c>
      <c r="B303" s="284" t="str">
        <f>'A) Base RI'!B304</f>
        <v>Rovray</v>
      </c>
      <c r="C303" s="95">
        <f>'B) D RI'!U304</f>
        <v>5459.4606993006983</v>
      </c>
      <c r="D303" s="398">
        <f>IF('E) PCS'!G309/'K) Plafonnement aide'!C303&gt;0,'E) PCS'!G309/'K) Plafonnement aide'!C303,0)</f>
        <v>14.580356551672992</v>
      </c>
      <c r="E303" s="135">
        <f>'H) Péréquation directe'!I313/C303</f>
        <v>-2.914479180858272</v>
      </c>
      <c r="F303" s="398">
        <f>+'I) Dépenses thématiques'!U303</f>
        <v>-4.4942424959416076</v>
      </c>
      <c r="G303" s="135">
        <f t="shared" si="17"/>
        <v>7.1716348748731118</v>
      </c>
      <c r="H303" s="109">
        <f t="shared" si="18"/>
        <v>11.665877370814719</v>
      </c>
      <c r="I303" s="135">
        <f t="shared" si="19"/>
        <v>0</v>
      </c>
      <c r="J303" s="55">
        <f t="shared" si="20"/>
        <v>0</v>
      </c>
      <c r="K303" s="36"/>
    </row>
    <row r="304" spans="1:11" x14ac:dyDescent="0.25">
      <c r="A304" s="49">
        <f>'A) Base RI'!A305</f>
        <v>5929</v>
      </c>
      <c r="B304" s="284" t="str">
        <f>'A) Base RI'!B305</f>
        <v>Suchy</v>
      </c>
      <c r="C304" s="95">
        <f>'B) D RI'!U305</f>
        <v>20266.988392857143</v>
      </c>
      <c r="D304" s="398">
        <f>IF('E) PCS'!G310/'K) Plafonnement aide'!C304&gt;0,'E) PCS'!G310/'K) Plafonnement aide'!C304,0)</f>
        <v>15.824786990905174</v>
      </c>
      <c r="E304" s="135">
        <f>'H) Péréquation directe'!I314/C304</f>
        <v>3.5351530868193781</v>
      </c>
      <c r="F304" s="398">
        <f>+'I) Dépenses thématiques'!U304</f>
        <v>-1.7387303759760271</v>
      </c>
      <c r="G304" s="135">
        <f t="shared" si="17"/>
        <v>17.621209701748526</v>
      </c>
      <c r="H304" s="109">
        <f t="shared" si="18"/>
        <v>19.359940077724552</v>
      </c>
      <c r="I304" s="135">
        <f t="shared" si="19"/>
        <v>0</v>
      </c>
      <c r="J304" s="55">
        <f t="shared" si="20"/>
        <v>0</v>
      </c>
      <c r="K304" s="36"/>
    </row>
    <row r="305" spans="1:13" x14ac:dyDescent="0.25">
      <c r="A305" s="49">
        <f>'A) Base RI'!A306</f>
        <v>5930</v>
      </c>
      <c r="B305" s="284" t="str">
        <f>'A) Base RI'!B306</f>
        <v>Suscévaz</v>
      </c>
      <c r="C305" s="95">
        <f>'B) D RI'!U306</f>
        <v>6661.8138888888889</v>
      </c>
      <c r="D305" s="398">
        <f>IF('E) PCS'!G311/'K) Plafonnement aide'!C305&gt;0,'E) PCS'!G311/'K) Plafonnement aide'!C305,0)</f>
        <v>18.188967943402986</v>
      </c>
      <c r="E305" s="135">
        <f>'H) Péréquation directe'!I315/C305</f>
        <v>2.9992646071163915</v>
      </c>
      <c r="F305" s="398">
        <f>+'I) Dépenses thématiques'!U305</f>
        <v>-4.1971310991792778</v>
      </c>
      <c r="G305" s="135">
        <f t="shared" si="17"/>
        <v>16.9911014513401</v>
      </c>
      <c r="H305" s="109">
        <f t="shared" si="18"/>
        <v>21.188232550519377</v>
      </c>
      <c r="I305" s="135">
        <f t="shared" si="19"/>
        <v>0</v>
      </c>
      <c r="J305" s="55">
        <f t="shared" si="20"/>
        <v>0</v>
      </c>
      <c r="K305" s="36"/>
    </row>
    <row r="306" spans="1:13" x14ac:dyDescent="0.25">
      <c r="A306" s="49">
        <f>'A) Base RI'!A307</f>
        <v>5931</v>
      </c>
      <c r="B306" s="284" t="str">
        <f>'A) Base RI'!B307</f>
        <v>Treycovagnes</v>
      </c>
      <c r="C306" s="95">
        <f>'B) D RI'!U307</f>
        <v>15271.093466666664</v>
      </c>
      <c r="D306" s="398">
        <f>IF('E) PCS'!G312/'K) Plafonnement aide'!C306&gt;0,'E) PCS'!G312/'K) Plafonnement aide'!C306,0)</f>
        <v>17.517086627531064</v>
      </c>
      <c r="E306" s="135">
        <f>'H) Péréquation directe'!I316/C306</f>
        <v>2.236286383217271</v>
      </c>
      <c r="F306" s="398">
        <f>+'I) Dépenses thématiques'!U306</f>
        <v>-4.0567945795909459</v>
      </c>
      <c r="G306" s="135">
        <f t="shared" si="17"/>
        <v>15.696578431157388</v>
      </c>
      <c r="H306" s="109">
        <f t="shared" si="18"/>
        <v>19.753373010748334</v>
      </c>
      <c r="I306" s="135">
        <f t="shared" si="19"/>
        <v>0</v>
      </c>
      <c r="J306" s="55">
        <f t="shared" si="20"/>
        <v>0</v>
      </c>
      <c r="K306" s="36"/>
    </row>
    <row r="307" spans="1:13" x14ac:dyDescent="0.25">
      <c r="A307" s="49">
        <f>'A) Base RI'!A308</f>
        <v>5932</v>
      </c>
      <c r="B307" s="284" t="str">
        <f>'A) Base RI'!B308</f>
        <v>Ursins</v>
      </c>
      <c r="C307" s="95">
        <f>'B) D RI'!U308</f>
        <v>7703.3244000000022</v>
      </c>
      <c r="D307" s="398">
        <f>IF('E) PCS'!G313/'K) Plafonnement aide'!C307&gt;0,'E) PCS'!G313/'K) Plafonnement aide'!C307,0)</f>
        <v>12.835720889005547</v>
      </c>
      <c r="E307" s="135">
        <f>'H) Péréquation directe'!I317/C307</f>
        <v>5.2527563344266195</v>
      </c>
      <c r="F307" s="398">
        <f>+'I) Dépenses thématiques'!U307</f>
        <v>-1.0426026846279506</v>
      </c>
      <c r="G307" s="135">
        <f t="shared" si="17"/>
        <v>17.045874538804213</v>
      </c>
      <c r="H307" s="109">
        <f t="shared" si="18"/>
        <v>18.088477223432164</v>
      </c>
      <c r="I307" s="135">
        <f t="shared" si="19"/>
        <v>0</v>
      </c>
      <c r="J307" s="55">
        <f t="shared" si="20"/>
        <v>0</v>
      </c>
      <c r="K307" s="36"/>
    </row>
    <row r="308" spans="1:13" x14ac:dyDescent="0.25">
      <c r="A308" s="49">
        <f>'A) Base RI'!A309</f>
        <v>5933</v>
      </c>
      <c r="B308" s="284" t="str">
        <f>'A) Base RI'!B309</f>
        <v>Valeyres-sous-Montagny</v>
      </c>
      <c r="C308" s="95">
        <f>'B) D RI'!U309</f>
        <v>19607.073049645387</v>
      </c>
      <c r="D308" s="398">
        <f>IF('E) PCS'!G314/'K) Plafonnement aide'!C308&gt;0,'E) PCS'!G314/'K) Plafonnement aide'!C308,0)</f>
        <v>15.84094628476573</v>
      </c>
      <c r="E308" s="135">
        <f>'H) Péréquation directe'!I318/C308</f>
        <v>-7.5522350542937516E-2</v>
      </c>
      <c r="F308" s="398">
        <f>+'I) Dépenses thématiques'!U308</f>
        <v>-22.704689567265369</v>
      </c>
      <c r="G308" s="135">
        <f t="shared" si="17"/>
        <v>-6.9392656330425773</v>
      </c>
      <c r="H308" s="109">
        <f t="shared" si="18"/>
        <v>15.765423934222792</v>
      </c>
      <c r="I308" s="135">
        <f t="shared" si="19"/>
        <v>0</v>
      </c>
      <c r="J308" s="55">
        <f t="shared" si="20"/>
        <v>0</v>
      </c>
      <c r="K308" s="36"/>
    </row>
    <row r="309" spans="1:13" x14ac:dyDescent="0.25">
      <c r="A309" s="49">
        <f>'A) Base RI'!A310</f>
        <v>5934</v>
      </c>
      <c r="B309" s="284" t="str">
        <f>'A) Base RI'!B310</f>
        <v>Valeyres-sous-Ursins</v>
      </c>
      <c r="C309" s="95">
        <f>'B) D RI'!U310</f>
        <v>7018.283636363637</v>
      </c>
      <c r="D309" s="398">
        <f>IF('E) PCS'!G315/'K) Plafonnement aide'!C309&gt;0,'E) PCS'!G315/'K) Plafonnement aide'!C309,0)</f>
        <v>13.054892324208481</v>
      </c>
      <c r="E309" s="135">
        <f>'H) Péréquation directe'!I319/C309</f>
        <v>-2.3824577385220826</v>
      </c>
      <c r="F309" s="398">
        <f>+'I) Dépenses thématiques'!U309</f>
        <v>-1.0365479153670307</v>
      </c>
      <c r="G309" s="135">
        <f t="shared" si="17"/>
        <v>9.6358866703193673</v>
      </c>
      <c r="H309" s="109">
        <f t="shared" si="18"/>
        <v>10.672434585686398</v>
      </c>
      <c r="I309" s="135">
        <f t="shared" si="19"/>
        <v>0</v>
      </c>
      <c r="J309" s="55">
        <f t="shared" si="20"/>
        <v>0</v>
      </c>
      <c r="K309" s="36"/>
    </row>
    <row r="310" spans="1:13" x14ac:dyDescent="0.25">
      <c r="A310" s="49">
        <f>'A) Base RI'!A311</f>
        <v>5935</v>
      </c>
      <c r="B310" s="284" t="str">
        <f>'A) Base RI'!B311</f>
        <v>Villars-Epeney</v>
      </c>
      <c r="C310" s="95">
        <f>'B) D RI'!U311</f>
        <v>3448.2304999999997</v>
      </c>
      <c r="D310" s="398">
        <f>IF('E) PCS'!G316/'K) Plafonnement aide'!C310&gt;0,'E) PCS'!G316/'K) Plafonnement aide'!C310,0)</f>
        <v>13.663890208834678</v>
      </c>
      <c r="E310" s="135">
        <f>'H) Péréquation directe'!I320/C310</f>
        <v>10.427814395544598</v>
      </c>
      <c r="F310" s="398">
        <f>+'I) Dépenses thématiques'!U310</f>
        <v>-2.8707701312310765</v>
      </c>
      <c r="G310" s="135">
        <f t="shared" si="17"/>
        <v>21.220934473148198</v>
      </c>
      <c r="H310" s="109">
        <f t="shared" si="18"/>
        <v>24.091704604379274</v>
      </c>
      <c r="I310" s="135">
        <f t="shared" si="19"/>
        <v>0</v>
      </c>
      <c r="J310" s="55">
        <f t="shared" si="20"/>
        <v>0</v>
      </c>
      <c r="K310" s="36"/>
    </row>
    <row r="311" spans="1:13" x14ac:dyDescent="0.25">
      <c r="A311" s="49">
        <f>'A) Base RI'!A312</f>
        <v>5937</v>
      </c>
      <c r="B311" s="284" t="str">
        <f>'A) Base RI'!B312</f>
        <v>Vugelles-La Mothe</v>
      </c>
      <c r="C311" s="95">
        <f>'B) D RI'!U312</f>
        <v>3479.7743061224487</v>
      </c>
      <c r="D311" s="398">
        <f>IF('E) PCS'!G317/'K) Plafonnement aide'!C311&gt;0,'E) PCS'!G317/'K) Plafonnement aide'!C311,0)</f>
        <v>13.66639382234837</v>
      </c>
      <c r="E311" s="135">
        <f>'H) Péréquation directe'!I321/C311</f>
        <v>-4.8935642660414782</v>
      </c>
      <c r="F311" s="398">
        <f>+'I) Dépenses thématiques'!U311</f>
        <v>-6.1202312449409924</v>
      </c>
      <c r="G311" s="135">
        <f t="shared" si="17"/>
        <v>2.6525983113658995</v>
      </c>
      <c r="H311" s="109">
        <f t="shared" si="18"/>
        <v>8.7728295563068919</v>
      </c>
      <c r="I311" s="135">
        <f t="shared" si="19"/>
        <v>0</v>
      </c>
      <c r="J311" s="55">
        <f t="shared" si="20"/>
        <v>0</v>
      </c>
      <c r="K311" s="36"/>
    </row>
    <row r="312" spans="1:13" x14ac:dyDescent="0.25">
      <c r="A312" s="49">
        <f>'A) Base RI'!A313</f>
        <v>5938</v>
      </c>
      <c r="B312" s="284" t="str">
        <f>'A) Base RI'!B313</f>
        <v>Yverdon-les-Bains</v>
      </c>
      <c r="C312" s="95">
        <f>'B) D RI'!U313</f>
        <v>762770.29813333345</v>
      </c>
      <c r="D312" s="398">
        <f>IF('E) PCS'!G318/'K) Plafonnement aide'!C312&gt;0,'E) PCS'!G318/'K) Plafonnement aide'!C312,0)</f>
        <v>18.206503009249708</v>
      </c>
      <c r="E312" s="135">
        <f>'H) Péréquation directe'!I322/C312</f>
        <v>-34.219891515269723</v>
      </c>
      <c r="F312" s="398">
        <f>+'I) Dépenses thématiques'!U312</f>
        <v>-12.792677867871445</v>
      </c>
      <c r="G312" s="135">
        <f t="shared" si="17"/>
        <v>-28.806066373891461</v>
      </c>
      <c r="H312" s="109">
        <f t="shared" si="18"/>
        <v>-16.013388506020014</v>
      </c>
      <c r="I312" s="135">
        <f t="shared" si="19"/>
        <v>-8.0133885060200143</v>
      </c>
      <c r="J312" s="55">
        <f t="shared" si="20"/>
        <v>6112374.7397951139</v>
      </c>
      <c r="K312" s="36"/>
    </row>
    <row r="313" spans="1:13" x14ac:dyDescent="0.25">
      <c r="A313" s="49">
        <f>'A) Base RI'!A314</f>
        <v>5939</v>
      </c>
      <c r="B313" s="284" t="str">
        <f>'A) Base RI'!B314</f>
        <v>Yvonand</v>
      </c>
      <c r="C313" s="95">
        <f>'B) D RI'!U314</f>
        <v>105336.86867132869</v>
      </c>
      <c r="D313" s="398">
        <f>IF('E) PCS'!G319/'K) Plafonnement aide'!C313&gt;0,'E) PCS'!G319/'K) Plafonnement aide'!C313,0)</f>
        <v>15.552786879192707</v>
      </c>
      <c r="E313" s="135">
        <f>'H) Péréquation directe'!I323/C313</f>
        <v>-4.1097364701566264</v>
      </c>
      <c r="F313" s="398">
        <f>+'I) Dépenses thématiques'!U313</f>
        <v>-4.3108210087901373</v>
      </c>
      <c r="G313" s="135">
        <f t="shared" si="17"/>
        <v>7.1322294002459437</v>
      </c>
      <c r="H313" s="109">
        <f t="shared" si="18"/>
        <v>11.443050409036081</v>
      </c>
      <c r="I313" s="135">
        <f t="shared" si="19"/>
        <v>0</v>
      </c>
      <c r="J313" s="55">
        <f t="shared" si="20"/>
        <v>0</v>
      </c>
      <c r="K313" s="36"/>
    </row>
    <row r="314" spans="1:13" x14ac:dyDescent="0.25">
      <c r="A314" s="30"/>
      <c r="B314" s="290">
        <f>COUNTA(B6:B313)</f>
        <v>308</v>
      </c>
      <c r="C314" s="97">
        <f>'B) D RI'!U315</f>
        <v>39865815.115802124</v>
      </c>
      <c r="D314" s="297">
        <f>SUMIF('E) PCS'!G12:G319,"&gt;0")/C314</f>
        <v>19.970780909437899</v>
      </c>
      <c r="E314" s="108">
        <f>'H) Péréquation directe'!I324/C314</f>
        <v>4.1640154666377587</v>
      </c>
      <c r="F314" s="297">
        <f>'I) Dépenses thématiques'!U314</f>
        <v>-4.3419625354820051</v>
      </c>
      <c r="G314" s="108">
        <f t="shared" ref="G314" si="21">SUM(D314:F314)</f>
        <v>19.792833840593651</v>
      </c>
      <c r="H314" s="297">
        <f t="shared" ref="H314" si="22">G314-F314</f>
        <v>24.134796376075656</v>
      </c>
      <c r="I314" s="108"/>
      <c r="J314" s="37">
        <f>SUM(J6:J313)</f>
        <v>8856909.6704196353</v>
      </c>
      <c r="L314" s="12"/>
      <c r="M314" s="12"/>
    </row>
    <row r="315" spans="1:13" x14ac:dyDescent="0.25">
      <c r="C315" s="12"/>
      <c r="I315" s="28"/>
      <c r="J315" s="6"/>
    </row>
    <row r="316" spans="1:13" x14ac:dyDescent="0.25">
      <c r="I316" s="28"/>
      <c r="J316" s="406"/>
    </row>
    <row r="317" spans="1:13" x14ac:dyDescent="0.25">
      <c r="J317" s="6"/>
    </row>
  </sheetData>
  <mergeCells count="9">
    <mergeCell ref="C4:C5"/>
    <mergeCell ref="B4:B5"/>
    <mergeCell ref="A4:A5"/>
    <mergeCell ref="J4:J5"/>
    <mergeCell ref="H4:H5"/>
    <mergeCell ref="G4:G5"/>
    <mergeCell ref="F4:F5"/>
    <mergeCell ref="E4:E5"/>
    <mergeCell ref="D4:D5"/>
  </mergeCells>
  <phoneticPr fontId="21"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5">
    <tabColor rgb="FF00B050"/>
  </sheetPr>
  <dimension ref="A1:V320"/>
  <sheetViews>
    <sheetView workbookViewId="0">
      <pane ySplit="6" topLeftCell="A7" activePane="bottomLeft" state="frozen"/>
      <selection pane="bottomLeft"/>
    </sheetView>
  </sheetViews>
  <sheetFormatPr baseColWidth="10" defaultColWidth="10.75" defaultRowHeight="15" x14ac:dyDescent="0.25"/>
  <cols>
    <col min="1" max="1" width="7.25" style="13" customWidth="1"/>
    <col min="2" max="2" width="18" style="13" customWidth="1"/>
    <col min="3" max="3" width="11.125" style="6" customWidth="1"/>
    <col min="4" max="4" width="14.75" style="6" customWidth="1"/>
    <col min="5" max="5" width="11.25" style="6" bestFit="1" customWidth="1"/>
    <col min="6" max="6" width="12.125" style="6" bestFit="1" customWidth="1"/>
    <col min="7" max="7" width="11" style="6" customWidth="1"/>
    <col min="8" max="8" width="11" style="13" customWidth="1"/>
    <col min="9" max="9" width="16.5" style="13" customWidth="1"/>
    <col min="10" max="10" width="12.5" style="13" customWidth="1"/>
    <col min="11" max="11" width="10" style="13" customWidth="1"/>
    <col min="12" max="12" width="8.875" style="15" bestFit="1" customWidth="1"/>
    <col min="13" max="13" width="10.375" style="15" customWidth="1"/>
    <col min="14" max="14" width="13.375" style="15" customWidth="1"/>
    <col min="15" max="15" width="6.75" style="13" customWidth="1"/>
    <col min="16" max="16" width="12.25" style="13" customWidth="1"/>
    <col min="17" max="17" width="12.625" style="13" customWidth="1"/>
    <col min="18" max="18" width="8.25" style="13" customWidth="1"/>
    <col min="19" max="19" width="8.125" style="13" customWidth="1"/>
    <col min="20" max="20" width="9.625" style="13" customWidth="1"/>
    <col min="21" max="21" width="11.25" style="6" bestFit="1" customWidth="1"/>
    <col min="22" max="16384" width="10.75" style="13"/>
  </cols>
  <sheetData>
    <row r="1" spans="1:22" s="43" customFormat="1" ht="21" x14ac:dyDescent="0.25">
      <c r="A1" s="51" t="s">
        <v>124</v>
      </c>
      <c r="B1" s="42"/>
      <c r="C1" s="44"/>
      <c r="D1" s="44"/>
      <c r="E1" s="44"/>
      <c r="F1" s="44"/>
      <c r="G1" s="44"/>
      <c r="H1" s="68"/>
      <c r="I1" s="68"/>
      <c r="J1" s="68"/>
      <c r="K1" s="68"/>
      <c r="L1" s="133"/>
      <c r="M1" s="133"/>
      <c r="N1" s="133"/>
      <c r="O1" s="68"/>
      <c r="P1" s="68"/>
      <c r="Q1" s="68"/>
      <c r="R1" s="68"/>
      <c r="S1" s="68"/>
      <c r="T1" s="68"/>
      <c r="U1" s="6"/>
    </row>
    <row r="2" spans="1:22" s="43" customFormat="1" ht="21" x14ac:dyDescent="0.25">
      <c r="A2" s="199">
        <f>Paramètres!B5</f>
        <v>2021</v>
      </c>
      <c r="B2" s="42"/>
      <c r="C2" s="44"/>
      <c r="D2" s="44"/>
      <c r="E2" s="44"/>
      <c r="F2" s="44"/>
      <c r="G2" s="44"/>
      <c r="H2" s="397"/>
      <c r="I2" s="397"/>
      <c r="J2" s="397"/>
      <c r="K2" s="397"/>
      <c r="L2" s="133"/>
      <c r="M2" s="133"/>
      <c r="N2" s="133"/>
      <c r="O2" s="397"/>
      <c r="P2" s="397"/>
      <c r="Q2" s="397"/>
      <c r="R2" s="397"/>
      <c r="S2" s="397"/>
      <c r="T2" s="397"/>
      <c r="U2" s="6"/>
    </row>
    <row r="3" spans="1:22" x14ac:dyDescent="0.25">
      <c r="H3" s="140"/>
      <c r="I3" s="140"/>
    </row>
    <row r="4" spans="1:22" x14ac:dyDescent="0.25">
      <c r="C4" s="621" t="str">
        <f>Paramètres!B6</f>
        <v>Décompte 2020</v>
      </c>
      <c r="D4" s="622"/>
      <c r="E4" s="622"/>
      <c r="F4" s="622"/>
      <c r="G4" s="622"/>
      <c r="H4" s="622"/>
      <c r="I4" s="623"/>
    </row>
    <row r="5" spans="1:22" ht="30" x14ac:dyDescent="0.25">
      <c r="A5" s="592" t="s">
        <v>46</v>
      </c>
      <c r="B5" s="592" t="s">
        <v>94</v>
      </c>
      <c r="C5" s="589" t="s">
        <v>559</v>
      </c>
      <c r="D5" s="589" t="s">
        <v>562</v>
      </c>
      <c r="E5" s="589" t="s">
        <v>422</v>
      </c>
      <c r="F5" s="589" t="s">
        <v>245</v>
      </c>
      <c r="G5" s="589" t="s">
        <v>246</v>
      </c>
      <c r="H5" s="592" t="s">
        <v>558</v>
      </c>
      <c r="I5" s="61" t="s">
        <v>357</v>
      </c>
      <c r="J5" s="61" t="s">
        <v>357</v>
      </c>
      <c r="K5" s="606" t="s">
        <v>440</v>
      </c>
      <c r="L5" s="613" t="s">
        <v>349</v>
      </c>
      <c r="M5" s="613" t="s">
        <v>255</v>
      </c>
      <c r="N5" s="613" t="s">
        <v>256</v>
      </c>
      <c r="O5" s="608" t="s">
        <v>123</v>
      </c>
      <c r="P5" s="111" t="s">
        <v>124</v>
      </c>
      <c r="Q5" s="606" t="s">
        <v>358</v>
      </c>
      <c r="R5" s="592" t="s">
        <v>125</v>
      </c>
      <c r="S5" s="592" t="s">
        <v>249</v>
      </c>
      <c r="T5" s="141"/>
    </row>
    <row r="6" spans="1:22" x14ac:dyDescent="0.25">
      <c r="A6" s="594"/>
      <c r="B6" s="594"/>
      <c r="C6" s="590"/>
      <c r="D6" s="591"/>
      <c r="E6" s="590"/>
      <c r="F6" s="591"/>
      <c r="G6" s="590"/>
      <c r="H6" s="594"/>
      <c r="I6" s="480" t="str">
        <f>Paramètres!B6</f>
        <v>Décompte 2020</v>
      </c>
      <c r="J6" s="484">
        <f>Paramètres!B5</f>
        <v>2021</v>
      </c>
      <c r="K6" s="607"/>
      <c r="L6" s="614"/>
      <c r="M6" s="614"/>
      <c r="N6" s="614"/>
      <c r="O6" s="609"/>
      <c r="P6" s="372">
        <f>Paramètres!B45</f>
        <v>93.882000000000005</v>
      </c>
      <c r="Q6" s="607"/>
      <c r="R6" s="594"/>
      <c r="S6" s="594"/>
      <c r="T6" s="136"/>
    </row>
    <row r="7" spans="1:22" x14ac:dyDescent="0.25">
      <c r="A7" s="46">
        <f>'A) Base RI'!A7</f>
        <v>5401</v>
      </c>
      <c r="B7" s="343" t="str">
        <f>'A) Base RI'!B7</f>
        <v>Aigle</v>
      </c>
      <c r="C7" s="489">
        <v>4943333.9870172413</v>
      </c>
      <c r="D7" s="489">
        <v>-3892855.6507904809</v>
      </c>
      <c r="E7" s="490">
        <v>0</v>
      </c>
      <c r="F7" s="490">
        <v>0</v>
      </c>
      <c r="G7" s="490">
        <v>0</v>
      </c>
      <c r="H7" s="487">
        <f>SUM(C7:G7)</f>
        <v>1050478.3362267604</v>
      </c>
      <c r="I7" s="490">
        <v>284723.80196969694</v>
      </c>
      <c r="J7" s="344">
        <f>'B) D RI'!U7</f>
        <v>280991.46517676767</v>
      </c>
      <c r="K7" s="67">
        <f>H7/I7</f>
        <v>3.6894644176554037</v>
      </c>
      <c r="L7" s="87">
        <f>'B) D RI'!S7</f>
        <v>66</v>
      </c>
      <c r="M7" s="434">
        <f>L7-K7</f>
        <v>62.310535582344599</v>
      </c>
      <c r="N7" s="87">
        <f>+'J) Plafonnement effort'!H6+'J) Plafonnement effort'!I6-'K) Plafonnement aide'!I6</f>
        <v>-19.086688851203093</v>
      </c>
      <c r="O7" s="142">
        <f>M7+N7</f>
        <v>43.223846731141506</v>
      </c>
      <c r="P7" s="47">
        <f>IF(O7&gt;$P$6,$P$6-O7,0)</f>
        <v>0</v>
      </c>
      <c r="Q7" s="100">
        <f>P7*J7</f>
        <v>0</v>
      </c>
      <c r="R7" s="142">
        <f>O7+P7</f>
        <v>43.223846731141506</v>
      </c>
      <c r="S7" s="122">
        <f>R7-L7</f>
        <v>-22.776153268858494</v>
      </c>
      <c r="T7" s="143">
        <f>+C7+D7+E7+F7+G7-H7</f>
        <v>0</v>
      </c>
      <c r="V7" s="12"/>
    </row>
    <row r="8" spans="1:22" x14ac:dyDescent="0.25">
      <c r="A8" s="49">
        <f>'A) Base RI'!A8</f>
        <v>5402</v>
      </c>
      <c r="B8" s="341" t="str">
        <f>'A) Base RI'!B8</f>
        <v>Bex</v>
      </c>
      <c r="C8" s="489">
        <v>3040280.9186381535</v>
      </c>
      <c r="D8" s="489">
        <v>-4058786.487212169</v>
      </c>
      <c r="E8" s="490">
        <v>0</v>
      </c>
      <c r="F8" s="490">
        <v>0</v>
      </c>
      <c r="G8" s="490">
        <v>0</v>
      </c>
      <c r="H8" s="487">
        <f t="shared" ref="H8:H70" si="0">SUM(C8:G8)</f>
        <v>-1018505.5685740155</v>
      </c>
      <c r="I8" s="490">
        <v>179259.20338028169</v>
      </c>
      <c r="J8" s="345">
        <f>'B) D RI'!U8</f>
        <v>192706.98084507044</v>
      </c>
      <c r="K8" s="62">
        <f t="shared" ref="K8:K70" si="1">H8/I8</f>
        <v>-5.6817477115155475</v>
      </c>
      <c r="L8" s="33">
        <f>'B) D RI'!S8</f>
        <v>71</v>
      </c>
      <c r="M8" s="433">
        <f t="shared" ref="M8:M60" si="2">L8-K8</f>
        <v>76.681747711515541</v>
      </c>
      <c r="N8" s="428">
        <f>+'J) Plafonnement effort'!H7+'J) Plafonnement effort'!I7-'K) Plafonnement aide'!I7</f>
        <v>-20.281820796044247</v>
      </c>
      <c r="O8" s="144">
        <f t="shared" ref="O8:O60" si="3">M8+N8</f>
        <v>56.399926915471298</v>
      </c>
      <c r="P8" s="47">
        <f t="shared" ref="P8:P60" si="4">IF(O8&gt;$P$6,$P$6-O8,0)</f>
        <v>0</v>
      </c>
      <c r="Q8" s="55">
        <f t="shared" ref="Q8:Q62" si="5">P8*J8</f>
        <v>0</v>
      </c>
      <c r="R8" s="144">
        <f t="shared" ref="R8:R60" si="6">O8+P8</f>
        <v>56.399926915471298</v>
      </c>
      <c r="S8" s="124">
        <f t="shared" ref="S8:S60" si="7">R8-L8</f>
        <v>-14.600073084528702</v>
      </c>
      <c r="T8" s="143">
        <f t="shared" ref="T8:T70" si="8">+C8+D8+E8+F8+G8-H8</f>
        <v>0</v>
      </c>
      <c r="V8" s="12"/>
    </row>
    <row r="9" spans="1:22" x14ac:dyDescent="0.25">
      <c r="A9" s="49">
        <f>'A) Base RI'!A9</f>
        <v>5403</v>
      </c>
      <c r="B9" s="341" t="str">
        <f>'A) Base RI'!B9</f>
        <v>Chessel</v>
      </c>
      <c r="C9" s="489">
        <v>204617.73413892073</v>
      </c>
      <c r="D9" s="489">
        <v>-80774.817688420153</v>
      </c>
      <c r="E9" s="490">
        <v>0</v>
      </c>
      <c r="F9" s="490">
        <v>0</v>
      </c>
      <c r="G9" s="490">
        <v>0</v>
      </c>
      <c r="H9" s="487">
        <f t="shared" si="0"/>
        <v>123842.91645050058</v>
      </c>
      <c r="I9" s="490">
        <v>10797.740270270273</v>
      </c>
      <c r="J9" s="345">
        <f>'B) D RI'!U9</f>
        <v>12090.332702702703</v>
      </c>
      <c r="K9" s="62">
        <f t="shared" si="1"/>
        <v>11.469336486216548</v>
      </c>
      <c r="L9" s="33">
        <f>'B) D RI'!S9</f>
        <v>74</v>
      </c>
      <c r="M9" s="433">
        <f t="shared" si="2"/>
        <v>62.530663513783452</v>
      </c>
      <c r="N9" s="428">
        <f>+'J) Plafonnement effort'!H8+'J) Plafonnement effort'!I8-'K) Plafonnement aide'!I8</f>
        <v>2.581974602101051</v>
      </c>
      <c r="O9" s="144">
        <f t="shared" si="3"/>
        <v>65.112638115884508</v>
      </c>
      <c r="P9" s="47">
        <f t="shared" si="4"/>
        <v>0</v>
      </c>
      <c r="Q9" s="55">
        <f t="shared" si="5"/>
        <v>0</v>
      </c>
      <c r="R9" s="144">
        <f t="shared" si="6"/>
        <v>65.112638115884508</v>
      </c>
      <c r="S9" s="124">
        <f t="shared" si="7"/>
        <v>-8.8873618841154922</v>
      </c>
      <c r="T9" s="143">
        <f t="shared" si="8"/>
        <v>0</v>
      </c>
      <c r="V9" s="12"/>
    </row>
    <row r="10" spans="1:22" x14ac:dyDescent="0.25">
      <c r="A10" s="49">
        <f>'A) Base RI'!A10</f>
        <v>5404</v>
      </c>
      <c r="B10" s="341" t="str">
        <f>'A) Base RI'!B10</f>
        <v>Corbeyrier</v>
      </c>
      <c r="C10" s="489">
        <v>212640.53123471828</v>
      </c>
      <c r="D10" s="489">
        <v>-62618.760894710722</v>
      </c>
      <c r="E10" s="490">
        <v>0</v>
      </c>
      <c r="F10" s="490">
        <v>0</v>
      </c>
      <c r="G10" s="490">
        <v>0</v>
      </c>
      <c r="H10" s="487">
        <f t="shared" si="0"/>
        <v>150021.77034000756</v>
      </c>
      <c r="I10" s="490">
        <v>11267.87027027027</v>
      </c>
      <c r="J10" s="345">
        <f>'B) D RI'!U10</f>
        <v>11581.118783783784</v>
      </c>
      <c r="K10" s="62">
        <f t="shared" si="1"/>
        <v>13.314119415789932</v>
      </c>
      <c r="L10" s="33">
        <f>'B) D RI'!S10</f>
        <v>74</v>
      </c>
      <c r="M10" s="433">
        <f t="shared" si="2"/>
        <v>60.685880584210068</v>
      </c>
      <c r="N10" s="428">
        <f>+'J) Plafonnement effort'!H9+'J) Plafonnement effort'!I9-'K) Plafonnement aide'!I9</f>
        <v>-6.8911184725816783</v>
      </c>
      <c r="O10" s="144">
        <f t="shared" si="3"/>
        <v>53.794762111628387</v>
      </c>
      <c r="P10" s="47">
        <f t="shared" si="4"/>
        <v>0</v>
      </c>
      <c r="Q10" s="55">
        <f t="shared" si="5"/>
        <v>0</v>
      </c>
      <c r="R10" s="144">
        <f t="shared" si="6"/>
        <v>53.794762111628387</v>
      </c>
      <c r="S10" s="124">
        <f t="shared" si="7"/>
        <v>-20.205237888371613</v>
      </c>
      <c r="T10" s="143">
        <f t="shared" si="8"/>
        <v>0</v>
      </c>
      <c r="V10" s="12"/>
    </row>
    <row r="11" spans="1:22" x14ac:dyDescent="0.25">
      <c r="A11" s="49">
        <f>'A) Base RI'!A11</f>
        <v>5405</v>
      </c>
      <c r="B11" s="341" t="str">
        <f>'A) Base RI'!B11</f>
        <v>Gryon</v>
      </c>
      <c r="C11" s="489">
        <v>1370568.8160692726</v>
      </c>
      <c r="D11" s="489">
        <v>1051486.3490439896</v>
      </c>
      <c r="E11" s="490">
        <v>0</v>
      </c>
      <c r="F11" s="490">
        <v>0</v>
      </c>
      <c r="G11" s="490">
        <v>0</v>
      </c>
      <c r="H11" s="487">
        <f t="shared" si="0"/>
        <v>2422055.1651132619</v>
      </c>
      <c r="I11" s="490">
        <v>68185.794013605453</v>
      </c>
      <c r="J11" s="345">
        <f>'B) D RI'!U11</f>
        <v>78111.135102040818</v>
      </c>
      <c r="K11" s="62">
        <f t="shared" si="1"/>
        <v>35.521404423771571</v>
      </c>
      <c r="L11" s="33">
        <f>'B) D RI'!S11</f>
        <v>73.5</v>
      </c>
      <c r="M11" s="433">
        <f t="shared" si="2"/>
        <v>37.978595576228429</v>
      </c>
      <c r="N11" s="428">
        <f>+'J) Plafonnement effort'!H10+'J) Plafonnement effort'!I10-'K) Plafonnement aide'!I10</f>
        <v>18.349635398439844</v>
      </c>
      <c r="O11" s="144">
        <f t="shared" si="3"/>
        <v>56.328230974668273</v>
      </c>
      <c r="P11" s="47">
        <f t="shared" si="4"/>
        <v>0</v>
      </c>
      <c r="Q11" s="55">
        <f t="shared" si="5"/>
        <v>0</v>
      </c>
      <c r="R11" s="144">
        <f t="shared" si="6"/>
        <v>56.328230974668273</v>
      </c>
      <c r="S11" s="124">
        <f t="shared" si="7"/>
        <v>-17.171769025331727</v>
      </c>
      <c r="T11" s="143">
        <f t="shared" si="8"/>
        <v>0</v>
      </c>
      <c r="V11" s="12"/>
    </row>
    <row r="12" spans="1:22" x14ac:dyDescent="0.25">
      <c r="A12" s="49">
        <f>'A) Base RI'!A12</f>
        <v>5406</v>
      </c>
      <c r="B12" s="341" t="str">
        <f>'A) Base RI'!B12</f>
        <v>Lavey-Morcles</v>
      </c>
      <c r="C12" s="489">
        <v>400336.71453558351</v>
      </c>
      <c r="D12" s="489">
        <v>-183109.95767579926</v>
      </c>
      <c r="E12" s="490">
        <v>0</v>
      </c>
      <c r="F12" s="490">
        <v>0</v>
      </c>
      <c r="G12" s="490">
        <v>0</v>
      </c>
      <c r="H12" s="487">
        <f t="shared" si="0"/>
        <v>217226.75685978425</v>
      </c>
      <c r="I12" s="490">
        <v>21842.545067240455</v>
      </c>
      <c r="J12" s="345">
        <f>'B) D RI'!U12</f>
        <v>21513.822183969878</v>
      </c>
      <c r="K12" s="62">
        <f t="shared" si="1"/>
        <v>9.9451211473328662</v>
      </c>
      <c r="L12" s="33">
        <f>'B) D RI'!S12</f>
        <v>71.5</v>
      </c>
      <c r="M12" s="433">
        <f t="shared" si="2"/>
        <v>61.55487885266713</v>
      </c>
      <c r="N12" s="428">
        <f>+'J) Plafonnement effort'!H11+'J) Plafonnement effort'!I11-'K) Plafonnement aide'!I11</f>
        <v>-6.232081413805691</v>
      </c>
      <c r="O12" s="144">
        <f t="shared" si="3"/>
        <v>55.322797438861443</v>
      </c>
      <c r="P12" s="47">
        <f t="shared" si="4"/>
        <v>0</v>
      </c>
      <c r="Q12" s="55">
        <f t="shared" si="5"/>
        <v>0</v>
      </c>
      <c r="R12" s="144">
        <f t="shared" si="6"/>
        <v>55.322797438861443</v>
      </c>
      <c r="S12" s="124">
        <f t="shared" si="7"/>
        <v>-16.177202561138557</v>
      </c>
      <c r="T12" s="143">
        <f t="shared" si="8"/>
        <v>0</v>
      </c>
      <c r="V12" s="12"/>
    </row>
    <row r="13" spans="1:22" x14ac:dyDescent="0.25">
      <c r="A13" s="49">
        <f>'A) Base RI'!A13</f>
        <v>5407</v>
      </c>
      <c r="B13" s="341" t="str">
        <f>'A) Base RI'!B13</f>
        <v>Leysin</v>
      </c>
      <c r="C13" s="489">
        <v>1621216.1786620524</v>
      </c>
      <c r="D13" s="489">
        <v>-1466555.1515884602</v>
      </c>
      <c r="E13" s="490">
        <v>0</v>
      </c>
      <c r="F13" s="490">
        <v>0</v>
      </c>
      <c r="G13" s="490">
        <v>0</v>
      </c>
      <c r="H13" s="487">
        <f t="shared" si="0"/>
        <v>154661.02707359218</v>
      </c>
      <c r="I13" s="490">
        <v>90822.200982905983</v>
      </c>
      <c r="J13" s="345">
        <f>'B) D RI'!U13</f>
        <v>90687.443803418792</v>
      </c>
      <c r="K13" s="62">
        <f t="shared" si="1"/>
        <v>1.7028989101761756</v>
      </c>
      <c r="L13" s="33">
        <f>'B) D RI'!S13</f>
        <v>78</v>
      </c>
      <c r="M13" s="433">
        <f t="shared" si="2"/>
        <v>76.297101089823826</v>
      </c>
      <c r="N13" s="428">
        <f>+'J) Plafonnement effort'!H12+'J) Plafonnement effort'!I12-'K) Plafonnement aide'!I12</f>
        <v>-27.160469585205647</v>
      </c>
      <c r="O13" s="144">
        <f t="shared" si="3"/>
        <v>49.13663150461818</v>
      </c>
      <c r="P13" s="47">
        <f t="shared" si="4"/>
        <v>0</v>
      </c>
      <c r="Q13" s="55">
        <f t="shared" si="5"/>
        <v>0</v>
      </c>
      <c r="R13" s="144">
        <f t="shared" si="6"/>
        <v>49.13663150461818</v>
      </c>
      <c r="S13" s="124">
        <f t="shared" si="7"/>
        <v>-28.86336849538182</v>
      </c>
      <c r="T13" s="143">
        <f t="shared" si="8"/>
        <v>0</v>
      </c>
      <c r="V13" s="12"/>
    </row>
    <row r="14" spans="1:22" x14ac:dyDescent="0.25">
      <c r="A14" s="49">
        <f>'A) Base RI'!A14</f>
        <v>5408</v>
      </c>
      <c r="B14" s="341" t="str">
        <f>'A) Base RI'!B14</f>
        <v>Noville</v>
      </c>
      <c r="C14" s="489">
        <v>746271.3943303033</v>
      </c>
      <c r="D14" s="489">
        <v>347649.66872412007</v>
      </c>
      <c r="E14" s="490">
        <v>0</v>
      </c>
      <c r="F14" s="490">
        <v>0</v>
      </c>
      <c r="G14" s="490">
        <v>0</v>
      </c>
      <c r="H14" s="487">
        <f t="shared" si="0"/>
        <v>1093921.0630544233</v>
      </c>
      <c r="I14" s="490">
        <v>43840.045520169842</v>
      </c>
      <c r="J14" s="345">
        <f>'B) D RI'!U14</f>
        <v>41389.442632696395</v>
      </c>
      <c r="K14" s="62">
        <f t="shared" si="1"/>
        <v>24.952553084169001</v>
      </c>
      <c r="L14" s="33">
        <f>'B) D RI'!S14</f>
        <v>78.5</v>
      </c>
      <c r="M14" s="433">
        <f t="shared" si="2"/>
        <v>53.547446915831003</v>
      </c>
      <c r="N14" s="428">
        <f>+'J) Plafonnement effort'!H13+'J) Plafonnement effort'!I13-'K) Plafonnement aide'!I13</f>
        <v>10.25745452633743</v>
      </c>
      <c r="O14" s="144">
        <f t="shared" si="3"/>
        <v>63.804901442168429</v>
      </c>
      <c r="P14" s="47">
        <f t="shared" si="4"/>
        <v>0</v>
      </c>
      <c r="Q14" s="55">
        <f t="shared" si="5"/>
        <v>0</v>
      </c>
      <c r="R14" s="144">
        <f t="shared" si="6"/>
        <v>63.804901442168429</v>
      </c>
      <c r="S14" s="124">
        <f t="shared" si="7"/>
        <v>-14.695098557831571</v>
      </c>
      <c r="T14" s="143">
        <f t="shared" si="8"/>
        <v>0</v>
      </c>
      <c r="V14" s="12"/>
    </row>
    <row r="15" spans="1:22" x14ac:dyDescent="0.25">
      <c r="A15" s="49">
        <f>'A) Base RI'!A15</f>
        <v>5409</v>
      </c>
      <c r="B15" s="341" t="str">
        <f>'A) Base RI'!B15</f>
        <v>Ollon</v>
      </c>
      <c r="C15" s="489">
        <v>7298371.7334683128</v>
      </c>
      <c r="D15" s="489">
        <v>4080400.2260906426</v>
      </c>
      <c r="E15" s="490">
        <v>0</v>
      </c>
      <c r="F15" s="490">
        <v>0</v>
      </c>
      <c r="G15" s="490">
        <v>0</v>
      </c>
      <c r="H15" s="487">
        <f t="shared" si="0"/>
        <v>11378771.959558956</v>
      </c>
      <c r="I15" s="490">
        <v>389186.78990950214</v>
      </c>
      <c r="J15" s="345">
        <f>'B) D RI'!U15</f>
        <v>428262.96074660635</v>
      </c>
      <c r="K15" s="62">
        <f t="shared" si="1"/>
        <v>29.23730263867607</v>
      </c>
      <c r="L15" s="33">
        <f>'B) D RI'!S15</f>
        <v>68</v>
      </c>
      <c r="M15" s="433">
        <f t="shared" si="2"/>
        <v>38.76269736132393</v>
      </c>
      <c r="N15" s="428">
        <f>+'J) Plafonnement effort'!H14+'J) Plafonnement effort'!I14-'K) Plafonnement aide'!I14</f>
        <v>15.694446913721645</v>
      </c>
      <c r="O15" s="144">
        <f t="shared" si="3"/>
        <v>54.457144275045579</v>
      </c>
      <c r="P15" s="47">
        <f t="shared" si="4"/>
        <v>0</v>
      </c>
      <c r="Q15" s="55">
        <f t="shared" si="5"/>
        <v>0</v>
      </c>
      <c r="R15" s="144">
        <f t="shared" si="6"/>
        <v>54.457144275045579</v>
      </c>
      <c r="S15" s="124">
        <f t="shared" si="7"/>
        <v>-13.542855724954421</v>
      </c>
      <c r="T15" s="143">
        <f t="shared" si="8"/>
        <v>0</v>
      </c>
      <c r="V15" s="12"/>
    </row>
    <row r="16" spans="1:22" x14ac:dyDescent="0.25">
      <c r="A16" s="49">
        <f>'A) Base RI'!A16</f>
        <v>5410</v>
      </c>
      <c r="B16" s="341" t="str">
        <f>'A) Base RI'!B16</f>
        <v>Ormont-Dessous</v>
      </c>
      <c r="C16" s="489">
        <v>753560.19707566872</v>
      </c>
      <c r="D16" s="489">
        <v>158991.19743413641</v>
      </c>
      <c r="E16" s="490">
        <v>0</v>
      </c>
      <c r="F16" s="490">
        <v>0</v>
      </c>
      <c r="G16" s="490">
        <v>0</v>
      </c>
      <c r="H16" s="487">
        <f t="shared" si="0"/>
        <v>912551.39450980513</v>
      </c>
      <c r="I16" s="490">
        <v>39522.545108225109</v>
      </c>
      <c r="J16" s="345">
        <f>'B) D RI'!U16</f>
        <v>38614.348051948051</v>
      </c>
      <c r="K16" s="62">
        <f t="shared" si="1"/>
        <v>23.089388398721631</v>
      </c>
      <c r="L16" s="33">
        <f>'B) D RI'!S16</f>
        <v>77</v>
      </c>
      <c r="M16" s="433">
        <f t="shared" si="2"/>
        <v>53.910611601278369</v>
      </c>
      <c r="N16" s="428">
        <f>+'J) Plafonnement effort'!H15+'J) Plafonnement effort'!I15-'K) Plafonnement aide'!I15</f>
        <v>-18.358507233273372</v>
      </c>
      <c r="O16" s="144">
        <f t="shared" si="3"/>
        <v>35.552104368004997</v>
      </c>
      <c r="P16" s="47">
        <f t="shared" si="4"/>
        <v>0</v>
      </c>
      <c r="Q16" s="55">
        <f t="shared" si="5"/>
        <v>0</v>
      </c>
      <c r="R16" s="144">
        <f t="shared" si="6"/>
        <v>35.552104368004997</v>
      </c>
      <c r="S16" s="124">
        <f t="shared" si="7"/>
        <v>-41.447895631995003</v>
      </c>
      <c r="T16" s="143">
        <f t="shared" si="8"/>
        <v>0</v>
      </c>
      <c r="V16" s="12"/>
    </row>
    <row r="17" spans="1:22" x14ac:dyDescent="0.25">
      <c r="A17" s="49">
        <f>'A) Base RI'!A17</f>
        <v>5411</v>
      </c>
      <c r="B17" s="341" t="str">
        <f>'A) Base RI'!B17</f>
        <v>Ormont-Dessus</v>
      </c>
      <c r="C17" s="489">
        <v>1382661.0879914465</v>
      </c>
      <c r="D17" s="489">
        <v>958836.16049225815</v>
      </c>
      <c r="E17" s="490">
        <v>0</v>
      </c>
      <c r="F17" s="490">
        <v>0</v>
      </c>
      <c r="G17" s="490">
        <v>0</v>
      </c>
      <c r="H17" s="487">
        <f t="shared" si="0"/>
        <v>2341497.2484837044</v>
      </c>
      <c r="I17" s="490">
        <v>68049.385526315804</v>
      </c>
      <c r="J17" s="345">
        <f>'B) D RI'!U17</f>
        <v>77411.411228070181</v>
      </c>
      <c r="K17" s="62">
        <f t="shared" si="1"/>
        <v>34.408793413398413</v>
      </c>
      <c r="L17" s="33">
        <f>'B) D RI'!S17</f>
        <v>76</v>
      </c>
      <c r="M17" s="433">
        <f t="shared" si="2"/>
        <v>41.591206586601587</v>
      </c>
      <c r="N17" s="428">
        <f>+'J) Plafonnement effort'!H16+'J) Plafonnement effort'!I16-'K) Plafonnement aide'!I16</f>
        <v>16.256361175366109</v>
      </c>
      <c r="O17" s="144">
        <f t="shared" si="3"/>
        <v>57.847567761967696</v>
      </c>
      <c r="P17" s="47">
        <f t="shared" si="4"/>
        <v>0</v>
      </c>
      <c r="Q17" s="55">
        <f t="shared" si="5"/>
        <v>0</v>
      </c>
      <c r="R17" s="144">
        <f t="shared" si="6"/>
        <v>57.847567761967696</v>
      </c>
      <c r="S17" s="124">
        <f t="shared" si="7"/>
        <v>-18.152432238032304</v>
      </c>
      <c r="T17" s="143">
        <f t="shared" si="8"/>
        <v>0</v>
      </c>
      <c r="V17" s="12"/>
    </row>
    <row r="18" spans="1:22" x14ac:dyDescent="0.25">
      <c r="A18" s="49">
        <f>'A) Base RI'!A18</f>
        <v>5412</v>
      </c>
      <c r="B18" s="341" t="str">
        <f>'A) Base RI'!B18</f>
        <v>Rennaz</v>
      </c>
      <c r="C18" s="489">
        <v>630929.94476936117</v>
      </c>
      <c r="D18" s="489">
        <v>665.71095895790495</v>
      </c>
      <c r="E18" s="490">
        <v>0</v>
      </c>
      <c r="F18" s="490">
        <v>0</v>
      </c>
      <c r="G18" s="490">
        <v>0</v>
      </c>
      <c r="H18" s="487">
        <f t="shared" si="0"/>
        <v>631595.65572831908</v>
      </c>
      <c r="I18" s="490">
        <v>24274.281449275361</v>
      </c>
      <c r="J18" s="345">
        <f>'B) D RI'!U18</f>
        <v>28875.999420289856</v>
      </c>
      <c r="K18" s="62">
        <f t="shared" si="1"/>
        <v>26.019128807092809</v>
      </c>
      <c r="L18" s="33">
        <f>'B) D RI'!S18</f>
        <v>69</v>
      </c>
      <c r="M18" s="433">
        <f t="shared" si="2"/>
        <v>42.980871192907188</v>
      </c>
      <c r="N18" s="428">
        <f>+'J) Plafonnement effort'!H17+'J) Plafonnement effort'!I17-'K) Plafonnement aide'!I17</f>
        <v>14.733401084149266</v>
      </c>
      <c r="O18" s="144">
        <f t="shared" si="3"/>
        <v>57.714272277056452</v>
      </c>
      <c r="P18" s="47">
        <f t="shared" si="4"/>
        <v>0</v>
      </c>
      <c r="Q18" s="55">
        <f t="shared" si="5"/>
        <v>0</v>
      </c>
      <c r="R18" s="144">
        <f t="shared" si="6"/>
        <v>57.714272277056452</v>
      </c>
      <c r="S18" s="124">
        <f t="shared" si="7"/>
        <v>-11.285727722943548</v>
      </c>
      <c r="T18" s="143">
        <f t="shared" si="8"/>
        <v>0</v>
      </c>
      <c r="V18" s="12"/>
    </row>
    <row r="19" spans="1:22" x14ac:dyDescent="0.25">
      <c r="A19" s="49">
        <f>'A) Base RI'!A19</f>
        <v>5413</v>
      </c>
      <c r="B19" s="341" t="str">
        <f>'A) Base RI'!B19</f>
        <v>Roche</v>
      </c>
      <c r="C19" s="489">
        <v>871395.67222638091</v>
      </c>
      <c r="D19" s="489">
        <v>-283999.95806668384</v>
      </c>
      <c r="E19" s="490">
        <v>0</v>
      </c>
      <c r="F19" s="490">
        <v>0</v>
      </c>
      <c r="G19" s="490">
        <v>0</v>
      </c>
      <c r="H19" s="487">
        <f t="shared" si="0"/>
        <v>587395.71415969706</v>
      </c>
      <c r="I19" s="490">
        <v>48007.468357843129</v>
      </c>
      <c r="J19" s="345">
        <f>'B) D RI'!U19</f>
        <v>43148.541249999987</v>
      </c>
      <c r="K19" s="62">
        <f t="shared" si="1"/>
        <v>12.235506979482961</v>
      </c>
      <c r="L19" s="33">
        <f>'B) D RI'!S19</f>
        <v>68</v>
      </c>
      <c r="M19" s="433">
        <f t="shared" si="2"/>
        <v>55.764493020517037</v>
      </c>
      <c r="N19" s="428">
        <f>+'J) Plafonnement effort'!H18+'J) Plafonnement effort'!I18-'K) Plafonnement aide'!I18</f>
        <v>-1.3324227716428592</v>
      </c>
      <c r="O19" s="144">
        <f t="shared" si="3"/>
        <v>54.432070248874176</v>
      </c>
      <c r="P19" s="47">
        <f t="shared" si="4"/>
        <v>0</v>
      </c>
      <c r="Q19" s="55">
        <f t="shared" si="5"/>
        <v>0</v>
      </c>
      <c r="R19" s="144">
        <f t="shared" si="6"/>
        <v>54.432070248874176</v>
      </c>
      <c r="S19" s="124">
        <f t="shared" si="7"/>
        <v>-13.567929751125824</v>
      </c>
      <c r="T19" s="143">
        <f t="shared" si="8"/>
        <v>0</v>
      </c>
      <c r="V19" s="12"/>
    </row>
    <row r="20" spans="1:22" x14ac:dyDescent="0.25">
      <c r="A20" s="49">
        <f>'A) Base RI'!A20</f>
        <v>5414</v>
      </c>
      <c r="B20" s="341" t="str">
        <f>'A) Base RI'!B20</f>
        <v>Villeneuve</v>
      </c>
      <c r="C20" s="489">
        <v>3034530.5167182516</v>
      </c>
      <c r="D20" s="489">
        <v>-1476991.6255055014</v>
      </c>
      <c r="E20" s="490">
        <v>0</v>
      </c>
      <c r="F20" s="490">
        <v>0</v>
      </c>
      <c r="G20" s="490">
        <v>0</v>
      </c>
      <c r="H20" s="487">
        <f t="shared" si="0"/>
        <v>1557538.8912127502</v>
      </c>
      <c r="I20" s="490">
        <v>159468.65911111108</v>
      </c>
      <c r="J20" s="345">
        <f>'B) D RI'!U20</f>
        <v>185712.20711111111</v>
      </c>
      <c r="K20" s="62">
        <f t="shared" si="1"/>
        <v>9.7670532874269824</v>
      </c>
      <c r="L20" s="33">
        <f>'B) D RI'!S20</f>
        <v>67.5</v>
      </c>
      <c r="M20" s="433">
        <f t="shared" si="2"/>
        <v>57.732946712573018</v>
      </c>
      <c r="N20" s="428">
        <f>+'J) Plafonnement effort'!H19+'J) Plafonnement effort'!I19-'K) Plafonnement aide'!I19</f>
        <v>-4.4081492632022163</v>
      </c>
      <c r="O20" s="144">
        <f t="shared" si="3"/>
        <v>53.324797449370799</v>
      </c>
      <c r="P20" s="47">
        <f t="shared" si="4"/>
        <v>0</v>
      </c>
      <c r="Q20" s="55">
        <f t="shared" si="5"/>
        <v>0</v>
      </c>
      <c r="R20" s="144">
        <f t="shared" si="6"/>
        <v>53.324797449370799</v>
      </c>
      <c r="S20" s="124">
        <f t="shared" si="7"/>
        <v>-14.175202550629201</v>
      </c>
      <c r="T20" s="143">
        <f t="shared" si="8"/>
        <v>0</v>
      </c>
      <c r="V20" s="12"/>
    </row>
    <row r="21" spans="1:22" x14ac:dyDescent="0.25">
      <c r="A21" s="49">
        <f>'A) Base RI'!A21</f>
        <v>5415</v>
      </c>
      <c r="B21" s="341" t="str">
        <f>'A) Base RI'!B21</f>
        <v>Yvorne</v>
      </c>
      <c r="C21" s="489">
        <v>698787.83639668697</v>
      </c>
      <c r="D21" s="489">
        <v>308349.21045519912</v>
      </c>
      <c r="E21" s="490">
        <v>0</v>
      </c>
      <c r="F21" s="490">
        <v>0</v>
      </c>
      <c r="G21" s="490">
        <v>0</v>
      </c>
      <c r="H21" s="487">
        <f t="shared" si="0"/>
        <v>1007137.0468518861</v>
      </c>
      <c r="I21" s="490">
        <v>38155.020093240091</v>
      </c>
      <c r="J21" s="345">
        <f>'B) D RI'!U21</f>
        <v>35910.274638694631</v>
      </c>
      <c r="K21" s="62">
        <f t="shared" si="1"/>
        <v>26.395924950130485</v>
      </c>
      <c r="L21" s="33">
        <f>'B) D RI'!S21</f>
        <v>71.5</v>
      </c>
      <c r="M21" s="433">
        <f t="shared" si="2"/>
        <v>45.104075049869515</v>
      </c>
      <c r="N21" s="428">
        <f>+'J) Plafonnement effort'!H20+'J) Plafonnement effort'!I20-'K) Plafonnement aide'!I20</f>
        <v>12.624061387292308</v>
      </c>
      <c r="O21" s="144">
        <f t="shared" si="3"/>
        <v>57.728136437161822</v>
      </c>
      <c r="P21" s="47">
        <f t="shared" si="4"/>
        <v>0</v>
      </c>
      <c r="Q21" s="55">
        <f t="shared" si="5"/>
        <v>0</v>
      </c>
      <c r="R21" s="144">
        <f t="shared" si="6"/>
        <v>57.728136437161822</v>
      </c>
      <c r="S21" s="124">
        <f t="shared" si="7"/>
        <v>-13.771863562838178</v>
      </c>
      <c r="T21" s="143">
        <f t="shared" si="8"/>
        <v>0</v>
      </c>
      <c r="V21" s="12"/>
    </row>
    <row r="22" spans="1:22" x14ac:dyDescent="0.25">
      <c r="A22" s="49">
        <f>'A) Base RI'!A22</f>
        <v>5421</v>
      </c>
      <c r="B22" s="341" t="str">
        <f>'A) Base RI'!B22</f>
        <v>Apples</v>
      </c>
      <c r="C22" s="489">
        <v>998180.19375907292</v>
      </c>
      <c r="D22" s="489">
        <v>903175.11435195012</v>
      </c>
      <c r="E22" s="490">
        <v>0</v>
      </c>
      <c r="F22" s="490">
        <v>0</v>
      </c>
      <c r="G22" s="490">
        <v>0</v>
      </c>
      <c r="H22" s="487">
        <f t="shared" si="0"/>
        <v>1901355.3081110232</v>
      </c>
      <c r="I22" s="490">
        <v>66313.601621621623</v>
      </c>
      <c r="J22" s="345">
        <f>'B) D RI'!U22</f>
        <v>68531.648243243253</v>
      </c>
      <c r="K22" s="62">
        <f t="shared" si="1"/>
        <v>28.672176772420759</v>
      </c>
      <c r="L22" s="33">
        <f>'B) D RI'!S22</f>
        <v>74</v>
      </c>
      <c r="M22" s="433">
        <f t="shared" si="2"/>
        <v>45.327823227579245</v>
      </c>
      <c r="N22" s="428">
        <f>+'J) Plafonnement effort'!H21+'J) Plafonnement effort'!I21-'K) Plafonnement aide'!I21</f>
        <v>21.467150378343554</v>
      </c>
      <c r="O22" s="144">
        <f t="shared" si="3"/>
        <v>66.794973605922792</v>
      </c>
      <c r="P22" s="47">
        <f t="shared" si="4"/>
        <v>0</v>
      </c>
      <c r="Q22" s="55">
        <f t="shared" si="5"/>
        <v>0</v>
      </c>
      <c r="R22" s="144">
        <f t="shared" si="6"/>
        <v>66.794973605922792</v>
      </c>
      <c r="S22" s="124">
        <f t="shared" si="7"/>
        <v>-7.2050263940772084</v>
      </c>
      <c r="T22" s="143">
        <f t="shared" si="8"/>
        <v>0</v>
      </c>
      <c r="V22" s="12"/>
    </row>
    <row r="23" spans="1:22" x14ac:dyDescent="0.25">
      <c r="A23" s="49">
        <f>'A) Base RI'!A23</f>
        <v>5422</v>
      </c>
      <c r="B23" s="341" t="str">
        <f>'A) Base RI'!B23</f>
        <v>Aubonne</v>
      </c>
      <c r="C23" s="489">
        <v>5996176.6289724242</v>
      </c>
      <c r="D23" s="489">
        <v>3759492.0226858528</v>
      </c>
      <c r="E23" s="490">
        <v>0</v>
      </c>
      <c r="F23" s="490">
        <v>0</v>
      </c>
      <c r="G23" s="490">
        <v>0</v>
      </c>
      <c r="H23" s="487">
        <f t="shared" si="0"/>
        <v>9755668.651658278</v>
      </c>
      <c r="I23" s="490">
        <v>258817.70941605841</v>
      </c>
      <c r="J23" s="345">
        <f>'B) D RI'!U23</f>
        <v>364706.48499999999</v>
      </c>
      <c r="K23" s="62">
        <f t="shared" si="1"/>
        <v>37.693203736594789</v>
      </c>
      <c r="L23" s="33">
        <f>'B) D RI'!S23</f>
        <v>70</v>
      </c>
      <c r="M23" s="433">
        <f t="shared" si="2"/>
        <v>32.306796263405211</v>
      </c>
      <c r="N23" s="428">
        <f>+'J) Plafonnement effort'!H22+'J) Plafonnement effort'!I22-'K) Plafonnement aide'!I22</f>
        <v>39.020299212291064</v>
      </c>
      <c r="O23" s="144">
        <f t="shared" si="3"/>
        <v>71.327095475696268</v>
      </c>
      <c r="P23" s="47">
        <f t="shared" si="4"/>
        <v>0</v>
      </c>
      <c r="Q23" s="55">
        <f t="shared" si="5"/>
        <v>0</v>
      </c>
      <c r="R23" s="144">
        <f t="shared" si="6"/>
        <v>71.327095475696268</v>
      </c>
      <c r="S23" s="124">
        <f t="shared" si="7"/>
        <v>1.3270954756962681</v>
      </c>
      <c r="T23" s="143">
        <f t="shared" si="8"/>
        <v>0</v>
      </c>
      <c r="V23" s="12"/>
    </row>
    <row r="24" spans="1:22" x14ac:dyDescent="0.25">
      <c r="A24" s="49">
        <f>'A) Base RI'!A24</f>
        <v>5423</v>
      </c>
      <c r="B24" s="341" t="str">
        <f>'A) Base RI'!B24</f>
        <v>Ballens</v>
      </c>
      <c r="C24" s="489">
        <v>270031.11508308817</v>
      </c>
      <c r="D24" s="489">
        <v>45432.726429744973</v>
      </c>
      <c r="E24" s="490">
        <v>0</v>
      </c>
      <c r="F24" s="490">
        <v>0</v>
      </c>
      <c r="G24" s="490">
        <v>0</v>
      </c>
      <c r="H24" s="487">
        <f t="shared" si="0"/>
        <v>315463.84151283314</v>
      </c>
      <c r="I24" s="490">
        <v>17114.745479452053</v>
      </c>
      <c r="J24" s="345">
        <f>'B) D RI'!U24</f>
        <v>16194.440273972601</v>
      </c>
      <c r="K24" s="62">
        <f t="shared" si="1"/>
        <v>18.432283547048872</v>
      </c>
      <c r="L24" s="33">
        <f>'B) D RI'!S24</f>
        <v>73</v>
      </c>
      <c r="M24" s="433">
        <f t="shared" si="2"/>
        <v>54.567716452951132</v>
      </c>
      <c r="N24" s="428">
        <f>+'J) Plafonnement effort'!H23+'J) Plafonnement effort'!I23-'K) Plafonnement aide'!I23</f>
        <v>6.5832994842813974</v>
      </c>
      <c r="O24" s="144">
        <f t="shared" si="3"/>
        <v>61.151015937232529</v>
      </c>
      <c r="P24" s="47">
        <f t="shared" si="4"/>
        <v>0</v>
      </c>
      <c r="Q24" s="55">
        <f t="shared" si="5"/>
        <v>0</v>
      </c>
      <c r="R24" s="144">
        <f t="shared" si="6"/>
        <v>61.151015937232529</v>
      </c>
      <c r="S24" s="124">
        <f t="shared" si="7"/>
        <v>-11.848984062767471</v>
      </c>
      <c r="T24" s="143">
        <f t="shared" si="8"/>
        <v>0</v>
      </c>
      <c r="V24" s="12"/>
    </row>
    <row r="25" spans="1:22" x14ac:dyDescent="0.25">
      <c r="A25" s="49">
        <f>'A) Base RI'!A25</f>
        <v>5424</v>
      </c>
      <c r="B25" s="341" t="str">
        <f>'A) Base RI'!B25</f>
        <v>Berolle</v>
      </c>
      <c r="C25" s="489">
        <v>145105.80618564234</v>
      </c>
      <c r="D25" s="489">
        <v>-479.92328635745798</v>
      </c>
      <c r="E25" s="490">
        <v>0</v>
      </c>
      <c r="F25" s="490">
        <v>0</v>
      </c>
      <c r="G25" s="490">
        <v>0</v>
      </c>
      <c r="H25" s="487">
        <f t="shared" si="0"/>
        <v>144625.88289928489</v>
      </c>
      <c r="I25" s="490">
        <v>9114.9769536423846</v>
      </c>
      <c r="J25" s="345">
        <f>'B) D RI'!U25</f>
        <v>8301.8684768211915</v>
      </c>
      <c r="K25" s="62">
        <f t="shared" si="1"/>
        <v>15.866840216364096</v>
      </c>
      <c r="L25" s="33">
        <f>'B) D RI'!S25</f>
        <v>75.5</v>
      </c>
      <c r="M25" s="433">
        <f t="shared" si="2"/>
        <v>59.633159783635904</v>
      </c>
      <c r="N25" s="428">
        <f>+'J) Plafonnement effort'!H24+'J) Plafonnement effort'!I24-'K) Plafonnement aide'!I24</f>
        <v>-0.88338595958271227</v>
      </c>
      <c r="O25" s="144">
        <f t="shared" si="3"/>
        <v>58.749773824053193</v>
      </c>
      <c r="P25" s="47">
        <f t="shared" si="4"/>
        <v>0</v>
      </c>
      <c r="Q25" s="55">
        <f t="shared" si="5"/>
        <v>0</v>
      </c>
      <c r="R25" s="144">
        <f t="shared" si="6"/>
        <v>58.749773824053193</v>
      </c>
      <c r="S25" s="124">
        <f t="shared" si="7"/>
        <v>-16.750226175946807</v>
      </c>
      <c r="T25" s="143">
        <f t="shared" si="8"/>
        <v>0</v>
      </c>
      <c r="V25" s="12"/>
    </row>
    <row r="26" spans="1:22" x14ac:dyDescent="0.25">
      <c r="A26" s="49">
        <f>'A) Base RI'!A26</f>
        <v>5425</v>
      </c>
      <c r="B26" s="341" t="str">
        <f>'A) Base RI'!B26</f>
        <v>Bière</v>
      </c>
      <c r="C26" s="489">
        <v>686867.31148288108</v>
      </c>
      <c r="D26" s="489">
        <v>-299953.06502520188</v>
      </c>
      <c r="E26" s="490">
        <v>0</v>
      </c>
      <c r="F26" s="490">
        <v>0</v>
      </c>
      <c r="G26" s="490">
        <v>0</v>
      </c>
      <c r="H26" s="487">
        <f t="shared" si="0"/>
        <v>386914.2464576792</v>
      </c>
      <c r="I26" s="490">
        <v>40211.969135432286</v>
      </c>
      <c r="J26" s="345">
        <f>'B) D RI'!U26</f>
        <v>44230.498130934531</v>
      </c>
      <c r="K26" s="62">
        <f t="shared" si="1"/>
        <v>9.6218676870701767</v>
      </c>
      <c r="L26" s="33">
        <f>'B) D RI'!S26</f>
        <v>69</v>
      </c>
      <c r="M26" s="433">
        <f t="shared" si="2"/>
        <v>59.378132312929822</v>
      </c>
      <c r="N26" s="428">
        <f>+'J) Plafonnement effort'!H25+'J) Plafonnement effort'!I25-'K) Plafonnement aide'!I25</f>
        <v>-8.8219205148124207</v>
      </c>
      <c r="O26" s="144">
        <f t="shared" si="3"/>
        <v>50.556211798117403</v>
      </c>
      <c r="P26" s="47">
        <f t="shared" si="4"/>
        <v>0</v>
      </c>
      <c r="Q26" s="55">
        <f t="shared" si="5"/>
        <v>0</v>
      </c>
      <c r="R26" s="144">
        <f t="shared" si="6"/>
        <v>50.556211798117403</v>
      </c>
      <c r="S26" s="124">
        <f t="shared" si="7"/>
        <v>-18.443788201882597</v>
      </c>
      <c r="T26" s="143">
        <f t="shared" si="8"/>
        <v>0</v>
      </c>
      <c r="V26" s="12"/>
    </row>
    <row r="27" spans="1:22" x14ac:dyDescent="0.25">
      <c r="A27" s="49">
        <f>'A) Base RI'!A27</f>
        <v>5426</v>
      </c>
      <c r="B27" s="341" t="str">
        <f>'A) Base RI'!B27</f>
        <v>Bougy-Villars</v>
      </c>
      <c r="C27" s="489">
        <v>1695770.1312950472</v>
      </c>
      <c r="D27" s="489">
        <v>1006428.879596116</v>
      </c>
      <c r="E27" s="490">
        <v>0</v>
      </c>
      <c r="F27" s="490">
        <v>0</v>
      </c>
      <c r="G27" s="490">
        <v>0</v>
      </c>
      <c r="H27" s="487">
        <f t="shared" si="0"/>
        <v>2702199.0108911633</v>
      </c>
      <c r="I27" s="490">
        <v>55602.775012919898</v>
      </c>
      <c r="J27" s="345">
        <f>'B) D RI'!U27</f>
        <v>53043.718423772611</v>
      </c>
      <c r="K27" s="62">
        <f t="shared" si="1"/>
        <v>48.598276079984828</v>
      </c>
      <c r="L27" s="33">
        <f>'B) D RI'!S27</f>
        <v>64.5</v>
      </c>
      <c r="M27" s="433">
        <f t="shared" si="2"/>
        <v>15.901723920015172</v>
      </c>
      <c r="N27" s="428">
        <f>+'J) Plafonnement effort'!H26+'J) Plafonnement effort'!I26-'K) Plafonnement aide'!I26</f>
        <v>42.33913847064305</v>
      </c>
      <c r="O27" s="144">
        <f t="shared" si="3"/>
        <v>58.240862390658222</v>
      </c>
      <c r="P27" s="47">
        <f t="shared" si="4"/>
        <v>0</v>
      </c>
      <c r="Q27" s="55">
        <f t="shared" si="5"/>
        <v>0</v>
      </c>
      <c r="R27" s="144">
        <f t="shared" si="6"/>
        <v>58.240862390658222</v>
      </c>
      <c r="S27" s="124">
        <f t="shared" si="7"/>
        <v>-6.2591376093417779</v>
      </c>
      <c r="T27" s="143">
        <f t="shared" si="8"/>
        <v>0</v>
      </c>
      <c r="V27" s="12"/>
    </row>
    <row r="28" spans="1:22" x14ac:dyDescent="0.25">
      <c r="A28" s="49">
        <f>'A) Base RI'!A28</f>
        <v>5427</v>
      </c>
      <c r="B28" s="341" t="str">
        <f>'A) Base RI'!B28</f>
        <v>Féchy</v>
      </c>
      <c r="C28" s="489">
        <v>1855545.8224665741</v>
      </c>
      <c r="D28" s="489">
        <v>1368264.4197907394</v>
      </c>
      <c r="E28" s="490">
        <v>0</v>
      </c>
      <c r="F28" s="490">
        <v>0</v>
      </c>
      <c r="G28" s="490">
        <v>0</v>
      </c>
      <c r="H28" s="487">
        <f t="shared" si="0"/>
        <v>3223810.2422573138</v>
      </c>
      <c r="I28" s="490">
        <v>77020.028293269235</v>
      </c>
      <c r="J28" s="345">
        <f>'B) D RI'!U28</f>
        <v>88215.323569711545</v>
      </c>
      <c r="K28" s="62">
        <f t="shared" si="1"/>
        <v>41.856778213350019</v>
      </c>
      <c r="L28" s="33">
        <f>'B) D RI'!S28</f>
        <v>64</v>
      </c>
      <c r="M28" s="433">
        <f t="shared" si="2"/>
        <v>22.143221786649981</v>
      </c>
      <c r="N28" s="428">
        <f>+'J) Plafonnement effort'!H27+'J) Plafonnement effort'!I27-'K) Plafonnement aide'!I27</f>
        <v>40.583981406407261</v>
      </c>
      <c r="O28" s="144">
        <f t="shared" si="3"/>
        <v>62.727203193057242</v>
      </c>
      <c r="P28" s="47">
        <f t="shared" si="4"/>
        <v>0</v>
      </c>
      <c r="Q28" s="55">
        <f t="shared" si="5"/>
        <v>0</v>
      </c>
      <c r="R28" s="144">
        <f t="shared" si="6"/>
        <v>62.727203193057242</v>
      </c>
      <c r="S28" s="124">
        <f t="shared" si="7"/>
        <v>-1.2727968069427575</v>
      </c>
      <c r="T28" s="143">
        <f t="shared" si="8"/>
        <v>0</v>
      </c>
      <c r="V28" s="12"/>
    </row>
    <row r="29" spans="1:22" x14ac:dyDescent="0.25">
      <c r="A29" s="49">
        <f>'A) Base RI'!A29</f>
        <v>5428</v>
      </c>
      <c r="B29" s="341" t="str">
        <f>'A) Base RI'!B29</f>
        <v>Gimel</v>
      </c>
      <c r="C29" s="489">
        <v>1441074.1351725673</v>
      </c>
      <c r="D29" s="489">
        <v>-144077.00505621242</v>
      </c>
      <c r="E29" s="490">
        <v>0</v>
      </c>
      <c r="F29" s="490">
        <v>0</v>
      </c>
      <c r="G29" s="490">
        <v>0</v>
      </c>
      <c r="H29" s="487">
        <f t="shared" si="0"/>
        <v>1296997.1301163549</v>
      </c>
      <c r="I29" s="490">
        <v>70193.222975391502</v>
      </c>
      <c r="J29" s="345">
        <f>'B) D RI'!U29</f>
        <v>70558.698881431759</v>
      </c>
      <c r="K29" s="62">
        <f t="shared" si="1"/>
        <v>18.477526392698326</v>
      </c>
      <c r="L29" s="33">
        <f>'B) D RI'!S29</f>
        <v>74.5</v>
      </c>
      <c r="M29" s="433">
        <f t="shared" si="2"/>
        <v>56.022473607301677</v>
      </c>
      <c r="N29" s="428">
        <f>+'J) Plafonnement effort'!H28+'J) Plafonnement effort'!I28-'K) Plafonnement aide'!I28</f>
        <v>-0.25524458185272447</v>
      </c>
      <c r="O29" s="144">
        <f t="shared" si="3"/>
        <v>55.767229025448955</v>
      </c>
      <c r="P29" s="47">
        <f t="shared" si="4"/>
        <v>0</v>
      </c>
      <c r="Q29" s="55">
        <f t="shared" si="5"/>
        <v>0</v>
      </c>
      <c r="R29" s="144">
        <f t="shared" si="6"/>
        <v>55.767229025448955</v>
      </c>
      <c r="S29" s="124">
        <f t="shared" si="7"/>
        <v>-18.732770974551045</v>
      </c>
      <c r="T29" s="143">
        <f t="shared" si="8"/>
        <v>0</v>
      </c>
      <c r="V29" s="12"/>
    </row>
    <row r="30" spans="1:22" x14ac:dyDescent="0.25">
      <c r="A30" s="49">
        <f>'A) Base RI'!A30</f>
        <v>5429</v>
      </c>
      <c r="B30" s="341" t="str">
        <f>'A) Base RI'!B30</f>
        <v>Longirod</v>
      </c>
      <c r="C30" s="489">
        <v>264749.12640232185</v>
      </c>
      <c r="D30" s="489">
        <v>63607.007232236036</v>
      </c>
      <c r="E30" s="490">
        <v>0</v>
      </c>
      <c r="F30" s="490">
        <v>0</v>
      </c>
      <c r="G30" s="490">
        <v>0</v>
      </c>
      <c r="H30" s="487">
        <f t="shared" si="0"/>
        <v>328356.13363455789</v>
      </c>
      <c r="I30" s="490">
        <v>16140.77393548387</v>
      </c>
      <c r="J30" s="345">
        <f>'B) D RI'!U30</f>
        <v>18574.452387096771</v>
      </c>
      <c r="K30" s="62">
        <f t="shared" si="1"/>
        <v>20.343270709758219</v>
      </c>
      <c r="L30" s="33">
        <f>'B) D RI'!S30</f>
        <v>77.5</v>
      </c>
      <c r="M30" s="433">
        <f t="shared" si="2"/>
        <v>57.156729290241785</v>
      </c>
      <c r="N30" s="428">
        <f>+'J) Plafonnement effort'!H29+'J) Plafonnement effort'!I29-'K) Plafonnement aide'!I29</f>
        <v>14.047986531742307</v>
      </c>
      <c r="O30" s="144">
        <f t="shared" si="3"/>
        <v>71.204715821984095</v>
      </c>
      <c r="P30" s="47">
        <f t="shared" si="4"/>
        <v>0</v>
      </c>
      <c r="Q30" s="55">
        <f t="shared" si="5"/>
        <v>0</v>
      </c>
      <c r="R30" s="144">
        <f t="shared" si="6"/>
        <v>71.204715821984095</v>
      </c>
      <c r="S30" s="124">
        <f t="shared" si="7"/>
        <v>-6.2952841780159048</v>
      </c>
      <c r="T30" s="143">
        <f t="shared" si="8"/>
        <v>0</v>
      </c>
      <c r="V30" s="12"/>
    </row>
    <row r="31" spans="1:22" x14ac:dyDescent="0.25">
      <c r="A31" s="49">
        <f>'A) Base RI'!A31</f>
        <v>5430</v>
      </c>
      <c r="B31" s="341" t="str">
        <f>'A) Base RI'!B31</f>
        <v>Marchissy</v>
      </c>
      <c r="C31" s="489">
        <v>244564.96261596799</v>
      </c>
      <c r="D31" s="489">
        <v>24401.025331301556</v>
      </c>
      <c r="E31" s="490">
        <v>0</v>
      </c>
      <c r="F31" s="490">
        <v>0</v>
      </c>
      <c r="G31" s="490">
        <v>0</v>
      </c>
      <c r="H31" s="487">
        <f t="shared" si="0"/>
        <v>268965.98794726958</v>
      </c>
      <c r="I31" s="490">
        <v>14848.450709677421</v>
      </c>
      <c r="J31" s="345">
        <f>'B) D RI'!U31</f>
        <v>15580.981548387101</v>
      </c>
      <c r="K31" s="62">
        <f t="shared" si="1"/>
        <v>18.114077569855286</v>
      </c>
      <c r="L31" s="33">
        <f>'B) D RI'!S31</f>
        <v>77.5</v>
      </c>
      <c r="M31" s="433">
        <f t="shared" si="2"/>
        <v>59.385922430144717</v>
      </c>
      <c r="N31" s="428">
        <f>+'J) Plafonnement effort'!H30+'J) Plafonnement effort'!I30-'K) Plafonnement aide'!I30</f>
        <v>10.945811012511063</v>
      </c>
      <c r="O31" s="144">
        <f t="shared" si="3"/>
        <v>70.331733442655775</v>
      </c>
      <c r="P31" s="47">
        <f t="shared" si="4"/>
        <v>0</v>
      </c>
      <c r="Q31" s="55">
        <f t="shared" si="5"/>
        <v>0</v>
      </c>
      <c r="R31" s="144">
        <f t="shared" si="6"/>
        <v>70.331733442655775</v>
      </c>
      <c r="S31" s="124">
        <f t="shared" si="7"/>
        <v>-7.168266557344225</v>
      </c>
      <c r="T31" s="143">
        <f t="shared" si="8"/>
        <v>0</v>
      </c>
      <c r="V31" s="12"/>
    </row>
    <row r="32" spans="1:22" x14ac:dyDescent="0.25">
      <c r="A32" s="49">
        <f>'A) Base RI'!A32</f>
        <v>5431</v>
      </c>
      <c r="B32" s="341" t="str">
        <f>'A) Base RI'!B32</f>
        <v>Mollens</v>
      </c>
      <c r="C32" s="489">
        <v>212755.2158720911</v>
      </c>
      <c r="D32" s="489">
        <v>-6226.8259283067018</v>
      </c>
      <c r="E32" s="490">
        <v>0</v>
      </c>
      <c r="F32" s="490">
        <v>0</v>
      </c>
      <c r="G32" s="490">
        <v>0</v>
      </c>
      <c r="H32" s="487">
        <f t="shared" si="0"/>
        <v>206528.38994378439</v>
      </c>
      <c r="I32" s="490">
        <v>9333.4747297297308</v>
      </c>
      <c r="J32" s="345">
        <f>'B) D RI'!U32</f>
        <v>10464.972567567567</v>
      </c>
      <c r="K32" s="62">
        <f t="shared" si="1"/>
        <v>22.127706553480412</v>
      </c>
      <c r="L32" s="33">
        <f>'B) D RI'!S32</f>
        <v>74</v>
      </c>
      <c r="M32" s="433">
        <f t="shared" si="2"/>
        <v>51.872293446519592</v>
      </c>
      <c r="N32" s="428">
        <f>+'J) Plafonnement effort'!H31+'J) Plafonnement effort'!I31-'K) Plafonnement aide'!I31</f>
        <v>12.982954579600026</v>
      </c>
      <c r="O32" s="144">
        <f t="shared" si="3"/>
        <v>64.855248026119625</v>
      </c>
      <c r="P32" s="47">
        <f t="shared" si="4"/>
        <v>0</v>
      </c>
      <c r="Q32" s="55">
        <f t="shared" si="5"/>
        <v>0</v>
      </c>
      <c r="R32" s="144">
        <f t="shared" si="6"/>
        <v>64.855248026119625</v>
      </c>
      <c r="S32" s="124">
        <f t="shared" si="7"/>
        <v>-9.1447519738803749</v>
      </c>
      <c r="T32" s="143">
        <f t="shared" si="8"/>
        <v>0</v>
      </c>
      <c r="V32" s="12"/>
    </row>
    <row r="33" spans="1:22" x14ac:dyDescent="0.25">
      <c r="A33" s="49">
        <f>'A) Base RI'!A33</f>
        <v>5434</v>
      </c>
      <c r="B33" s="341" t="str">
        <f>'A) Base RI'!B33</f>
        <v>Saint-George</v>
      </c>
      <c r="C33" s="489">
        <v>666217.45320125658</v>
      </c>
      <c r="D33" s="489">
        <v>420193.36487809673</v>
      </c>
      <c r="E33" s="490">
        <v>0</v>
      </c>
      <c r="F33" s="490">
        <v>0</v>
      </c>
      <c r="G33" s="490">
        <v>0</v>
      </c>
      <c r="H33" s="487">
        <f t="shared" si="0"/>
        <v>1086410.8180793533</v>
      </c>
      <c r="I33" s="490">
        <v>40796.774220623498</v>
      </c>
      <c r="J33" s="345">
        <f>'B) D RI'!U33</f>
        <v>43544.748513189443</v>
      </c>
      <c r="K33" s="62">
        <f t="shared" si="1"/>
        <v>26.6298215688375</v>
      </c>
      <c r="L33" s="33">
        <f>'B) D RI'!S33</f>
        <v>69.5</v>
      </c>
      <c r="M33" s="433">
        <f t="shared" si="2"/>
        <v>42.8701784311625</v>
      </c>
      <c r="N33" s="428">
        <f>+'J) Plafonnement effort'!H32+'J) Plafonnement effort'!I32-'K) Plafonnement aide'!I32</f>
        <v>22.057153917217889</v>
      </c>
      <c r="O33" s="144">
        <f t="shared" si="3"/>
        <v>64.927332348380389</v>
      </c>
      <c r="P33" s="47">
        <f t="shared" si="4"/>
        <v>0</v>
      </c>
      <c r="Q33" s="55">
        <f t="shared" si="5"/>
        <v>0</v>
      </c>
      <c r="R33" s="144">
        <f t="shared" si="6"/>
        <v>64.927332348380389</v>
      </c>
      <c r="S33" s="124">
        <f t="shared" si="7"/>
        <v>-4.5726676516196108</v>
      </c>
      <c r="T33" s="143">
        <f t="shared" si="8"/>
        <v>0</v>
      </c>
      <c r="V33" s="12"/>
    </row>
    <row r="34" spans="1:22" x14ac:dyDescent="0.25">
      <c r="A34" s="49">
        <f>'A) Base RI'!A34</f>
        <v>5435</v>
      </c>
      <c r="B34" s="341" t="str">
        <f>'A) Base RI'!B34</f>
        <v>Saint-Livres</v>
      </c>
      <c r="C34" s="489">
        <v>425661.82819980953</v>
      </c>
      <c r="D34" s="489">
        <v>295043.63035584945</v>
      </c>
      <c r="E34" s="490">
        <v>0</v>
      </c>
      <c r="F34" s="490">
        <v>0</v>
      </c>
      <c r="G34" s="490">
        <v>0</v>
      </c>
      <c r="H34" s="487">
        <f t="shared" si="0"/>
        <v>720705.45855565905</v>
      </c>
      <c r="I34" s="490">
        <v>26346.510144927532</v>
      </c>
      <c r="J34" s="345">
        <f>'B) D RI'!U34</f>
        <v>25854.309855072468</v>
      </c>
      <c r="K34" s="62">
        <f t="shared" si="1"/>
        <v>27.354873741956133</v>
      </c>
      <c r="L34" s="33">
        <f>'B) D RI'!S34</f>
        <v>69</v>
      </c>
      <c r="M34" s="433">
        <f t="shared" si="2"/>
        <v>41.645126258043867</v>
      </c>
      <c r="N34" s="428">
        <f>+'J) Plafonnement effort'!H33+'J) Plafonnement effort'!I33-'K) Plafonnement aide'!I33</f>
        <v>22.571644879295327</v>
      </c>
      <c r="O34" s="144">
        <f t="shared" si="3"/>
        <v>64.216771137339194</v>
      </c>
      <c r="P34" s="47">
        <f t="shared" si="4"/>
        <v>0</v>
      </c>
      <c r="Q34" s="55">
        <f t="shared" si="5"/>
        <v>0</v>
      </c>
      <c r="R34" s="144">
        <f t="shared" si="6"/>
        <v>64.216771137339194</v>
      </c>
      <c r="S34" s="124">
        <f t="shared" si="7"/>
        <v>-4.7832288626608062</v>
      </c>
      <c r="T34" s="143">
        <f t="shared" si="8"/>
        <v>0</v>
      </c>
      <c r="V34" s="12"/>
    </row>
    <row r="35" spans="1:22" x14ac:dyDescent="0.25">
      <c r="A35" s="49">
        <f>'A) Base RI'!A35</f>
        <v>5436</v>
      </c>
      <c r="B35" s="341" t="str">
        <f>'A) Base RI'!B35</f>
        <v>Saint-Oyens</v>
      </c>
      <c r="C35" s="489">
        <v>257285.63680064943</v>
      </c>
      <c r="D35" s="489">
        <v>120472.6428907587</v>
      </c>
      <c r="E35" s="490">
        <v>0</v>
      </c>
      <c r="F35" s="490">
        <v>0</v>
      </c>
      <c r="G35" s="490">
        <v>0</v>
      </c>
      <c r="H35" s="487">
        <f t="shared" si="0"/>
        <v>377758.27969140816</v>
      </c>
      <c r="I35" s="490">
        <v>16755.63848765432</v>
      </c>
      <c r="J35" s="345">
        <f>'B) D RI'!U35</f>
        <v>16868.339629629631</v>
      </c>
      <c r="K35" s="62">
        <f t="shared" si="1"/>
        <v>22.545143831417899</v>
      </c>
      <c r="L35" s="33">
        <f>'B) D RI'!S35</f>
        <v>81</v>
      </c>
      <c r="M35" s="433">
        <f t="shared" si="2"/>
        <v>58.454856168582097</v>
      </c>
      <c r="N35" s="428">
        <f>+'J) Plafonnement effort'!H34+'J) Plafonnement effort'!I34-'K) Plafonnement aide'!I34</f>
        <v>19.240468772638593</v>
      </c>
      <c r="O35" s="144">
        <f t="shared" si="3"/>
        <v>77.69532494122069</v>
      </c>
      <c r="P35" s="47">
        <f t="shared" si="4"/>
        <v>0</v>
      </c>
      <c r="Q35" s="55">
        <f t="shared" si="5"/>
        <v>0</v>
      </c>
      <c r="R35" s="144">
        <f t="shared" si="6"/>
        <v>77.69532494122069</v>
      </c>
      <c r="S35" s="124">
        <f t="shared" si="7"/>
        <v>-3.3046750587793099</v>
      </c>
      <c r="T35" s="143">
        <f t="shared" si="8"/>
        <v>0</v>
      </c>
      <c r="V35" s="12"/>
    </row>
    <row r="36" spans="1:22" x14ac:dyDescent="0.25">
      <c r="A36" s="49">
        <f>'A) Base RI'!A36</f>
        <v>5437</v>
      </c>
      <c r="B36" s="341" t="str">
        <f>'A) Base RI'!B36</f>
        <v>Saubraz</v>
      </c>
      <c r="C36" s="489">
        <v>234708.5287260167</v>
      </c>
      <c r="D36" s="489">
        <v>24871.733167522063</v>
      </c>
      <c r="E36" s="490">
        <v>0</v>
      </c>
      <c r="F36" s="490">
        <v>0</v>
      </c>
      <c r="G36" s="490">
        <v>0</v>
      </c>
      <c r="H36" s="487">
        <f t="shared" si="0"/>
        <v>259580.26189353876</v>
      </c>
      <c r="I36" s="490">
        <v>13391.905875</v>
      </c>
      <c r="J36" s="345">
        <f>'B) D RI'!U36</f>
        <v>13551.757374999997</v>
      </c>
      <c r="K36" s="62">
        <f t="shared" si="1"/>
        <v>19.383369650030396</v>
      </c>
      <c r="L36" s="33">
        <f>'B) D RI'!S36</f>
        <v>80</v>
      </c>
      <c r="M36" s="433">
        <f t="shared" si="2"/>
        <v>60.616630349969604</v>
      </c>
      <c r="N36" s="428">
        <f>+'J) Plafonnement effort'!H35+'J) Plafonnement effort'!I35-'K) Plafonnement aide'!I35</f>
        <v>-14.52748529446291</v>
      </c>
      <c r="O36" s="144">
        <f>M36+N36</f>
        <v>46.089145055506691</v>
      </c>
      <c r="P36" s="47">
        <f t="shared" si="4"/>
        <v>0</v>
      </c>
      <c r="Q36" s="55">
        <f t="shared" si="5"/>
        <v>0</v>
      </c>
      <c r="R36" s="144">
        <f t="shared" si="6"/>
        <v>46.089145055506691</v>
      </c>
      <c r="S36" s="124">
        <f t="shared" si="7"/>
        <v>-33.910854944493309</v>
      </c>
      <c r="T36" s="143">
        <f t="shared" si="8"/>
        <v>0</v>
      </c>
      <c r="V36" s="12"/>
    </row>
    <row r="37" spans="1:22" x14ac:dyDescent="0.25">
      <c r="A37" s="49">
        <f>'A) Base RI'!A37</f>
        <v>5451</v>
      </c>
      <c r="B37" s="341" t="str">
        <f>'A) Base RI'!B37</f>
        <v>Avenches</v>
      </c>
      <c r="C37" s="489">
        <v>2222140.2158954246</v>
      </c>
      <c r="D37" s="489">
        <v>-604466.77899071341</v>
      </c>
      <c r="E37" s="490">
        <v>0</v>
      </c>
      <c r="F37" s="490">
        <v>0</v>
      </c>
      <c r="G37" s="490">
        <v>0</v>
      </c>
      <c r="H37" s="487">
        <f t="shared" si="0"/>
        <v>1617673.4369047112</v>
      </c>
      <c r="I37" s="490">
        <v>129500.81187969925</v>
      </c>
      <c r="J37" s="345">
        <f>'B) D RI'!U37</f>
        <v>137890.8513283208</v>
      </c>
      <c r="K37" s="62">
        <f t="shared" si="1"/>
        <v>12.491608457308059</v>
      </c>
      <c r="L37" s="33">
        <f>'B) D RI'!S37</f>
        <v>66.5</v>
      </c>
      <c r="M37" s="433">
        <f t="shared" si="2"/>
        <v>54.008391542691939</v>
      </c>
      <c r="N37" s="428">
        <f>+'J) Plafonnement effort'!H36+'J) Plafonnement effort'!I36-'K) Plafonnement aide'!I36</f>
        <v>-2.2651206651425362</v>
      </c>
      <c r="O37" s="144">
        <f t="shared" si="3"/>
        <v>51.743270877549406</v>
      </c>
      <c r="P37" s="47">
        <f t="shared" si="4"/>
        <v>0</v>
      </c>
      <c r="Q37" s="55">
        <f t="shared" si="5"/>
        <v>0</v>
      </c>
      <c r="R37" s="144">
        <f t="shared" si="6"/>
        <v>51.743270877549406</v>
      </c>
      <c r="S37" s="124">
        <f t="shared" si="7"/>
        <v>-14.756729122450594</v>
      </c>
      <c r="T37" s="143">
        <f t="shared" si="8"/>
        <v>0</v>
      </c>
      <c r="V37" s="12"/>
    </row>
    <row r="38" spans="1:22" x14ac:dyDescent="0.25">
      <c r="A38" s="49">
        <f>'A) Base RI'!A38</f>
        <v>5456</v>
      </c>
      <c r="B38" s="341" t="str">
        <f>'A) Base RI'!B38</f>
        <v>Cudrefin</v>
      </c>
      <c r="C38" s="489">
        <v>1050337.9907301257</v>
      </c>
      <c r="D38" s="489">
        <v>535580.73544656765</v>
      </c>
      <c r="E38" s="490">
        <v>0</v>
      </c>
      <c r="F38" s="490">
        <v>0</v>
      </c>
      <c r="G38" s="490">
        <v>0</v>
      </c>
      <c r="H38" s="487">
        <f t="shared" si="0"/>
        <v>1585918.7261766933</v>
      </c>
      <c r="I38" s="490">
        <v>64226.933276836171</v>
      </c>
      <c r="J38" s="345">
        <f>'B) D RI'!U38</f>
        <v>64144.951694915253</v>
      </c>
      <c r="K38" s="62">
        <f t="shared" si="1"/>
        <v>24.692424895034875</v>
      </c>
      <c r="L38" s="33">
        <f>'B) D RI'!S38</f>
        <v>59</v>
      </c>
      <c r="M38" s="433">
        <f t="shared" si="2"/>
        <v>34.307575104965125</v>
      </c>
      <c r="N38" s="428">
        <f>+'J) Plafonnement effort'!H37+'J) Plafonnement effort'!I37-'K) Plafonnement aide'!I37</f>
        <v>14.609679093232309</v>
      </c>
      <c r="O38" s="144">
        <f t="shared" si="3"/>
        <v>48.917254198197433</v>
      </c>
      <c r="P38" s="47">
        <f t="shared" si="4"/>
        <v>0</v>
      </c>
      <c r="Q38" s="55">
        <f t="shared" si="5"/>
        <v>0</v>
      </c>
      <c r="R38" s="144">
        <f t="shared" si="6"/>
        <v>48.917254198197433</v>
      </c>
      <c r="S38" s="124">
        <f t="shared" si="7"/>
        <v>-10.082745801802567</v>
      </c>
      <c r="T38" s="143">
        <f t="shared" si="8"/>
        <v>0</v>
      </c>
      <c r="V38" s="12"/>
    </row>
    <row r="39" spans="1:22" x14ac:dyDescent="0.25">
      <c r="A39" s="49">
        <f>'A) Base RI'!A39</f>
        <v>5458</v>
      </c>
      <c r="B39" s="341" t="str">
        <f>'A) Base RI'!B39</f>
        <v>Faoug</v>
      </c>
      <c r="C39" s="489">
        <v>517602.24189887341</v>
      </c>
      <c r="D39" s="489">
        <v>328874.91830026335</v>
      </c>
      <c r="E39" s="490">
        <v>0</v>
      </c>
      <c r="F39" s="490">
        <v>0</v>
      </c>
      <c r="G39" s="490">
        <v>0</v>
      </c>
      <c r="H39" s="487">
        <f t="shared" si="0"/>
        <v>846477.16019913671</v>
      </c>
      <c r="I39" s="490">
        <v>32198.404090909091</v>
      </c>
      <c r="J39" s="345">
        <f>'B) D RI'!U39</f>
        <v>34721.352769230762</v>
      </c>
      <c r="K39" s="62">
        <f t="shared" si="1"/>
        <v>26.28941353146541</v>
      </c>
      <c r="L39" s="33">
        <f>'B) D RI'!S39</f>
        <v>65</v>
      </c>
      <c r="M39" s="433">
        <f t="shared" si="2"/>
        <v>38.710586468534586</v>
      </c>
      <c r="N39" s="428">
        <f>+'J) Plafonnement effort'!H38+'J) Plafonnement effort'!I38-'K) Plafonnement aide'!I38</f>
        <v>20.448342583840031</v>
      </c>
      <c r="O39" s="144">
        <f t="shared" si="3"/>
        <v>59.158929052374617</v>
      </c>
      <c r="P39" s="47">
        <f t="shared" si="4"/>
        <v>0</v>
      </c>
      <c r="Q39" s="55">
        <f t="shared" si="5"/>
        <v>0</v>
      </c>
      <c r="R39" s="144">
        <f t="shared" si="6"/>
        <v>59.158929052374617</v>
      </c>
      <c r="S39" s="124">
        <f t="shared" si="7"/>
        <v>-5.8410709476253828</v>
      </c>
      <c r="T39" s="143">
        <f t="shared" si="8"/>
        <v>0</v>
      </c>
      <c r="V39" s="12"/>
    </row>
    <row r="40" spans="1:22" x14ac:dyDescent="0.25">
      <c r="A40" s="49">
        <f>'A) Base RI'!A40</f>
        <v>5464</v>
      </c>
      <c r="B40" s="341" t="str">
        <f>'A) Base RI'!B40</f>
        <v>Vully-les-Lacs</v>
      </c>
      <c r="C40" s="489">
        <v>1740133.7180594238</v>
      </c>
      <c r="D40" s="489">
        <v>236707.51185056055</v>
      </c>
      <c r="E40" s="490">
        <v>0</v>
      </c>
      <c r="F40" s="490">
        <v>0</v>
      </c>
      <c r="G40" s="490">
        <v>0</v>
      </c>
      <c r="H40" s="487">
        <f t="shared" si="0"/>
        <v>1976841.2299099844</v>
      </c>
      <c r="I40" s="490">
        <v>111597.31895522389</v>
      </c>
      <c r="J40" s="345">
        <f>'B) D RI'!U40</f>
        <v>119169.3065671642</v>
      </c>
      <c r="K40" s="62">
        <f t="shared" si="1"/>
        <v>17.714056649543267</v>
      </c>
      <c r="L40" s="33">
        <f>'B) D RI'!S40</f>
        <v>67</v>
      </c>
      <c r="M40" s="433">
        <f t="shared" si="2"/>
        <v>49.285943350456733</v>
      </c>
      <c r="N40" s="428">
        <f>+'J) Plafonnement effort'!H39+'J) Plafonnement effort'!I39-'K) Plafonnement aide'!I39</f>
        <v>12.181749290892778</v>
      </c>
      <c r="O40" s="144">
        <f t="shared" si="3"/>
        <v>61.467692641349515</v>
      </c>
      <c r="P40" s="47">
        <f t="shared" si="4"/>
        <v>0</v>
      </c>
      <c r="Q40" s="55">
        <f t="shared" si="5"/>
        <v>0</v>
      </c>
      <c r="R40" s="144">
        <f t="shared" si="6"/>
        <v>61.467692641349515</v>
      </c>
      <c r="S40" s="124">
        <f t="shared" si="7"/>
        <v>-5.5323073586504847</v>
      </c>
      <c r="T40" s="143">
        <f t="shared" si="8"/>
        <v>0</v>
      </c>
      <c r="V40" s="12"/>
    </row>
    <row r="41" spans="1:22" x14ac:dyDescent="0.25">
      <c r="A41" s="49">
        <f>'A) Base RI'!A41</f>
        <v>5471</v>
      </c>
      <c r="B41" s="341" t="str">
        <f>'A) Base RI'!B41</f>
        <v>Bettens</v>
      </c>
      <c r="C41" s="489">
        <v>310700.391942747</v>
      </c>
      <c r="D41" s="489">
        <v>110290.92464166251</v>
      </c>
      <c r="E41" s="490">
        <v>0</v>
      </c>
      <c r="F41" s="490">
        <v>0</v>
      </c>
      <c r="G41" s="490">
        <v>0</v>
      </c>
      <c r="H41" s="487">
        <f t="shared" si="0"/>
        <v>420991.31658440951</v>
      </c>
      <c r="I41" s="490">
        <v>20385.282730158731</v>
      </c>
      <c r="J41" s="345">
        <f>'B) D RI'!U41</f>
        <v>22893.023698412693</v>
      </c>
      <c r="K41" s="62">
        <f t="shared" si="1"/>
        <v>20.651728119599714</v>
      </c>
      <c r="L41" s="33">
        <f>'B) D RI'!S41</f>
        <v>70</v>
      </c>
      <c r="M41" s="433">
        <f t="shared" si="2"/>
        <v>49.34827188040029</v>
      </c>
      <c r="N41" s="428">
        <f>+'J) Plafonnement effort'!H40+'J) Plafonnement effort'!I40-'K) Plafonnement aide'!I40</f>
        <v>19.964817829658422</v>
      </c>
      <c r="O41" s="144">
        <f t="shared" si="3"/>
        <v>69.313089710058705</v>
      </c>
      <c r="P41" s="47">
        <f t="shared" si="4"/>
        <v>0</v>
      </c>
      <c r="Q41" s="55">
        <f t="shared" si="5"/>
        <v>0</v>
      </c>
      <c r="R41" s="144">
        <f t="shared" si="6"/>
        <v>69.313089710058705</v>
      </c>
      <c r="S41" s="124">
        <f t="shared" si="7"/>
        <v>-0.6869102899412951</v>
      </c>
      <c r="T41" s="143">
        <f t="shared" si="8"/>
        <v>0</v>
      </c>
      <c r="V41" s="12"/>
    </row>
    <row r="42" spans="1:22" x14ac:dyDescent="0.25">
      <c r="A42" s="49">
        <f>'A) Base RI'!A42</f>
        <v>5472</v>
      </c>
      <c r="B42" s="341" t="str">
        <f>'A) Base RI'!B42</f>
        <v>Bournens</v>
      </c>
      <c r="C42" s="489">
        <v>359320.07481085369</v>
      </c>
      <c r="D42" s="489">
        <v>253308.47047368335</v>
      </c>
      <c r="E42" s="490">
        <v>0</v>
      </c>
      <c r="F42" s="490">
        <v>0</v>
      </c>
      <c r="G42" s="490">
        <v>0</v>
      </c>
      <c r="H42" s="487">
        <f t="shared" si="0"/>
        <v>612628.54528453702</v>
      </c>
      <c r="I42" s="490">
        <v>20143.161388888886</v>
      </c>
      <c r="J42" s="345">
        <f>'B) D RI'!U42</f>
        <v>22178.441944444447</v>
      </c>
      <c r="K42" s="62">
        <f t="shared" si="1"/>
        <v>30.413723717790763</v>
      </c>
      <c r="L42" s="33">
        <f>'B) D RI'!S42</f>
        <v>72</v>
      </c>
      <c r="M42" s="433">
        <f t="shared" si="2"/>
        <v>41.586276282209241</v>
      </c>
      <c r="N42" s="428">
        <f>+'J) Plafonnement effort'!H41+'J) Plafonnement effort'!I41-'K) Plafonnement aide'!I41</f>
        <v>25.017609717077679</v>
      </c>
      <c r="O42" s="144">
        <f t="shared" si="3"/>
        <v>66.603885999286916</v>
      </c>
      <c r="P42" s="47">
        <f t="shared" si="4"/>
        <v>0</v>
      </c>
      <c r="Q42" s="55">
        <f t="shared" si="5"/>
        <v>0</v>
      </c>
      <c r="R42" s="144">
        <f t="shared" si="6"/>
        <v>66.603885999286916</v>
      </c>
      <c r="S42" s="124">
        <f t="shared" si="7"/>
        <v>-5.3961140007130837</v>
      </c>
      <c r="T42" s="143">
        <f t="shared" si="8"/>
        <v>0</v>
      </c>
      <c r="V42" s="12"/>
    </row>
    <row r="43" spans="1:22" x14ac:dyDescent="0.25">
      <c r="A43" s="49">
        <f>'A) Base RI'!A43</f>
        <v>5473</v>
      </c>
      <c r="B43" s="341" t="str">
        <f>'A) Base RI'!B43</f>
        <v>Boussens</v>
      </c>
      <c r="C43" s="489">
        <v>558880.25441498891</v>
      </c>
      <c r="D43" s="489">
        <v>410930.01252501004</v>
      </c>
      <c r="E43" s="490">
        <v>0</v>
      </c>
      <c r="F43" s="490">
        <v>0</v>
      </c>
      <c r="G43" s="490">
        <v>0</v>
      </c>
      <c r="H43" s="487">
        <f t="shared" si="0"/>
        <v>969810.26693999895</v>
      </c>
      <c r="I43" s="490">
        <v>37775.140592592586</v>
      </c>
      <c r="J43" s="345">
        <f>'B) D RI'!U43</f>
        <v>37059.012888888894</v>
      </c>
      <c r="K43" s="62">
        <f t="shared" si="1"/>
        <v>25.673240436070575</v>
      </c>
      <c r="L43" s="33">
        <f>'B) D RI'!S43</f>
        <v>67.5</v>
      </c>
      <c r="M43" s="433">
        <f t="shared" si="2"/>
        <v>41.826759563929429</v>
      </c>
      <c r="N43" s="428">
        <f>+'J) Plafonnement effort'!H42+'J) Plafonnement effort'!I42-'K) Plafonnement aide'!I42</f>
        <v>21.888253981031689</v>
      </c>
      <c r="O43" s="144">
        <f t="shared" si="3"/>
        <v>63.715013544961117</v>
      </c>
      <c r="P43" s="47">
        <f t="shared" si="4"/>
        <v>0</v>
      </c>
      <c r="Q43" s="55">
        <f t="shared" si="5"/>
        <v>0</v>
      </c>
      <c r="R43" s="144">
        <f t="shared" si="6"/>
        <v>63.715013544961117</v>
      </c>
      <c r="S43" s="124">
        <f t="shared" si="7"/>
        <v>-3.784986455038883</v>
      </c>
      <c r="T43" s="143">
        <f t="shared" si="8"/>
        <v>0</v>
      </c>
      <c r="V43" s="12"/>
    </row>
    <row r="44" spans="1:22" x14ac:dyDescent="0.25">
      <c r="A44" s="49">
        <f>'A) Base RI'!A44</f>
        <v>5474</v>
      </c>
      <c r="B44" s="341" t="str">
        <f>'A) Base RI'!B44</f>
        <v>La Chaux (Cossonay)</v>
      </c>
      <c r="C44" s="489">
        <v>232375.585287258</v>
      </c>
      <c r="D44" s="489">
        <v>69709.533632893523</v>
      </c>
      <c r="E44" s="490">
        <v>0</v>
      </c>
      <c r="F44" s="490">
        <v>0</v>
      </c>
      <c r="G44" s="490">
        <v>0</v>
      </c>
      <c r="H44" s="487">
        <f t="shared" si="0"/>
        <v>302085.11892015149</v>
      </c>
      <c r="I44" s="490">
        <v>13182.521580086577</v>
      </c>
      <c r="J44" s="345">
        <f>'B) D RI'!U44</f>
        <v>12905.016929824562</v>
      </c>
      <c r="K44" s="62">
        <f t="shared" si="1"/>
        <v>22.915579321067003</v>
      </c>
      <c r="L44" s="33">
        <f>'B) D RI'!S44</f>
        <v>76</v>
      </c>
      <c r="M44" s="433">
        <f t="shared" si="2"/>
        <v>53.084420678933</v>
      </c>
      <c r="N44" s="428">
        <f>+'J) Plafonnement effort'!H43+'J) Plafonnement effort'!I43-'K) Plafonnement aide'!I43</f>
        <v>-2.1587212181214466</v>
      </c>
      <c r="O44" s="144">
        <f t="shared" si="3"/>
        <v>50.925699460811551</v>
      </c>
      <c r="P44" s="47">
        <f t="shared" si="4"/>
        <v>0</v>
      </c>
      <c r="Q44" s="55">
        <f t="shared" si="5"/>
        <v>0</v>
      </c>
      <c r="R44" s="144">
        <f t="shared" si="6"/>
        <v>50.925699460811551</v>
      </c>
      <c r="S44" s="124">
        <f t="shared" si="7"/>
        <v>-25.074300539188449</v>
      </c>
      <c r="T44" s="143">
        <f t="shared" si="8"/>
        <v>0</v>
      </c>
      <c r="V44" s="12"/>
    </row>
    <row r="45" spans="1:22" x14ac:dyDescent="0.25">
      <c r="A45" s="49">
        <f>'A) Base RI'!A45</f>
        <v>5475</v>
      </c>
      <c r="B45" s="341" t="str">
        <f>'A) Base RI'!B45</f>
        <v>Chavannes-le-Veyron</v>
      </c>
      <c r="C45" s="489">
        <v>64111.943237806358</v>
      </c>
      <c r="D45" s="489">
        <v>-26589.906947290568</v>
      </c>
      <c r="E45" s="490">
        <v>0</v>
      </c>
      <c r="F45" s="490">
        <v>0</v>
      </c>
      <c r="G45" s="490">
        <v>0</v>
      </c>
      <c r="H45" s="487">
        <f t="shared" si="0"/>
        <v>37522.036290515789</v>
      </c>
      <c r="I45" s="490">
        <v>3874.6645454545451</v>
      </c>
      <c r="J45" s="345">
        <f>'B) D RI'!U45</f>
        <v>4277.2722666666668</v>
      </c>
      <c r="K45" s="62">
        <f t="shared" si="1"/>
        <v>9.6839444680530402</v>
      </c>
      <c r="L45" s="33">
        <f>'B) D RI'!S45</f>
        <v>75</v>
      </c>
      <c r="M45" s="433">
        <f t="shared" si="2"/>
        <v>65.316055531946958</v>
      </c>
      <c r="N45" s="428">
        <f>+'J) Plafonnement effort'!H44+'J) Plafonnement effort'!I44-'K) Plafonnement aide'!I44</f>
        <v>2.9062790640288916</v>
      </c>
      <c r="O45" s="144">
        <f t="shared" si="3"/>
        <v>68.222334595975852</v>
      </c>
      <c r="P45" s="47">
        <f t="shared" si="4"/>
        <v>0</v>
      </c>
      <c r="Q45" s="55">
        <f t="shared" si="5"/>
        <v>0</v>
      </c>
      <c r="R45" s="144">
        <f t="shared" si="6"/>
        <v>68.222334595975852</v>
      </c>
      <c r="S45" s="124">
        <f t="shared" si="7"/>
        <v>-6.7776654040241482</v>
      </c>
      <c r="T45" s="143">
        <f t="shared" si="8"/>
        <v>0</v>
      </c>
      <c r="V45" s="12"/>
    </row>
    <row r="46" spans="1:22" x14ac:dyDescent="0.25">
      <c r="A46" s="49">
        <f>'A) Base RI'!A46</f>
        <v>5476</v>
      </c>
      <c r="B46" s="341" t="str">
        <f>'A) Base RI'!B46</f>
        <v>Chevilly</v>
      </c>
      <c r="C46" s="489">
        <v>166569.84954299193</v>
      </c>
      <c r="D46" s="489">
        <v>112221.32839966327</v>
      </c>
      <c r="E46" s="490">
        <v>0</v>
      </c>
      <c r="F46" s="490">
        <v>0</v>
      </c>
      <c r="G46" s="490">
        <v>0</v>
      </c>
      <c r="H46" s="487">
        <f t="shared" si="0"/>
        <v>278791.17794265517</v>
      </c>
      <c r="I46" s="490">
        <v>11839.396756756756</v>
      </c>
      <c r="J46" s="345">
        <f>'B) D RI'!U46</f>
        <v>12075.307586206898</v>
      </c>
      <c r="K46" s="62">
        <f t="shared" si="1"/>
        <v>23.547751939603575</v>
      </c>
      <c r="L46" s="33">
        <f>'B) D RI'!S46</f>
        <v>72.5</v>
      </c>
      <c r="M46" s="433">
        <f t="shared" si="2"/>
        <v>48.952248060396428</v>
      </c>
      <c r="N46" s="428">
        <f>+'J) Plafonnement effort'!H45+'J) Plafonnement effort'!I45-'K) Plafonnement aide'!I45</f>
        <v>20.689579564160614</v>
      </c>
      <c r="O46" s="144">
        <f t="shared" si="3"/>
        <v>69.641827624557038</v>
      </c>
      <c r="P46" s="47">
        <f t="shared" si="4"/>
        <v>0</v>
      </c>
      <c r="Q46" s="55">
        <f t="shared" si="5"/>
        <v>0</v>
      </c>
      <c r="R46" s="144">
        <f t="shared" si="6"/>
        <v>69.641827624557038</v>
      </c>
      <c r="S46" s="124">
        <f t="shared" si="7"/>
        <v>-2.8581723754429618</v>
      </c>
      <c r="T46" s="143">
        <f t="shared" si="8"/>
        <v>0</v>
      </c>
      <c r="V46" s="12"/>
    </row>
    <row r="47" spans="1:22" x14ac:dyDescent="0.25">
      <c r="A47" s="49">
        <f>'A) Base RI'!A47</f>
        <v>5477</v>
      </c>
      <c r="B47" s="341" t="str">
        <f>'A) Base RI'!B47</f>
        <v>Cossonay</v>
      </c>
      <c r="C47" s="489">
        <v>2341531.6328706099</v>
      </c>
      <c r="D47" s="489">
        <v>-773025.7851063204</v>
      </c>
      <c r="E47" s="490">
        <v>0</v>
      </c>
      <c r="F47" s="490">
        <v>0</v>
      </c>
      <c r="G47" s="490">
        <v>0</v>
      </c>
      <c r="H47" s="487">
        <f t="shared" si="0"/>
        <v>1568505.8477642895</v>
      </c>
      <c r="I47" s="490">
        <v>119154.03251798562</v>
      </c>
      <c r="J47" s="345">
        <f>'B) D RI'!U47</f>
        <v>142597.98359712231</v>
      </c>
      <c r="K47" s="62">
        <f t="shared" si="1"/>
        <v>13.163682458900688</v>
      </c>
      <c r="L47" s="33">
        <f>'B) D RI'!S47</f>
        <v>69.5</v>
      </c>
      <c r="M47" s="433">
        <f t="shared" si="2"/>
        <v>56.336317541099312</v>
      </c>
      <c r="N47" s="428">
        <f>+'J) Plafonnement effort'!H46+'J) Plafonnement effort'!I46-'K) Plafonnement aide'!I46</f>
        <v>5.6895828582524306</v>
      </c>
      <c r="O47" s="144">
        <f t="shared" si="3"/>
        <v>62.025900399351741</v>
      </c>
      <c r="P47" s="47">
        <f t="shared" si="4"/>
        <v>0</v>
      </c>
      <c r="Q47" s="55">
        <f t="shared" si="5"/>
        <v>0</v>
      </c>
      <c r="R47" s="144">
        <f t="shared" si="6"/>
        <v>62.025900399351741</v>
      </c>
      <c r="S47" s="124">
        <f t="shared" si="7"/>
        <v>-7.474099600648259</v>
      </c>
      <c r="T47" s="143">
        <f t="shared" si="8"/>
        <v>0</v>
      </c>
      <c r="V47" s="12"/>
    </row>
    <row r="48" spans="1:22" x14ac:dyDescent="0.25">
      <c r="A48" s="49">
        <f>'A) Base RI'!A48</f>
        <v>5478</v>
      </c>
      <c r="B48" s="341" t="str">
        <f>'A) Base RI'!B48</f>
        <v>Cottens</v>
      </c>
      <c r="C48" s="489">
        <v>224742.43287433332</v>
      </c>
      <c r="D48" s="489">
        <v>89638.610510121158</v>
      </c>
      <c r="E48" s="490">
        <v>0</v>
      </c>
      <c r="F48" s="490">
        <v>0</v>
      </c>
      <c r="G48" s="490">
        <v>0</v>
      </c>
      <c r="H48" s="487">
        <f t="shared" si="0"/>
        <v>314381.04338445445</v>
      </c>
      <c r="I48" s="490">
        <v>16291.497837837833</v>
      </c>
      <c r="J48" s="345">
        <f>'B) D RI'!U48</f>
        <v>15741.229189189189</v>
      </c>
      <c r="K48" s="62">
        <f t="shared" si="1"/>
        <v>19.297246116577966</v>
      </c>
      <c r="L48" s="33">
        <f>'B) D RI'!S48</f>
        <v>74</v>
      </c>
      <c r="M48" s="433">
        <f t="shared" si="2"/>
        <v>54.702753883422034</v>
      </c>
      <c r="N48" s="428">
        <f>+'J) Plafonnement effort'!H47+'J) Plafonnement effort'!I47-'K) Plafonnement aide'!I47</f>
        <v>16.346296882407184</v>
      </c>
      <c r="O48" s="144">
        <f t="shared" si="3"/>
        <v>71.049050765829222</v>
      </c>
      <c r="P48" s="47">
        <f t="shared" si="4"/>
        <v>0</v>
      </c>
      <c r="Q48" s="55">
        <f t="shared" si="5"/>
        <v>0</v>
      </c>
      <c r="R48" s="144">
        <f t="shared" si="6"/>
        <v>71.049050765829222</v>
      </c>
      <c r="S48" s="124">
        <f t="shared" si="7"/>
        <v>-2.9509492341707784</v>
      </c>
      <c r="T48" s="143">
        <f t="shared" si="8"/>
        <v>0</v>
      </c>
      <c r="V48" s="12"/>
    </row>
    <row r="49" spans="1:22" x14ac:dyDescent="0.25">
      <c r="A49" s="49">
        <f>'A) Base RI'!A49</f>
        <v>5479</v>
      </c>
      <c r="B49" s="341" t="str">
        <f>'A) Base RI'!B49</f>
        <v>Cuarnens</v>
      </c>
      <c r="C49" s="489">
        <v>327821.51201724075</v>
      </c>
      <c r="D49" s="489">
        <v>106894.67537510977</v>
      </c>
      <c r="E49" s="490">
        <v>0</v>
      </c>
      <c r="F49" s="490">
        <v>0</v>
      </c>
      <c r="G49" s="490">
        <v>0</v>
      </c>
      <c r="H49" s="487">
        <f t="shared" si="0"/>
        <v>434716.18739235052</v>
      </c>
      <c r="I49" s="490">
        <v>18068.978311688308</v>
      </c>
      <c r="J49" s="345">
        <f>'B) D RI'!U49</f>
        <v>17984.87649350649</v>
      </c>
      <c r="K49" s="62">
        <f t="shared" si="1"/>
        <v>24.058703258896767</v>
      </c>
      <c r="L49" s="33">
        <f>'B) D RI'!S49</f>
        <v>77</v>
      </c>
      <c r="M49" s="433">
        <f t="shared" si="2"/>
        <v>52.94129674110323</v>
      </c>
      <c r="N49" s="428">
        <f>+'J) Plafonnement effort'!H48+'J) Plafonnement effort'!I48-'K) Plafonnement aide'!I48</f>
        <v>11.624218741228793</v>
      </c>
      <c r="O49" s="144">
        <f t="shared" si="3"/>
        <v>64.565515482332017</v>
      </c>
      <c r="P49" s="47">
        <f t="shared" si="4"/>
        <v>0</v>
      </c>
      <c r="Q49" s="55">
        <f t="shared" si="5"/>
        <v>0</v>
      </c>
      <c r="R49" s="144">
        <f t="shared" si="6"/>
        <v>64.565515482332017</v>
      </c>
      <c r="S49" s="124">
        <f t="shared" si="7"/>
        <v>-12.434484517667983</v>
      </c>
      <c r="T49" s="143">
        <f t="shared" si="8"/>
        <v>0</v>
      </c>
      <c r="V49" s="12"/>
    </row>
    <row r="50" spans="1:22" x14ac:dyDescent="0.25">
      <c r="A50" s="49">
        <f>'A) Base RI'!A50</f>
        <v>5480</v>
      </c>
      <c r="B50" s="341" t="str">
        <f>'A) Base RI'!B50</f>
        <v>Daillens</v>
      </c>
      <c r="C50" s="489">
        <v>720121.89900183724</v>
      </c>
      <c r="D50" s="489">
        <v>478537.61739287269</v>
      </c>
      <c r="E50" s="490">
        <v>0</v>
      </c>
      <c r="F50" s="490">
        <v>0</v>
      </c>
      <c r="G50" s="490">
        <v>0</v>
      </c>
      <c r="H50" s="487">
        <f t="shared" si="0"/>
        <v>1198659.5163947099</v>
      </c>
      <c r="I50" s="490">
        <v>40977.441060606063</v>
      </c>
      <c r="J50" s="345">
        <f>'B) D RI'!U50</f>
        <v>41284.66095959596</v>
      </c>
      <c r="K50" s="62">
        <f t="shared" si="1"/>
        <v>29.251692769733474</v>
      </c>
      <c r="L50" s="33">
        <f>'B) D RI'!S50</f>
        <v>66</v>
      </c>
      <c r="M50" s="433">
        <f t="shared" si="2"/>
        <v>36.748307230266526</v>
      </c>
      <c r="N50" s="428">
        <f>+'J) Plafonnement effort'!H49+'J) Plafonnement effort'!I49-'K) Plafonnement aide'!I49</f>
        <v>20.000779014544754</v>
      </c>
      <c r="O50" s="144">
        <f t="shared" si="3"/>
        <v>56.749086244811281</v>
      </c>
      <c r="P50" s="47">
        <f t="shared" si="4"/>
        <v>0</v>
      </c>
      <c r="Q50" s="55">
        <f t="shared" si="5"/>
        <v>0</v>
      </c>
      <c r="R50" s="144">
        <f t="shared" si="6"/>
        <v>56.749086244811281</v>
      </c>
      <c r="S50" s="124">
        <f t="shared" si="7"/>
        <v>-9.2509137551887193</v>
      </c>
      <c r="T50" s="143">
        <f t="shared" si="8"/>
        <v>0</v>
      </c>
      <c r="V50" s="12"/>
    </row>
    <row r="51" spans="1:22" x14ac:dyDescent="0.25">
      <c r="A51" s="49">
        <f>'A) Base RI'!A51</f>
        <v>5481</v>
      </c>
      <c r="B51" s="341" t="str">
        <f>'A) Base RI'!B51</f>
        <v>Dizy</v>
      </c>
      <c r="C51" s="489">
        <v>113597.05253310376</v>
      </c>
      <c r="D51" s="489">
        <v>67756.845391760377</v>
      </c>
      <c r="E51" s="490">
        <v>0</v>
      </c>
      <c r="F51" s="490">
        <v>0</v>
      </c>
      <c r="G51" s="490">
        <v>0</v>
      </c>
      <c r="H51" s="487">
        <f t="shared" si="0"/>
        <v>181353.89792486414</v>
      </c>
      <c r="I51" s="490">
        <v>8124.1672000000008</v>
      </c>
      <c r="J51" s="345">
        <f>'B) D RI'!U51</f>
        <v>8120.887333333334</v>
      </c>
      <c r="K51" s="62">
        <f t="shared" si="1"/>
        <v>22.322767793954821</v>
      </c>
      <c r="L51" s="33">
        <f>'B) D RI'!S51</f>
        <v>75</v>
      </c>
      <c r="M51" s="433">
        <f t="shared" si="2"/>
        <v>52.677232206045176</v>
      </c>
      <c r="N51" s="428">
        <f>+'J) Plafonnement effort'!H50+'J) Plafonnement effort'!I50-'K) Plafonnement aide'!I50</f>
        <v>17.614251059855576</v>
      </c>
      <c r="O51" s="144">
        <f t="shared" si="3"/>
        <v>70.291483265900752</v>
      </c>
      <c r="P51" s="47">
        <f t="shared" si="4"/>
        <v>0</v>
      </c>
      <c r="Q51" s="55">
        <f t="shared" si="5"/>
        <v>0</v>
      </c>
      <c r="R51" s="144">
        <f t="shared" si="6"/>
        <v>70.291483265900752</v>
      </c>
      <c r="S51" s="124">
        <f t="shared" si="7"/>
        <v>-4.7085167340992484</v>
      </c>
      <c r="T51" s="143">
        <f t="shared" si="8"/>
        <v>0</v>
      </c>
      <c r="V51" s="12"/>
    </row>
    <row r="52" spans="1:22" x14ac:dyDescent="0.25">
      <c r="A52" s="49">
        <f>'A) Base RI'!A52</f>
        <v>5482</v>
      </c>
      <c r="B52" s="341" t="str">
        <f>'A) Base RI'!B52</f>
        <v>Eclépens</v>
      </c>
      <c r="C52" s="489">
        <v>1225755.4765885507</v>
      </c>
      <c r="D52" s="489">
        <v>1158585.0714791226</v>
      </c>
      <c r="E52" s="490">
        <v>0</v>
      </c>
      <c r="F52" s="490">
        <v>0</v>
      </c>
      <c r="G52" s="490">
        <v>0</v>
      </c>
      <c r="H52" s="487">
        <f t="shared" si="0"/>
        <v>2384340.5480676731</v>
      </c>
      <c r="I52" s="490">
        <v>70911.930217391302</v>
      </c>
      <c r="J52" s="345">
        <f>'B) D RI'!U52</f>
        <v>54196.336086956522</v>
      </c>
      <c r="K52" s="62">
        <f t="shared" si="1"/>
        <v>33.623969066391432</v>
      </c>
      <c r="L52" s="33">
        <f>'B) D RI'!S52</f>
        <v>46</v>
      </c>
      <c r="M52" s="433">
        <f t="shared" si="2"/>
        <v>12.376030933608568</v>
      </c>
      <c r="N52" s="428">
        <f>+'J) Plafonnement effort'!H51+'J) Plafonnement effort'!I51-'K) Plafonnement aide'!I51</f>
        <v>25.334264684489092</v>
      </c>
      <c r="O52" s="144">
        <f t="shared" si="3"/>
        <v>37.710295618097661</v>
      </c>
      <c r="P52" s="47">
        <f t="shared" si="4"/>
        <v>0</v>
      </c>
      <c r="Q52" s="55">
        <f t="shared" si="5"/>
        <v>0</v>
      </c>
      <c r="R52" s="144">
        <f t="shared" si="6"/>
        <v>37.710295618097661</v>
      </c>
      <c r="S52" s="124">
        <f t="shared" si="7"/>
        <v>-8.2897043819023395</v>
      </c>
      <c r="T52" s="143">
        <f t="shared" si="8"/>
        <v>0</v>
      </c>
      <c r="V52" s="12"/>
    </row>
    <row r="53" spans="1:22" x14ac:dyDescent="0.25">
      <c r="A53" s="49">
        <f>'A) Base RI'!A53</f>
        <v>5483</v>
      </c>
      <c r="B53" s="341" t="str">
        <f>'A) Base RI'!B53</f>
        <v>Ferreyres</v>
      </c>
      <c r="C53" s="489">
        <v>155784.50645867133</v>
      </c>
      <c r="D53" s="489">
        <v>62466.592116201413</v>
      </c>
      <c r="E53" s="490">
        <v>0</v>
      </c>
      <c r="F53" s="490">
        <v>0</v>
      </c>
      <c r="G53" s="490">
        <v>0</v>
      </c>
      <c r="H53" s="487">
        <f t="shared" si="0"/>
        <v>218251.09857487274</v>
      </c>
      <c r="I53" s="490">
        <v>10820.315000000001</v>
      </c>
      <c r="J53" s="345">
        <f>'B) D RI'!U53</f>
        <v>10537.122500000001</v>
      </c>
      <c r="K53" s="62">
        <f t="shared" si="1"/>
        <v>20.170493980523926</v>
      </c>
      <c r="L53" s="33">
        <f>'B) D RI'!S53</f>
        <v>76</v>
      </c>
      <c r="M53" s="433">
        <f t="shared" si="2"/>
        <v>55.829506019476071</v>
      </c>
      <c r="N53" s="428">
        <f>+'J) Plafonnement effort'!H52+'J) Plafonnement effort'!I52-'K) Plafonnement aide'!I52</f>
        <v>16.349271725099289</v>
      </c>
      <c r="O53" s="144">
        <f t="shared" si="3"/>
        <v>72.178777744575356</v>
      </c>
      <c r="P53" s="47">
        <f t="shared" si="4"/>
        <v>0</v>
      </c>
      <c r="Q53" s="55">
        <f t="shared" si="5"/>
        <v>0</v>
      </c>
      <c r="R53" s="144">
        <f t="shared" si="6"/>
        <v>72.178777744575356</v>
      </c>
      <c r="S53" s="124">
        <f t="shared" si="7"/>
        <v>-3.8212222554246438</v>
      </c>
      <c r="T53" s="143">
        <f t="shared" si="8"/>
        <v>0</v>
      </c>
      <c r="V53" s="12"/>
    </row>
    <row r="54" spans="1:22" x14ac:dyDescent="0.25">
      <c r="A54" s="49">
        <f>'A) Base RI'!A54</f>
        <v>5484</v>
      </c>
      <c r="B54" s="341" t="str">
        <f>'A) Base RI'!B54</f>
        <v>Gollion</v>
      </c>
      <c r="C54" s="489">
        <v>585204.41946574033</v>
      </c>
      <c r="D54" s="489">
        <v>262022.47223691078</v>
      </c>
      <c r="E54" s="490">
        <v>0</v>
      </c>
      <c r="F54" s="490">
        <v>0</v>
      </c>
      <c r="G54" s="490">
        <v>0</v>
      </c>
      <c r="H54" s="487">
        <f t="shared" si="0"/>
        <v>847226.89170265105</v>
      </c>
      <c r="I54" s="490">
        <v>34996.98554054054</v>
      </c>
      <c r="J54" s="345">
        <f>'B) D RI'!U54</f>
        <v>35950.666081081094</v>
      </c>
      <c r="K54" s="62">
        <f t="shared" si="1"/>
        <v>24.208567641382217</v>
      </c>
      <c r="L54" s="33">
        <f>'B) D RI'!S54</f>
        <v>74</v>
      </c>
      <c r="M54" s="433">
        <f t="shared" si="2"/>
        <v>49.791432358617783</v>
      </c>
      <c r="N54" s="428">
        <f>+'J) Plafonnement effort'!H53+'J) Plafonnement effort'!I53-'K) Plafonnement aide'!I53</f>
        <v>14.573580781627774</v>
      </c>
      <c r="O54" s="144">
        <f t="shared" si="3"/>
        <v>64.365013140245551</v>
      </c>
      <c r="P54" s="47">
        <f t="shared" si="4"/>
        <v>0</v>
      </c>
      <c r="Q54" s="55">
        <f t="shared" si="5"/>
        <v>0</v>
      </c>
      <c r="R54" s="144">
        <f t="shared" si="6"/>
        <v>64.365013140245551</v>
      </c>
      <c r="S54" s="124">
        <f t="shared" si="7"/>
        <v>-9.6349868597544486</v>
      </c>
      <c r="T54" s="143">
        <f t="shared" si="8"/>
        <v>0</v>
      </c>
      <c r="V54" s="12"/>
    </row>
    <row r="55" spans="1:22" x14ac:dyDescent="0.25">
      <c r="A55" s="49">
        <f>'A) Base RI'!A55</f>
        <v>5485</v>
      </c>
      <c r="B55" s="341" t="str">
        <f>'A) Base RI'!B55</f>
        <v>Grancy</v>
      </c>
      <c r="C55" s="489">
        <v>277788.97400532977</v>
      </c>
      <c r="D55" s="489">
        <v>129770.43302166974</v>
      </c>
      <c r="E55" s="490">
        <v>0</v>
      </c>
      <c r="F55" s="490">
        <v>0</v>
      </c>
      <c r="G55" s="490">
        <v>0</v>
      </c>
      <c r="H55" s="487">
        <f t="shared" si="0"/>
        <v>407559.40702699951</v>
      </c>
      <c r="I55" s="490">
        <v>14542.352714285715</v>
      </c>
      <c r="J55" s="345">
        <f>'B) D RI'!U55</f>
        <v>24488.659571428572</v>
      </c>
      <c r="K55" s="62">
        <f t="shared" si="1"/>
        <v>28.025685735612267</v>
      </c>
      <c r="L55" s="33">
        <f>'B) D RI'!S55</f>
        <v>70</v>
      </c>
      <c r="M55" s="433">
        <f t="shared" si="2"/>
        <v>41.974314264387729</v>
      </c>
      <c r="N55" s="428">
        <f>+'J) Plafonnement effort'!H54+'J) Plafonnement effort'!I54-'K) Plafonnement aide'!I54</f>
        <v>28.609907024615705</v>
      </c>
      <c r="O55" s="144">
        <f t="shared" si="3"/>
        <v>70.584221289003438</v>
      </c>
      <c r="P55" s="47">
        <f t="shared" si="4"/>
        <v>0</v>
      </c>
      <c r="Q55" s="55">
        <f t="shared" si="5"/>
        <v>0</v>
      </c>
      <c r="R55" s="144">
        <f t="shared" si="6"/>
        <v>70.584221289003438</v>
      </c>
      <c r="S55" s="124">
        <f t="shared" si="7"/>
        <v>0.58422128900343751</v>
      </c>
      <c r="T55" s="143">
        <f t="shared" si="8"/>
        <v>0</v>
      </c>
      <c r="V55" s="12"/>
    </row>
    <row r="56" spans="1:22" x14ac:dyDescent="0.25">
      <c r="A56" s="49">
        <f>'A) Base RI'!A56</f>
        <v>5486</v>
      </c>
      <c r="B56" s="341" t="str">
        <f>'A) Base RI'!B56</f>
        <v>L'Isle</v>
      </c>
      <c r="C56" s="489">
        <v>578325.55807702662</v>
      </c>
      <c r="D56" s="489">
        <v>258959.96350214945</v>
      </c>
      <c r="E56" s="490">
        <v>0</v>
      </c>
      <c r="F56" s="490">
        <v>0</v>
      </c>
      <c r="G56" s="490">
        <v>0</v>
      </c>
      <c r="H56" s="487">
        <f t="shared" si="0"/>
        <v>837285.52157917607</v>
      </c>
      <c r="I56" s="490">
        <v>37459.560399999995</v>
      </c>
      <c r="J56" s="345">
        <f>'B) D RI'!U56</f>
        <v>29230.387866666671</v>
      </c>
      <c r="K56" s="62">
        <f t="shared" si="1"/>
        <v>22.351717762795108</v>
      </c>
      <c r="L56" s="33">
        <f>'B) D RI'!S56</f>
        <v>75</v>
      </c>
      <c r="M56" s="433">
        <f t="shared" si="2"/>
        <v>52.648282237204896</v>
      </c>
      <c r="N56" s="428">
        <f>+'J) Plafonnement effort'!H55+'J) Plafonnement effort'!I55-'K) Plafonnement aide'!I55</f>
        <v>-4.0934432645583776</v>
      </c>
      <c r="O56" s="144">
        <f t="shared" si="3"/>
        <v>48.554838972646522</v>
      </c>
      <c r="P56" s="47">
        <f t="shared" si="4"/>
        <v>0</v>
      </c>
      <c r="Q56" s="55">
        <f t="shared" si="5"/>
        <v>0</v>
      </c>
      <c r="R56" s="144">
        <f t="shared" si="6"/>
        <v>48.554838972646522</v>
      </c>
      <c r="S56" s="124">
        <f t="shared" si="7"/>
        <v>-26.445161027353478</v>
      </c>
      <c r="T56" s="143">
        <f t="shared" si="8"/>
        <v>0</v>
      </c>
      <c r="V56" s="12"/>
    </row>
    <row r="57" spans="1:22" x14ac:dyDescent="0.25">
      <c r="A57" s="49">
        <f>'A) Base RI'!A57</f>
        <v>5487</v>
      </c>
      <c r="B57" s="341" t="str">
        <f>'A) Base RI'!B57</f>
        <v>Lussery-Villars</v>
      </c>
      <c r="C57" s="489">
        <v>189662.0410995066</v>
      </c>
      <c r="D57" s="489">
        <v>-17963.010787081876</v>
      </c>
      <c r="E57" s="490">
        <v>0</v>
      </c>
      <c r="F57" s="490">
        <v>0</v>
      </c>
      <c r="G57" s="490">
        <v>0</v>
      </c>
      <c r="H57" s="487">
        <f t="shared" si="0"/>
        <v>171699.03031242473</v>
      </c>
      <c r="I57" s="490">
        <v>12889.865466666668</v>
      </c>
      <c r="J57" s="345">
        <f>'B) D RI'!U57</f>
        <v>16622.441866666668</v>
      </c>
      <c r="K57" s="62">
        <f t="shared" si="1"/>
        <v>13.320467211736251</v>
      </c>
      <c r="L57" s="33">
        <f>'B) D RI'!S57</f>
        <v>75</v>
      </c>
      <c r="M57" s="433">
        <f t="shared" si="2"/>
        <v>61.679532788263749</v>
      </c>
      <c r="N57" s="428">
        <f>+'J) Plafonnement effort'!H56+'J) Plafonnement effort'!I56-'K) Plafonnement aide'!I56</f>
        <v>17.258375003557518</v>
      </c>
      <c r="O57" s="144">
        <f t="shared" si="3"/>
        <v>78.93790779182126</v>
      </c>
      <c r="P57" s="47">
        <f t="shared" si="4"/>
        <v>0</v>
      </c>
      <c r="Q57" s="55">
        <f t="shared" si="5"/>
        <v>0</v>
      </c>
      <c r="R57" s="144">
        <f t="shared" si="6"/>
        <v>78.93790779182126</v>
      </c>
      <c r="S57" s="124">
        <f t="shared" si="7"/>
        <v>3.9379077918212602</v>
      </c>
      <c r="T57" s="143">
        <f t="shared" si="8"/>
        <v>0</v>
      </c>
      <c r="V57" s="12"/>
    </row>
    <row r="58" spans="1:22" x14ac:dyDescent="0.25">
      <c r="A58" s="49">
        <f>'A) Base RI'!A58</f>
        <v>5488</v>
      </c>
      <c r="B58" s="341" t="str">
        <f>'A) Base RI'!B58</f>
        <v>Mauraz</v>
      </c>
      <c r="C58" s="489">
        <v>22051.081948237923</v>
      </c>
      <c r="D58" s="489">
        <v>-3545.6817698222621</v>
      </c>
      <c r="E58" s="490">
        <v>0</v>
      </c>
      <c r="F58" s="490">
        <v>0</v>
      </c>
      <c r="G58" s="490">
        <v>0</v>
      </c>
      <c r="H58" s="487">
        <f t="shared" si="0"/>
        <v>18505.400178415661</v>
      </c>
      <c r="I58" s="490">
        <v>1632.1631168831173</v>
      </c>
      <c r="J58" s="345">
        <f>'B) D RI'!U58</f>
        <v>1729.1857142857141</v>
      </c>
      <c r="K58" s="62">
        <f t="shared" si="1"/>
        <v>11.337960028011633</v>
      </c>
      <c r="L58" s="33">
        <f>'B) D RI'!S58</f>
        <v>77</v>
      </c>
      <c r="M58" s="433">
        <f t="shared" si="2"/>
        <v>65.662039971988364</v>
      </c>
      <c r="N58" s="428">
        <f>+'J) Plafonnement effort'!H57+'J) Plafonnement effort'!I57-'K) Plafonnement aide'!I57</f>
        <v>10.443437487039185</v>
      </c>
      <c r="O58" s="144">
        <f t="shared" si="3"/>
        <v>76.105477459027554</v>
      </c>
      <c r="P58" s="47">
        <f t="shared" si="4"/>
        <v>0</v>
      </c>
      <c r="Q58" s="55">
        <f t="shared" si="5"/>
        <v>0</v>
      </c>
      <c r="R58" s="144">
        <f t="shared" si="6"/>
        <v>76.105477459027554</v>
      </c>
      <c r="S58" s="124">
        <f t="shared" si="7"/>
        <v>-0.89452254097244577</v>
      </c>
      <c r="T58" s="143">
        <f t="shared" si="8"/>
        <v>0</v>
      </c>
      <c r="V58" s="12"/>
    </row>
    <row r="59" spans="1:22" x14ac:dyDescent="0.25">
      <c r="A59" s="49">
        <f>'A) Base RI'!A59</f>
        <v>5489</v>
      </c>
      <c r="B59" s="341" t="str">
        <f>'A) Base RI'!B59</f>
        <v>Mex</v>
      </c>
      <c r="C59" s="489">
        <v>1424347.9841138779</v>
      </c>
      <c r="D59" s="489">
        <v>1023423.7433761053</v>
      </c>
      <c r="E59" s="490">
        <v>0</v>
      </c>
      <c r="F59" s="490">
        <v>0</v>
      </c>
      <c r="G59" s="490">
        <v>0</v>
      </c>
      <c r="H59" s="487">
        <f t="shared" si="0"/>
        <v>2447771.7274899832</v>
      </c>
      <c r="I59" s="490">
        <v>58521.207563025193</v>
      </c>
      <c r="J59" s="345">
        <f>'B) D RI'!U59</f>
        <v>50879.929915966379</v>
      </c>
      <c r="K59" s="62">
        <f t="shared" si="1"/>
        <v>41.827088493582828</v>
      </c>
      <c r="L59" s="33">
        <f>'B) D RI'!S59</f>
        <v>59.5</v>
      </c>
      <c r="M59" s="433">
        <f t="shared" si="2"/>
        <v>17.672911506417172</v>
      </c>
      <c r="N59" s="428">
        <f>+'J) Plafonnement effort'!H58+'J) Plafonnement effort'!I58-'K) Plafonnement aide'!I58</f>
        <v>32.356047299372165</v>
      </c>
      <c r="O59" s="144">
        <f t="shared" si="3"/>
        <v>50.028958805789337</v>
      </c>
      <c r="P59" s="47">
        <f t="shared" si="4"/>
        <v>0</v>
      </c>
      <c r="Q59" s="55">
        <f t="shared" si="5"/>
        <v>0</v>
      </c>
      <c r="R59" s="144">
        <f t="shared" si="6"/>
        <v>50.028958805789337</v>
      </c>
      <c r="S59" s="124">
        <f t="shared" si="7"/>
        <v>-9.4710411942106631</v>
      </c>
      <c r="T59" s="143">
        <f t="shared" si="8"/>
        <v>0</v>
      </c>
      <c r="V59" s="12"/>
    </row>
    <row r="60" spans="1:22" x14ac:dyDescent="0.25">
      <c r="A60" s="49">
        <f>'A) Base RI'!A60</f>
        <v>5490</v>
      </c>
      <c r="B60" s="341" t="str">
        <f>'A) Base RI'!B60</f>
        <v>Moiry</v>
      </c>
      <c r="C60" s="489">
        <v>136770.47004198012</v>
      </c>
      <c r="D60" s="489">
        <v>-25089.835085024359</v>
      </c>
      <c r="E60" s="490">
        <v>0</v>
      </c>
      <c r="F60" s="490">
        <v>0</v>
      </c>
      <c r="G60" s="490">
        <v>0</v>
      </c>
      <c r="H60" s="487">
        <f t="shared" si="0"/>
        <v>111680.63495695576</v>
      </c>
      <c r="I60" s="490">
        <v>8655.909290322581</v>
      </c>
      <c r="J60" s="345">
        <f>'B) D RI'!U60</f>
        <v>9056.9</v>
      </c>
      <c r="K60" s="62">
        <f t="shared" si="1"/>
        <v>12.902241834005373</v>
      </c>
      <c r="L60" s="33">
        <f>'B) D RI'!S60</f>
        <v>77.5</v>
      </c>
      <c r="M60" s="433">
        <f t="shared" si="2"/>
        <v>64.597758165994634</v>
      </c>
      <c r="N60" s="428">
        <f>+'J) Plafonnement effort'!H59+'J) Plafonnement effort'!I59-'K) Plafonnement aide'!I59</f>
        <v>10.666328541149879</v>
      </c>
      <c r="O60" s="144">
        <f t="shared" si="3"/>
        <v>75.264086707144514</v>
      </c>
      <c r="P60" s="47">
        <f t="shared" si="4"/>
        <v>0</v>
      </c>
      <c r="Q60" s="55">
        <f t="shared" si="5"/>
        <v>0</v>
      </c>
      <c r="R60" s="144">
        <f t="shared" si="6"/>
        <v>75.264086707144514</v>
      </c>
      <c r="S60" s="124">
        <f t="shared" si="7"/>
        <v>-2.2359132928554857</v>
      </c>
      <c r="T60" s="143">
        <f t="shared" si="8"/>
        <v>0</v>
      </c>
      <c r="V60" s="12"/>
    </row>
    <row r="61" spans="1:22" x14ac:dyDescent="0.25">
      <c r="A61" s="49">
        <f>'A) Base RI'!A61</f>
        <v>5491</v>
      </c>
      <c r="B61" s="341" t="str">
        <f>'A) Base RI'!B61</f>
        <v>Mont-la-Ville</v>
      </c>
      <c r="C61" s="489">
        <v>240585.92070353532</v>
      </c>
      <c r="D61" s="489">
        <v>-1308.77508534136</v>
      </c>
      <c r="E61" s="490">
        <v>0</v>
      </c>
      <c r="F61" s="490">
        <v>0</v>
      </c>
      <c r="G61" s="490">
        <v>0</v>
      </c>
      <c r="H61" s="487">
        <f t="shared" si="0"/>
        <v>239277.14561819396</v>
      </c>
      <c r="I61" s="490">
        <v>14323.284736842104</v>
      </c>
      <c r="J61" s="345">
        <f>'B) D RI'!U61</f>
        <v>13648.930789473685</v>
      </c>
      <c r="K61" s="62">
        <f t="shared" si="1"/>
        <v>16.705465960802233</v>
      </c>
      <c r="L61" s="33">
        <f>'B) D RI'!S61</f>
        <v>76</v>
      </c>
      <c r="M61" s="433">
        <f t="shared" ref="M61:M114" si="9">L61-K61</f>
        <v>59.294534039197771</v>
      </c>
      <c r="N61" s="428">
        <f>+'J) Plafonnement effort'!H60+'J) Plafonnement effort'!I60-'K) Plafonnement aide'!I60</f>
        <v>-4.9883593744127221</v>
      </c>
      <c r="O61" s="144">
        <f t="shared" ref="O61:O114" si="10">M61+N61</f>
        <v>54.306174664785047</v>
      </c>
      <c r="P61" s="47">
        <f t="shared" ref="P61:P114" si="11">IF(O61&gt;$P$6,$P$6-O61,0)</f>
        <v>0</v>
      </c>
      <c r="Q61" s="55">
        <f t="shared" si="5"/>
        <v>0</v>
      </c>
      <c r="R61" s="144">
        <f t="shared" ref="R61:R114" si="12">O61+P61</f>
        <v>54.306174664785047</v>
      </c>
      <c r="S61" s="124">
        <f t="shared" ref="S61:S114" si="13">R61-L61</f>
        <v>-21.693825335214953</v>
      </c>
      <c r="T61" s="143">
        <f t="shared" si="8"/>
        <v>0</v>
      </c>
      <c r="V61" s="12"/>
    </row>
    <row r="62" spans="1:22" x14ac:dyDescent="0.25">
      <c r="A62" s="49">
        <f>'A) Base RI'!A62</f>
        <v>5492</v>
      </c>
      <c r="B62" s="341" t="str">
        <f>'A) Base RI'!B62</f>
        <v>Montricher</v>
      </c>
      <c r="C62" s="489">
        <v>5437267.2039612904</v>
      </c>
      <c r="D62" s="489">
        <v>2892194.4448842341</v>
      </c>
      <c r="E62" s="490">
        <v>0</v>
      </c>
      <c r="F62" s="490">
        <v>-416515.60654083517</v>
      </c>
      <c r="G62" s="490">
        <v>0</v>
      </c>
      <c r="H62" s="487">
        <f t="shared" si="0"/>
        <v>7912946.0423046891</v>
      </c>
      <c r="I62" s="490">
        <v>157154.96692708335</v>
      </c>
      <c r="J62" s="345">
        <f>'B) D RI'!U62</f>
        <v>175268.45531250001</v>
      </c>
      <c r="K62" s="62">
        <f t="shared" si="1"/>
        <v>50.351230998484013</v>
      </c>
      <c r="L62" s="33">
        <f>'B) D RI'!S62</f>
        <v>64</v>
      </c>
      <c r="M62" s="433">
        <f t="shared" si="9"/>
        <v>13.648769001515987</v>
      </c>
      <c r="N62" s="428">
        <f>+'J) Plafonnement effort'!H61+'J) Plafonnement effort'!I61-'K) Plafonnement aide'!I61</f>
        <v>48</v>
      </c>
      <c r="O62" s="144">
        <f t="shared" si="10"/>
        <v>61.648769001515987</v>
      </c>
      <c r="P62" s="47">
        <f t="shared" si="11"/>
        <v>0</v>
      </c>
      <c r="Q62" s="55">
        <f t="shared" si="5"/>
        <v>0</v>
      </c>
      <c r="R62" s="144">
        <f t="shared" si="12"/>
        <v>61.648769001515987</v>
      </c>
      <c r="S62" s="124">
        <f t="shared" si="13"/>
        <v>-2.351230998484013</v>
      </c>
      <c r="T62" s="143">
        <f t="shared" si="8"/>
        <v>0</v>
      </c>
      <c r="V62" s="12"/>
    </row>
    <row r="63" spans="1:22" x14ac:dyDescent="0.25">
      <c r="A63" s="49">
        <f>'A) Base RI'!A63</f>
        <v>5493</v>
      </c>
      <c r="B63" s="341" t="str">
        <f>'A) Base RI'!B63</f>
        <v>Orny</v>
      </c>
      <c r="C63" s="489">
        <v>257338.71643695302</v>
      </c>
      <c r="D63" s="489">
        <v>-10671.954023285594</v>
      </c>
      <c r="E63" s="490">
        <v>0</v>
      </c>
      <c r="F63" s="490">
        <v>0</v>
      </c>
      <c r="G63" s="490">
        <v>0</v>
      </c>
      <c r="H63" s="487">
        <f t="shared" si="0"/>
        <v>246666.76241366743</v>
      </c>
      <c r="I63" s="490">
        <v>12885.017723919913</v>
      </c>
      <c r="J63" s="345">
        <f>'B) D RI'!U63</f>
        <v>13489.946448893574</v>
      </c>
      <c r="K63" s="62">
        <f t="shared" si="1"/>
        <v>19.143688250870781</v>
      </c>
      <c r="L63" s="33">
        <f>'B) D RI'!S63</f>
        <v>73</v>
      </c>
      <c r="M63" s="433">
        <f t="shared" si="9"/>
        <v>53.856311749129219</v>
      </c>
      <c r="N63" s="428">
        <f>+'J) Plafonnement effort'!H62+'J) Plafonnement effort'!I62-'K) Plafonnement aide'!I62</f>
        <v>11.050271780385815</v>
      </c>
      <c r="O63" s="144">
        <f t="shared" si="10"/>
        <v>64.906583529515032</v>
      </c>
      <c r="P63" s="47">
        <f t="shared" si="11"/>
        <v>0</v>
      </c>
      <c r="Q63" s="55">
        <f t="shared" ref="Q63:Q117" si="14">P63*J63</f>
        <v>0</v>
      </c>
      <c r="R63" s="144">
        <f t="shared" si="12"/>
        <v>64.906583529515032</v>
      </c>
      <c r="S63" s="124">
        <f t="shared" si="13"/>
        <v>-8.0934164704849678</v>
      </c>
      <c r="T63" s="143">
        <f t="shared" si="8"/>
        <v>0</v>
      </c>
      <c r="V63" s="12"/>
    </row>
    <row r="64" spans="1:22" x14ac:dyDescent="0.25">
      <c r="A64" s="49">
        <f>'A) Base RI'!A64</f>
        <v>5494</v>
      </c>
      <c r="B64" s="341" t="str">
        <f>'A) Base RI'!B64</f>
        <v>Pampigny</v>
      </c>
      <c r="C64" s="489">
        <v>599336.06074266532</v>
      </c>
      <c r="D64" s="489">
        <v>154111.48296070262</v>
      </c>
      <c r="E64" s="490">
        <v>0</v>
      </c>
      <c r="F64" s="490">
        <v>0</v>
      </c>
      <c r="G64" s="490">
        <v>0</v>
      </c>
      <c r="H64" s="487">
        <f t="shared" si="0"/>
        <v>753447.54370336793</v>
      </c>
      <c r="I64" s="490">
        <v>36607.87342465754</v>
      </c>
      <c r="J64" s="345">
        <f>'B) D RI'!U64</f>
        <v>43210.558962818002</v>
      </c>
      <c r="K64" s="62">
        <f t="shared" si="1"/>
        <v>20.581570935936337</v>
      </c>
      <c r="L64" s="33">
        <f>'B) D RI'!S64</f>
        <v>73</v>
      </c>
      <c r="M64" s="433">
        <f t="shared" si="9"/>
        <v>52.418429064063659</v>
      </c>
      <c r="N64" s="428">
        <f>+'J) Plafonnement effort'!H63+'J) Plafonnement effort'!I63-'K) Plafonnement aide'!I63</f>
        <v>-8.568217733834242</v>
      </c>
      <c r="O64" s="144">
        <f t="shared" si="10"/>
        <v>43.850211330229413</v>
      </c>
      <c r="P64" s="47">
        <f t="shared" si="11"/>
        <v>0</v>
      </c>
      <c r="Q64" s="55">
        <f t="shared" si="14"/>
        <v>0</v>
      </c>
      <c r="R64" s="144">
        <f t="shared" si="12"/>
        <v>43.850211330229413</v>
      </c>
      <c r="S64" s="124">
        <f t="shared" si="13"/>
        <v>-29.149788669770587</v>
      </c>
      <c r="T64" s="143">
        <f t="shared" si="8"/>
        <v>0</v>
      </c>
      <c r="V64" s="12"/>
    </row>
    <row r="65" spans="1:22" x14ac:dyDescent="0.25">
      <c r="A65" s="49">
        <f>'A) Base RI'!A65</f>
        <v>5495</v>
      </c>
      <c r="B65" s="341" t="str">
        <f>'A) Base RI'!B65</f>
        <v>Penthalaz</v>
      </c>
      <c r="C65" s="489">
        <v>1549880.4430886707</v>
      </c>
      <c r="D65" s="489">
        <v>-474596.08867585799</v>
      </c>
      <c r="E65" s="490">
        <v>0</v>
      </c>
      <c r="F65" s="490">
        <v>0</v>
      </c>
      <c r="G65" s="490">
        <v>0</v>
      </c>
      <c r="H65" s="487">
        <f t="shared" si="0"/>
        <v>1075284.3544128127</v>
      </c>
      <c r="I65" s="490">
        <v>93361.472702702697</v>
      </c>
      <c r="J65" s="345">
        <f>'B) D RI'!U65</f>
        <v>95314.520135135113</v>
      </c>
      <c r="K65" s="62">
        <f t="shared" si="1"/>
        <v>11.517431369542702</v>
      </c>
      <c r="L65" s="33">
        <f>'B) D RI'!S65</f>
        <v>74</v>
      </c>
      <c r="M65" s="433">
        <f t="shared" si="9"/>
        <v>62.482568630457294</v>
      </c>
      <c r="N65" s="428">
        <f>+'J) Plafonnement effort'!H64+'J) Plafonnement effort'!I64-'K) Plafonnement aide'!I64</f>
        <v>0.57342034608596837</v>
      </c>
      <c r="O65" s="144">
        <f t="shared" si="10"/>
        <v>63.055988976543262</v>
      </c>
      <c r="P65" s="47">
        <f t="shared" si="11"/>
        <v>0</v>
      </c>
      <c r="Q65" s="55">
        <f t="shared" si="14"/>
        <v>0</v>
      </c>
      <c r="R65" s="144">
        <f t="shared" si="12"/>
        <v>63.055988976543262</v>
      </c>
      <c r="S65" s="124">
        <f t="shared" si="13"/>
        <v>-10.944011023456738</v>
      </c>
      <c r="T65" s="143">
        <f t="shared" si="8"/>
        <v>0</v>
      </c>
      <c r="V65" s="12"/>
    </row>
    <row r="66" spans="1:22" x14ac:dyDescent="0.25">
      <c r="A66" s="49">
        <f>'A) Base RI'!A66</f>
        <v>5496</v>
      </c>
      <c r="B66" s="341" t="str">
        <f>'A) Base RI'!B66</f>
        <v>Penthaz</v>
      </c>
      <c r="C66" s="489">
        <v>992458.6058295496</v>
      </c>
      <c r="D66" s="489">
        <v>165201.4060787356</v>
      </c>
      <c r="E66" s="490">
        <v>0</v>
      </c>
      <c r="F66" s="490">
        <v>0</v>
      </c>
      <c r="G66" s="490">
        <v>0</v>
      </c>
      <c r="H66" s="487">
        <f t="shared" si="0"/>
        <v>1157660.0119082853</v>
      </c>
      <c r="I66" s="490">
        <v>60131.11913669065</v>
      </c>
      <c r="J66" s="345">
        <f>'B) D RI'!U66</f>
        <v>56267.911654676267</v>
      </c>
      <c r="K66" s="62">
        <f t="shared" si="1"/>
        <v>19.252261200671839</v>
      </c>
      <c r="L66" s="33">
        <f>'B) D RI'!S66</f>
        <v>69.5</v>
      </c>
      <c r="M66" s="433">
        <f t="shared" si="9"/>
        <v>50.247738799328161</v>
      </c>
      <c r="N66" s="428">
        <f>+'J) Plafonnement effort'!H65+'J) Plafonnement effort'!I65-'K) Plafonnement aide'!I65</f>
        <v>6.0401359918899029</v>
      </c>
      <c r="O66" s="144">
        <f t="shared" si="10"/>
        <v>56.287874791218066</v>
      </c>
      <c r="P66" s="47">
        <f t="shared" si="11"/>
        <v>0</v>
      </c>
      <c r="Q66" s="55">
        <f t="shared" si="14"/>
        <v>0</v>
      </c>
      <c r="R66" s="144">
        <f t="shared" si="12"/>
        <v>56.287874791218066</v>
      </c>
      <c r="S66" s="124">
        <f t="shared" si="13"/>
        <v>-13.212125208781934</v>
      </c>
      <c r="T66" s="143">
        <f t="shared" si="8"/>
        <v>0</v>
      </c>
      <c r="V66" s="12"/>
    </row>
    <row r="67" spans="1:22" x14ac:dyDescent="0.25">
      <c r="A67" s="49">
        <f>'A) Base RI'!A67</f>
        <v>5497</v>
      </c>
      <c r="B67" s="341" t="str">
        <f>'A) Base RI'!B67</f>
        <v>Pompaples</v>
      </c>
      <c r="C67" s="489">
        <v>355867.16293991171</v>
      </c>
      <c r="D67" s="489">
        <v>-70697.076277764456</v>
      </c>
      <c r="E67" s="490">
        <v>0</v>
      </c>
      <c r="F67" s="490">
        <v>0</v>
      </c>
      <c r="G67" s="490">
        <v>0</v>
      </c>
      <c r="H67" s="487">
        <f t="shared" si="0"/>
        <v>285170.08666214725</v>
      </c>
      <c r="I67" s="490">
        <v>20396.986060606061</v>
      </c>
      <c r="J67" s="345">
        <f>'B) D RI'!U67</f>
        <v>22253.499393939397</v>
      </c>
      <c r="K67" s="62">
        <f t="shared" si="1"/>
        <v>13.98099139818081</v>
      </c>
      <c r="L67" s="33">
        <f>'B) D RI'!S67</f>
        <v>66</v>
      </c>
      <c r="M67" s="433">
        <f t="shared" si="9"/>
        <v>52.019008601819188</v>
      </c>
      <c r="N67" s="428">
        <f>+'J) Plafonnement effort'!H66+'J) Plafonnement effort'!I66-'K) Plafonnement aide'!I66</f>
        <v>5.9106947878622069</v>
      </c>
      <c r="O67" s="144">
        <f t="shared" si="10"/>
        <v>57.929703389681393</v>
      </c>
      <c r="P67" s="47">
        <f t="shared" si="11"/>
        <v>0</v>
      </c>
      <c r="Q67" s="55">
        <f t="shared" si="14"/>
        <v>0</v>
      </c>
      <c r="R67" s="144">
        <f t="shared" si="12"/>
        <v>57.929703389681393</v>
      </c>
      <c r="S67" s="124">
        <f t="shared" si="13"/>
        <v>-8.0702966103186071</v>
      </c>
      <c r="T67" s="143">
        <f t="shared" si="8"/>
        <v>0</v>
      </c>
      <c r="V67" s="12"/>
    </row>
    <row r="68" spans="1:22" x14ac:dyDescent="0.25">
      <c r="A68" s="49">
        <f>'A) Base RI'!A68</f>
        <v>5498</v>
      </c>
      <c r="B68" s="341" t="str">
        <f>'A) Base RI'!B68</f>
        <v>La Sarraz</v>
      </c>
      <c r="C68" s="489">
        <v>1217727.7686985384</v>
      </c>
      <c r="D68" s="489">
        <v>-25925.788044286892</v>
      </c>
      <c r="E68" s="490">
        <v>0</v>
      </c>
      <c r="F68" s="490">
        <v>0</v>
      </c>
      <c r="G68" s="490">
        <v>0</v>
      </c>
      <c r="H68" s="487">
        <f t="shared" si="0"/>
        <v>1191801.9806542515</v>
      </c>
      <c r="I68" s="490">
        <v>77508.241969696974</v>
      </c>
      <c r="J68" s="345">
        <f>'B) D RI'!U68</f>
        <v>74682.149090909108</v>
      </c>
      <c r="K68" s="62">
        <f t="shared" si="1"/>
        <v>15.376454817801243</v>
      </c>
      <c r="L68" s="33">
        <f>'B) D RI'!S68</f>
        <v>66</v>
      </c>
      <c r="M68" s="433">
        <f t="shared" si="9"/>
        <v>50.623545182198754</v>
      </c>
      <c r="N68" s="428">
        <f>+'J) Plafonnement effort'!H67+'J) Plafonnement effort'!I67-'K) Plafonnement aide'!I67</f>
        <v>2.3260739060454991</v>
      </c>
      <c r="O68" s="144">
        <f t="shared" si="10"/>
        <v>52.949619088244255</v>
      </c>
      <c r="P68" s="47">
        <f t="shared" si="11"/>
        <v>0</v>
      </c>
      <c r="Q68" s="55">
        <f t="shared" si="14"/>
        <v>0</v>
      </c>
      <c r="R68" s="144">
        <f t="shared" si="12"/>
        <v>52.949619088244255</v>
      </c>
      <c r="S68" s="124">
        <f t="shared" si="13"/>
        <v>-13.050380911755745</v>
      </c>
      <c r="T68" s="143">
        <f t="shared" si="8"/>
        <v>0</v>
      </c>
      <c r="V68" s="12"/>
    </row>
    <row r="69" spans="1:22" x14ac:dyDescent="0.25">
      <c r="A69" s="49">
        <f>'A) Base RI'!A69</f>
        <v>5499</v>
      </c>
      <c r="B69" s="341" t="str">
        <f>'A) Base RI'!B69</f>
        <v>Senarclens</v>
      </c>
      <c r="C69" s="489">
        <v>391026.51228041184</v>
      </c>
      <c r="D69" s="489">
        <v>235383.56143937854</v>
      </c>
      <c r="E69" s="490">
        <v>0</v>
      </c>
      <c r="F69" s="490">
        <v>0</v>
      </c>
      <c r="G69" s="490">
        <v>0</v>
      </c>
      <c r="H69" s="487">
        <f t="shared" si="0"/>
        <v>626410.07371979044</v>
      </c>
      <c r="I69" s="490">
        <v>19654.447445255475</v>
      </c>
      <c r="J69" s="345">
        <f>'B) D RI'!U69</f>
        <v>18238.904233576643</v>
      </c>
      <c r="K69" s="62">
        <f t="shared" si="1"/>
        <v>31.871161754333823</v>
      </c>
      <c r="L69" s="33">
        <f>'B) D RI'!S69</f>
        <v>68.5</v>
      </c>
      <c r="M69" s="433">
        <f t="shared" si="9"/>
        <v>36.628838245666174</v>
      </c>
      <c r="N69" s="428">
        <f>+'J) Plafonnement effort'!H68+'J) Plafonnement effort'!I68-'K) Plafonnement aide'!I68</f>
        <v>12.560984931908626</v>
      </c>
      <c r="O69" s="144">
        <f t="shared" si="10"/>
        <v>49.189823177574802</v>
      </c>
      <c r="P69" s="47">
        <f t="shared" si="11"/>
        <v>0</v>
      </c>
      <c r="Q69" s="55">
        <f t="shared" si="14"/>
        <v>0</v>
      </c>
      <c r="R69" s="144">
        <f t="shared" si="12"/>
        <v>49.189823177574802</v>
      </c>
      <c r="S69" s="124">
        <f t="shared" si="13"/>
        <v>-19.310176822425198</v>
      </c>
      <c r="T69" s="143">
        <f t="shared" si="8"/>
        <v>0</v>
      </c>
      <c r="V69" s="12"/>
    </row>
    <row r="70" spans="1:22" x14ac:dyDescent="0.25">
      <c r="A70" s="49">
        <f>'A) Base RI'!A70</f>
        <v>5500</v>
      </c>
      <c r="B70" s="341" t="str">
        <f>'A) Base RI'!B70</f>
        <v>Sévery</v>
      </c>
      <c r="C70" s="489">
        <v>115388.89895187004</v>
      </c>
      <c r="D70" s="489">
        <v>57809.266996781269</v>
      </c>
      <c r="E70" s="490">
        <v>0</v>
      </c>
      <c r="F70" s="490">
        <v>0</v>
      </c>
      <c r="G70" s="490">
        <v>0</v>
      </c>
      <c r="H70" s="487">
        <f t="shared" si="0"/>
        <v>173198.16594865132</v>
      </c>
      <c r="I70" s="490">
        <v>7516.1401369863015</v>
      </c>
      <c r="J70" s="345">
        <f>'B) D RI'!U70</f>
        <v>7230.3632420091335</v>
      </c>
      <c r="K70" s="62">
        <f t="shared" si="1"/>
        <v>23.043498762929861</v>
      </c>
      <c r="L70" s="33">
        <f>'B) D RI'!S70</f>
        <v>73</v>
      </c>
      <c r="M70" s="433">
        <f t="shared" si="9"/>
        <v>49.956501237070142</v>
      </c>
      <c r="N70" s="428">
        <f>+'J) Plafonnement effort'!H69+'J) Plafonnement effort'!I69-'K) Plafonnement aide'!I69</f>
        <v>14.612085252803219</v>
      </c>
      <c r="O70" s="144">
        <f t="shared" si="10"/>
        <v>64.568586489873354</v>
      </c>
      <c r="P70" s="47">
        <f t="shared" si="11"/>
        <v>0</v>
      </c>
      <c r="Q70" s="55">
        <f t="shared" si="14"/>
        <v>0</v>
      </c>
      <c r="R70" s="144">
        <f t="shared" si="12"/>
        <v>64.568586489873354</v>
      </c>
      <c r="S70" s="124">
        <f t="shared" si="13"/>
        <v>-8.4314135101266459</v>
      </c>
      <c r="T70" s="143">
        <f t="shared" si="8"/>
        <v>0</v>
      </c>
      <c r="V70" s="12"/>
    </row>
    <row r="71" spans="1:22" x14ac:dyDescent="0.25">
      <c r="A71" s="49">
        <f>'A) Base RI'!A71</f>
        <v>5501</v>
      </c>
      <c r="B71" s="341" t="str">
        <f>'A) Base RI'!B71</f>
        <v>Sullens</v>
      </c>
      <c r="C71" s="489">
        <v>3754375.4041639715</v>
      </c>
      <c r="D71" s="489">
        <v>510344.92804152926</v>
      </c>
      <c r="E71" s="490">
        <v>0</v>
      </c>
      <c r="F71" s="490">
        <v>0</v>
      </c>
      <c r="G71" s="490">
        <v>0</v>
      </c>
      <c r="H71" s="487">
        <f t="shared" ref="H71:H134" si="15">SUM(C71:G71)</f>
        <v>4264720.3322055005</v>
      </c>
      <c r="I71" s="490">
        <v>41921.141459854021</v>
      </c>
      <c r="J71" s="345">
        <f>'B) D RI'!U71</f>
        <v>43195.598978102193</v>
      </c>
      <c r="K71" s="62">
        <f t="shared" ref="K71:K134" si="16">H71/I71</f>
        <v>101.73197064038989</v>
      </c>
      <c r="L71" s="33">
        <f>'B) D RI'!S71</f>
        <v>68.5</v>
      </c>
      <c r="M71" s="433">
        <f t="shared" si="9"/>
        <v>-33.231970640389889</v>
      </c>
      <c r="N71" s="428">
        <f>+'J) Plafonnement effort'!H70+'J) Plafonnement effort'!I70-'K) Plafonnement aide'!I70</f>
        <v>20.803283327030069</v>
      </c>
      <c r="O71" s="144">
        <f t="shared" si="10"/>
        <v>-12.42868731335982</v>
      </c>
      <c r="P71" s="47">
        <f t="shared" si="11"/>
        <v>0</v>
      </c>
      <c r="Q71" s="55">
        <f t="shared" si="14"/>
        <v>0</v>
      </c>
      <c r="R71" s="144">
        <f t="shared" si="12"/>
        <v>-12.42868731335982</v>
      </c>
      <c r="S71" s="124">
        <f t="shared" si="13"/>
        <v>-80.928687313359816</v>
      </c>
      <c r="T71" s="143">
        <f t="shared" ref="T71:T134" si="17">+C71+D71+E71+F71+G71-H71</f>
        <v>0</v>
      </c>
      <c r="V71" s="12"/>
    </row>
    <row r="72" spans="1:22" x14ac:dyDescent="0.25">
      <c r="A72" s="49">
        <f>'A) Base RI'!A72</f>
        <v>5503</v>
      </c>
      <c r="B72" s="341" t="str">
        <f>'A) Base RI'!B72</f>
        <v>Vufflens-la-Ville</v>
      </c>
      <c r="C72" s="489">
        <v>1070384.7453561905</v>
      </c>
      <c r="D72" s="489">
        <v>1032656.9739296372</v>
      </c>
      <c r="E72" s="490">
        <v>0</v>
      </c>
      <c r="F72" s="490">
        <v>0</v>
      </c>
      <c r="G72" s="490">
        <v>0</v>
      </c>
      <c r="H72" s="487">
        <f t="shared" si="15"/>
        <v>2103041.7192858276</v>
      </c>
      <c r="I72" s="490">
        <v>66677.882338308453</v>
      </c>
      <c r="J72" s="345">
        <f>'B) D RI'!U72</f>
        <v>79029.714875621881</v>
      </c>
      <c r="K72" s="62">
        <f t="shared" si="16"/>
        <v>31.540319601265541</v>
      </c>
      <c r="L72" s="33">
        <f>'B) D RI'!S72</f>
        <v>67</v>
      </c>
      <c r="M72" s="433">
        <f t="shared" si="9"/>
        <v>35.459680398734463</v>
      </c>
      <c r="N72" s="428">
        <f>+'J) Plafonnement effort'!H71+'J) Plafonnement effort'!I71-'K) Plafonnement aide'!I71</f>
        <v>30.173736892894141</v>
      </c>
      <c r="O72" s="144">
        <f t="shared" si="10"/>
        <v>65.633417291628604</v>
      </c>
      <c r="P72" s="47">
        <f t="shared" si="11"/>
        <v>0</v>
      </c>
      <c r="Q72" s="55">
        <f t="shared" si="14"/>
        <v>0</v>
      </c>
      <c r="R72" s="144">
        <f t="shared" si="12"/>
        <v>65.633417291628604</v>
      </c>
      <c r="S72" s="124">
        <f t="shared" si="13"/>
        <v>-1.3665827083713964</v>
      </c>
      <c r="T72" s="143">
        <f t="shared" si="17"/>
        <v>0</v>
      </c>
      <c r="V72" s="12"/>
    </row>
    <row r="73" spans="1:22" x14ac:dyDescent="0.25">
      <c r="A73" s="49">
        <f>'A) Base RI'!A73</f>
        <v>5511</v>
      </c>
      <c r="B73" s="341" t="str">
        <f>'A) Base RI'!B73</f>
        <v>Assens</v>
      </c>
      <c r="C73" s="489">
        <v>665237.12357450649</v>
      </c>
      <c r="D73" s="489">
        <v>473214.98146192159</v>
      </c>
      <c r="E73" s="490">
        <v>0</v>
      </c>
      <c r="F73" s="490">
        <v>0</v>
      </c>
      <c r="G73" s="490">
        <v>0</v>
      </c>
      <c r="H73" s="487">
        <f t="shared" si="15"/>
        <v>1138452.1050364282</v>
      </c>
      <c r="I73" s="490">
        <v>44474.742571428564</v>
      </c>
      <c r="J73" s="345">
        <f>'B) D RI'!U73</f>
        <v>47333.455142857143</v>
      </c>
      <c r="K73" s="62">
        <f t="shared" si="16"/>
        <v>25.597722194974367</v>
      </c>
      <c r="L73" s="33">
        <f>'B) D RI'!S73</f>
        <v>70</v>
      </c>
      <c r="M73" s="433">
        <f t="shared" si="9"/>
        <v>44.402277805025633</v>
      </c>
      <c r="N73" s="428">
        <f>+'J) Plafonnement effort'!H72+'J) Plafonnement effort'!I72-'K) Plafonnement aide'!I72</f>
        <v>17.225939380526178</v>
      </c>
      <c r="O73" s="144">
        <f t="shared" si="10"/>
        <v>61.628217185551811</v>
      </c>
      <c r="P73" s="47">
        <f t="shared" si="11"/>
        <v>0</v>
      </c>
      <c r="Q73" s="55">
        <f t="shared" si="14"/>
        <v>0</v>
      </c>
      <c r="R73" s="144">
        <f t="shared" si="12"/>
        <v>61.628217185551811</v>
      </c>
      <c r="S73" s="124">
        <f t="shared" si="13"/>
        <v>-8.3717828144481885</v>
      </c>
      <c r="T73" s="143">
        <f t="shared" si="17"/>
        <v>0</v>
      </c>
      <c r="V73" s="12"/>
    </row>
    <row r="74" spans="1:22" x14ac:dyDescent="0.25">
      <c r="A74" s="49">
        <f>'A) Base RI'!A74</f>
        <v>5512</v>
      </c>
      <c r="B74" s="341" t="str">
        <f>'A) Base RI'!B74</f>
        <v>Bercher</v>
      </c>
      <c r="C74" s="489">
        <v>628833.07560609188</v>
      </c>
      <c r="D74" s="489">
        <v>-49846.346290635061</v>
      </c>
      <c r="E74" s="490">
        <v>0</v>
      </c>
      <c r="F74" s="490">
        <v>0</v>
      </c>
      <c r="G74" s="490">
        <v>0</v>
      </c>
      <c r="H74" s="487">
        <f t="shared" si="15"/>
        <v>578986.72931545682</v>
      </c>
      <c r="I74" s="490">
        <v>40313.482784810127</v>
      </c>
      <c r="J74" s="345">
        <f>'B) D RI'!U74</f>
        <v>40764.12544303797</v>
      </c>
      <c r="K74" s="62">
        <f t="shared" si="16"/>
        <v>14.36211136621556</v>
      </c>
      <c r="L74" s="33">
        <f>'B) D RI'!S74</f>
        <v>79</v>
      </c>
      <c r="M74" s="433">
        <f t="shared" si="9"/>
        <v>64.637888633784442</v>
      </c>
      <c r="N74" s="428">
        <f>+'J) Plafonnement effort'!H73+'J) Plafonnement effort'!I73-'K) Plafonnement aide'!I73</f>
        <v>5.2567703376633359</v>
      </c>
      <c r="O74" s="144">
        <f t="shared" si="10"/>
        <v>69.894658971447782</v>
      </c>
      <c r="P74" s="47">
        <f t="shared" si="11"/>
        <v>0</v>
      </c>
      <c r="Q74" s="55">
        <f t="shared" si="14"/>
        <v>0</v>
      </c>
      <c r="R74" s="144">
        <f t="shared" si="12"/>
        <v>69.894658971447782</v>
      </c>
      <c r="S74" s="124">
        <f t="shared" si="13"/>
        <v>-9.1053410285522176</v>
      </c>
      <c r="T74" s="143">
        <f t="shared" si="17"/>
        <v>0</v>
      </c>
      <c r="V74" s="12"/>
    </row>
    <row r="75" spans="1:22" x14ac:dyDescent="0.25">
      <c r="A75" s="49">
        <f>'A) Base RI'!A75</f>
        <v>5513</v>
      </c>
      <c r="B75" s="341" t="str">
        <f>'A) Base RI'!B75</f>
        <v>Bioley-Orjulaz</v>
      </c>
      <c r="C75" s="489">
        <v>433443.51151146297</v>
      </c>
      <c r="D75" s="489">
        <v>319822.48400750529</v>
      </c>
      <c r="E75" s="490">
        <v>0</v>
      </c>
      <c r="F75" s="490">
        <v>0</v>
      </c>
      <c r="G75" s="490">
        <v>0</v>
      </c>
      <c r="H75" s="487">
        <f t="shared" si="15"/>
        <v>753265.99551896821</v>
      </c>
      <c r="I75" s="490">
        <v>22644.962352941177</v>
      </c>
      <c r="J75" s="345">
        <f>'B) D RI'!U75</f>
        <v>22739.022647058824</v>
      </c>
      <c r="K75" s="62">
        <f t="shared" si="16"/>
        <v>33.264175218252568</v>
      </c>
      <c r="L75" s="33">
        <f>'B) D RI'!S75</f>
        <v>68</v>
      </c>
      <c r="M75" s="433">
        <f t="shared" si="9"/>
        <v>34.735824781747432</v>
      </c>
      <c r="N75" s="428">
        <f>+'J) Plafonnement effort'!H74+'J) Plafonnement effort'!I74-'K) Plafonnement aide'!I74</f>
        <v>15.080507230579755</v>
      </c>
      <c r="O75" s="144">
        <f t="shared" si="10"/>
        <v>49.816332012327187</v>
      </c>
      <c r="P75" s="47">
        <f t="shared" si="11"/>
        <v>0</v>
      </c>
      <c r="Q75" s="55">
        <f t="shared" si="14"/>
        <v>0</v>
      </c>
      <c r="R75" s="144">
        <f t="shared" si="12"/>
        <v>49.816332012327187</v>
      </c>
      <c r="S75" s="124">
        <f t="shared" si="13"/>
        <v>-18.183667987672813</v>
      </c>
      <c r="T75" s="143">
        <f t="shared" si="17"/>
        <v>0</v>
      </c>
      <c r="V75" s="12"/>
    </row>
    <row r="76" spans="1:22" x14ac:dyDescent="0.25">
      <c r="A76" s="49">
        <f>'A) Base RI'!A76</f>
        <v>5514</v>
      </c>
      <c r="B76" s="341" t="str">
        <f>'A) Base RI'!B76</f>
        <v>Bottens</v>
      </c>
      <c r="C76" s="489">
        <v>690300.86203251791</v>
      </c>
      <c r="D76" s="489">
        <v>189174.23911613936</v>
      </c>
      <c r="E76" s="490">
        <v>0</v>
      </c>
      <c r="F76" s="490">
        <v>0</v>
      </c>
      <c r="G76" s="490">
        <v>0</v>
      </c>
      <c r="H76" s="487">
        <f t="shared" si="15"/>
        <v>879475.10114865727</v>
      </c>
      <c r="I76" s="490">
        <v>44190.368827586208</v>
      </c>
      <c r="J76" s="345">
        <f>'B) D RI'!U76</f>
        <v>44223.41544827586</v>
      </c>
      <c r="K76" s="62">
        <f t="shared" si="16"/>
        <v>19.901963357219991</v>
      </c>
      <c r="L76" s="33">
        <f>'B) D RI'!S76</f>
        <v>72.5</v>
      </c>
      <c r="M76" s="433">
        <f t="shared" si="9"/>
        <v>52.598036642780009</v>
      </c>
      <c r="N76" s="428">
        <f>+'J) Plafonnement effort'!H75+'J) Plafonnement effort'!I75-'K) Plafonnement aide'!I75</f>
        <v>14.075597202329421</v>
      </c>
      <c r="O76" s="144">
        <f t="shared" si="10"/>
        <v>66.673633845109435</v>
      </c>
      <c r="P76" s="47">
        <f t="shared" si="11"/>
        <v>0</v>
      </c>
      <c r="Q76" s="55">
        <f t="shared" si="14"/>
        <v>0</v>
      </c>
      <c r="R76" s="144">
        <f t="shared" si="12"/>
        <v>66.673633845109435</v>
      </c>
      <c r="S76" s="124">
        <f t="shared" si="13"/>
        <v>-5.8263661548905645</v>
      </c>
      <c r="T76" s="143">
        <f t="shared" si="17"/>
        <v>0</v>
      </c>
      <c r="V76" s="12"/>
    </row>
    <row r="77" spans="1:22" x14ac:dyDescent="0.25">
      <c r="A77" s="49">
        <f>'A) Base RI'!A77</f>
        <v>5515</v>
      </c>
      <c r="B77" s="341" t="str">
        <f>'A) Base RI'!B77</f>
        <v>Bretigny-sur-Morrens</v>
      </c>
      <c r="C77" s="489">
        <v>518529.91078825039</v>
      </c>
      <c r="D77" s="489">
        <v>150111.20704204298</v>
      </c>
      <c r="E77" s="490">
        <v>0</v>
      </c>
      <c r="F77" s="490">
        <v>0</v>
      </c>
      <c r="G77" s="490">
        <v>0</v>
      </c>
      <c r="H77" s="487">
        <f t="shared" si="15"/>
        <v>668641.11783029337</v>
      </c>
      <c r="I77" s="490">
        <v>29586.483086419765</v>
      </c>
      <c r="J77" s="345">
        <f>'B) D RI'!U77</f>
        <v>32348.775256410252</v>
      </c>
      <c r="K77" s="62">
        <f t="shared" si="16"/>
        <v>22.599547093084563</v>
      </c>
      <c r="L77" s="33">
        <f>'B) D RI'!S77</f>
        <v>78</v>
      </c>
      <c r="M77" s="433">
        <f t="shared" si="9"/>
        <v>55.400452906915433</v>
      </c>
      <c r="N77" s="428">
        <f>+'J) Plafonnement effort'!H76+'J) Plafonnement effort'!I76-'K) Plafonnement aide'!I76</f>
        <v>11.018630796742046</v>
      </c>
      <c r="O77" s="144">
        <f t="shared" si="10"/>
        <v>66.419083703657478</v>
      </c>
      <c r="P77" s="47">
        <f t="shared" si="11"/>
        <v>0</v>
      </c>
      <c r="Q77" s="55">
        <f t="shared" si="14"/>
        <v>0</v>
      </c>
      <c r="R77" s="144">
        <f t="shared" si="12"/>
        <v>66.419083703657478</v>
      </c>
      <c r="S77" s="124">
        <f t="shared" si="13"/>
        <v>-11.580916296342522</v>
      </c>
      <c r="T77" s="143">
        <f t="shared" si="17"/>
        <v>0</v>
      </c>
      <c r="V77" s="12"/>
    </row>
    <row r="78" spans="1:22" x14ac:dyDescent="0.25">
      <c r="A78" s="49">
        <f>'A) Base RI'!A78</f>
        <v>5516</v>
      </c>
      <c r="B78" s="341" t="str">
        <f>'A) Base RI'!B78</f>
        <v>Cugy</v>
      </c>
      <c r="C78" s="489">
        <v>1833351.4484885153</v>
      </c>
      <c r="D78" s="489">
        <v>684871.60342520475</v>
      </c>
      <c r="E78" s="490">
        <v>0</v>
      </c>
      <c r="F78" s="490">
        <v>0</v>
      </c>
      <c r="G78" s="490">
        <v>0</v>
      </c>
      <c r="H78" s="487">
        <f t="shared" si="15"/>
        <v>2518223.0519137201</v>
      </c>
      <c r="I78" s="490">
        <v>107062.26318376069</v>
      </c>
      <c r="J78" s="345">
        <f>'B) D RI'!U78</f>
        <v>111604.91621794872</v>
      </c>
      <c r="K78" s="62">
        <f t="shared" si="16"/>
        <v>23.521107970522397</v>
      </c>
      <c r="L78" s="33">
        <f>'B) D RI'!S78</f>
        <v>78</v>
      </c>
      <c r="M78" s="433">
        <f t="shared" si="9"/>
        <v>54.478892029477606</v>
      </c>
      <c r="N78" s="428">
        <f>+'J) Plafonnement effort'!H77+'J) Plafonnement effort'!I77-'K) Plafonnement aide'!I77</f>
        <v>17.440365686329336</v>
      </c>
      <c r="O78" s="144">
        <f t="shared" si="10"/>
        <v>71.919257715806935</v>
      </c>
      <c r="P78" s="47">
        <f t="shared" si="11"/>
        <v>0</v>
      </c>
      <c r="Q78" s="55">
        <f t="shared" si="14"/>
        <v>0</v>
      </c>
      <c r="R78" s="144">
        <f t="shared" si="12"/>
        <v>71.919257715806935</v>
      </c>
      <c r="S78" s="124">
        <f t="shared" si="13"/>
        <v>-6.0807422841930645</v>
      </c>
      <c r="T78" s="143">
        <f t="shared" si="17"/>
        <v>0</v>
      </c>
      <c r="V78" s="12"/>
    </row>
    <row r="79" spans="1:22" x14ac:dyDescent="0.25">
      <c r="A79" s="49">
        <f>'A) Base RI'!A79</f>
        <v>5518</v>
      </c>
      <c r="B79" s="341" t="str">
        <f>'A) Base RI'!B79</f>
        <v>Echallens</v>
      </c>
      <c r="C79" s="489">
        <v>3025287.7865154459</v>
      </c>
      <c r="D79" s="489">
        <v>-871638.22224902268</v>
      </c>
      <c r="E79" s="490">
        <v>0</v>
      </c>
      <c r="F79" s="490">
        <v>0</v>
      </c>
      <c r="G79" s="490">
        <v>0</v>
      </c>
      <c r="H79" s="487">
        <f t="shared" si="15"/>
        <v>2153649.5642664232</v>
      </c>
      <c r="I79" s="490">
        <v>178756.07310344829</v>
      </c>
      <c r="J79" s="345">
        <f>'B) D RI'!U79</f>
        <v>183030.51158620688</v>
      </c>
      <c r="K79" s="62">
        <f t="shared" si="16"/>
        <v>12.047979835740072</v>
      </c>
      <c r="L79" s="33">
        <f>'B) D RI'!S79</f>
        <v>72.5</v>
      </c>
      <c r="M79" s="433">
        <f t="shared" si="9"/>
        <v>60.452020164259928</v>
      </c>
      <c r="N79" s="428">
        <f>+'J) Plafonnement effort'!H78+'J) Plafonnement effort'!I78-'K) Plafonnement aide'!I78</f>
        <v>-3.2021730357524536E-2</v>
      </c>
      <c r="O79" s="144">
        <f t="shared" si="10"/>
        <v>60.4199984339024</v>
      </c>
      <c r="P79" s="47">
        <f t="shared" si="11"/>
        <v>0</v>
      </c>
      <c r="Q79" s="55">
        <f t="shared" si="14"/>
        <v>0</v>
      </c>
      <c r="R79" s="144">
        <f t="shared" si="12"/>
        <v>60.4199984339024</v>
      </c>
      <c r="S79" s="124">
        <f t="shared" si="13"/>
        <v>-12.0800015660976</v>
      </c>
      <c r="T79" s="143">
        <f t="shared" si="17"/>
        <v>0</v>
      </c>
      <c r="V79" s="12"/>
    </row>
    <row r="80" spans="1:22" x14ac:dyDescent="0.25">
      <c r="A80" s="49">
        <f>'A) Base RI'!A80</f>
        <v>5520</v>
      </c>
      <c r="B80" s="341" t="str">
        <f>'A) Base RI'!B80</f>
        <v>Essertines-sur-Yverdon</v>
      </c>
      <c r="C80" s="489">
        <v>533823.13336251397</v>
      </c>
      <c r="D80" s="489">
        <v>2096.5944526303792</v>
      </c>
      <c r="E80" s="490">
        <v>0</v>
      </c>
      <c r="F80" s="490">
        <v>0</v>
      </c>
      <c r="G80" s="490">
        <v>0</v>
      </c>
      <c r="H80" s="487">
        <f t="shared" si="15"/>
        <v>535919.72781514435</v>
      </c>
      <c r="I80" s="490">
        <v>29733.806712328769</v>
      </c>
      <c r="J80" s="345">
        <f>'B) D RI'!U80</f>
        <v>31696.699178082192</v>
      </c>
      <c r="K80" s="62">
        <f t="shared" si="16"/>
        <v>18.023919136897181</v>
      </c>
      <c r="L80" s="33">
        <f>'B) D RI'!S80</f>
        <v>73</v>
      </c>
      <c r="M80" s="433">
        <f t="shared" si="9"/>
        <v>54.976080863102823</v>
      </c>
      <c r="N80" s="428">
        <f>+'J) Plafonnement effort'!H79+'J) Plafonnement effort'!I79-'K) Plafonnement aide'!I79</f>
        <v>6.072631965416643</v>
      </c>
      <c r="O80" s="144">
        <f t="shared" si="10"/>
        <v>61.048712828519463</v>
      </c>
      <c r="P80" s="47">
        <f t="shared" si="11"/>
        <v>0</v>
      </c>
      <c r="Q80" s="55">
        <f t="shared" si="14"/>
        <v>0</v>
      </c>
      <c r="R80" s="144">
        <f t="shared" si="12"/>
        <v>61.048712828519463</v>
      </c>
      <c r="S80" s="124">
        <f t="shared" si="13"/>
        <v>-11.951287171480537</v>
      </c>
      <c r="T80" s="143">
        <f t="shared" si="17"/>
        <v>0</v>
      </c>
      <c r="V80" s="12"/>
    </row>
    <row r="81" spans="1:22" x14ac:dyDescent="0.25">
      <c r="A81" s="49">
        <f>'A) Base RI'!A81</f>
        <v>5521</v>
      </c>
      <c r="B81" s="341" t="str">
        <f>'A) Base RI'!B81</f>
        <v>Etagnières</v>
      </c>
      <c r="C81" s="489">
        <v>727071.22683345852</v>
      </c>
      <c r="D81" s="489">
        <v>539693.51072724676</v>
      </c>
      <c r="E81" s="490">
        <v>0</v>
      </c>
      <c r="F81" s="490">
        <v>0</v>
      </c>
      <c r="G81" s="490">
        <v>0</v>
      </c>
      <c r="H81" s="487">
        <f t="shared" si="15"/>
        <v>1266764.7375607053</v>
      </c>
      <c r="I81" s="490">
        <v>46797.314657534247</v>
      </c>
      <c r="J81" s="345">
        <f>'B) D RI'!U81</f>
        <v>42645.35479452055</v>
      </c>
      <c r="K81" s="62">
        <f t="shared" si="16"/>
        <v>27.069175802735071</v>
      </c>
      <c r="L81" s="33">
        <f>'B) D RI'!S81</f>
        <v>73</v>
      </c>
      <c r="M81" s="433">
        <f t="shared" si="9"/>
        <v>45.930824197264926</v>
      </c>
      <c r="N81" s="428">
        <f>+'J) Plafonnement effort'!H80+'J) Plafonnement effort'!I80-'K) Plafonnement aide'!I80</f>
        <v>17.997523684474821</v>
      </c>
      <c r="O81" s="144">
        <f t="shared" si="10"/>
        <v>63.928347881739747</v>
      </c>
      <c r="P81" s="47">
        <f t="shared" si="11"/>
        <v>0</v>
      </c>
      <c r="Q81" s="55">
        <f t="shared" si="14"/>
        <v>0</v>
      </c>
      <c r="R81" s="144">
        <f t="shared" si="12"/>
        <v>63.928347881739747</v>
      </c>
      <c r="S81" s="124">
        <f t="shared" si="13"/>
        <v>-9.0716521182602534</v>
      </c>
      <c r="T81" s="143">
        <f t="shared" si="17"/>
        <v>0</v>
      </c>
      <c r="V81" s="12"/>
    </row>
    <row r="82" spans="1:22" x14ac:dyDescent="0.25">
      <c r="A82" s="49">
        <f>'A) Base RI'!A82</f>
        <v>5522</v>
      </c>
      <c r="B82" s="341" t="str">
        <f>'A) Base RI'!B82</f>
        <v>Fey</v>
      </c>
      <c r="C82" s="489">
        <v>348465.38719532831</v>
      </c>
      <c r="D82" s="489">
        <v>83077.878827203065</v>
      </c>
      <c r="E82" s="490">
        <v>0</v>
      </c>
      <c r="F82" s="490">
        <v>0</v>
      </c>
      <c r="G82" s="490">
        <v>0</v>
      </c>
      <c r="H82" s="487">
        <f t="shared" si="15"/>
        <v>431543.26602253137</v>
      </c>
      <c r="I82" s="490">
        <v>23726.940933333331</v>
      </c>
      <c r="J82" s="345">
        <f>'B) D RI'!U82</f>
        <v>23924.3328</v>
      </c>
      <c r="K82" s="62">
        <f t="shared" si="16"/>
        <v>18.18790156030051</v>
      </c>
      <c r="L82" s="33">
        <f>'B) D RI'!S82</f>
        <v>75</v>
      </c>
      <c r="M82" s="433">
        <f t="shared" si="9"/>
        <v>56.81209843969949</v>
      </c>
      <c r="N82" s="428">
        <f>+'J) Plafonnement effort'!H81+'J) Plafonnement effort'!I81-'K) Plafonnement aide'!I81</f>
        <v>13.672311521972082</v>
      </c>
      <c r="O82" s="144">
        <f t="shared" si="10"/>
        <v>70.484409961671574</v>
      </c>
      <c r="P82" s="47">
        <f t="shared" si="11"/>
        <v>0</v>
      </c>
      <c r="Q82" s="55">
        <f t="shared" si="14"/>
        <v>0</v>
      </c>
      <c r="R82" s="144">
        <f t="shared" si="12"/>
        <v>70.484409961671574</v>
      </c>
      <c r="S82" s="124">
        <f t="shared" si="13"/>
        <v>-4.5155900383284262</v>
      </c>
      <c r="T82" s="143">
        <f t="shared" si="17"/>
        <v>0</v>
      </c>
      <c r="V82" s="12"/>
    </row>
    <row r="83" spans="1:22" x14ac:dyDescent="0.25">
      <c r="A83" s="49">
        <f>'A) Base RI'!A83</f>
        <v>5523</v>
      </c>
      <c r="B83" s="341" t="str">
        <f>'A) Base RI'!B83</f>
        <v>Froideville</v>
      </c>
      <c r="C83" s="489">
        <v>1301915.7545594652</v>
      </c>
      <c r="D83" s="489">
        <v>20433.163062874461</v>
      </c>
      <c r="E83" s="490">
        <v>0</v>
      </c>
      <c r="F83" s="490">
        <v>0</v>
      </c>
      <c r="G83" s="490">
        <v>0</v>
      </c>
      <c r="H83" s="487">
        <f t="shared" si="15"/>
        <v>1322348.9176223397</v>
      </c>
      <c r="I83" s="490">
        <v>85868.846805555557</v>
      </c>
      <c r="J83" s="345">
        <f>'B) D RI'!U83</f>
        <v>93741.085555555546</v>
      </c>
      <c r="K83" s="62">
        <f t="shared" si="16"/>
        <v>15.399635220637272</v>
      </c>
      <c r="L83" s="33">
        <f>'B) D RI'!S83</f>
        <v>72</v>
      </c>
      <c r="M83" s="433">
        <f t="shared" si="9"/>
        <v>56.600364779362728</v>
      </c>
      <c r="N83" s="428">
        <f>+'J) Plafonnement effort'!H82+'J) Plafonnement effort'!I82-'K) Plafonnement aide'!I82</f>
        <v>13.60386743480273</v>
      </c>
      <c r="O83" s="144">
        <f t="shared" si="10"/>
        <v>70.204232214165458</v>
      </c>
      <c r="P83" s="47">
        <f t="shared" si="11"/>
        <v>0</v>
      </c>
      <c r="Q83" s="55">
        <f t="shared" si="14"/>
        <v>0</v>
      </c>
      <c r="R83" s="144">
        <f t="shared" si="12"/>
        <v>70.204232214165458</v>
      </c>
      <c r="S83" s="124">
        <f t="shared" si="13"/>
        <v>-1.795767785834542</v>
      </c>
      <c r="T83" s="143">
        <f t="shared" si="17"/>
        <v>0</v>
      </c>
      <c r="V83" s="12"/>
    </row>
    <row r="84" spans="1:22" x14ac:dyDescent="0.25">
      <c r="A84" s="49">
        <f>'A) Base RI'!A84</f>
        <v>5527</v>
      </c>
      <c r="B84" s="341" t="str">
        <f>'A) Base RI'!B84</f>
        <v>Morrens</v>
      </c>
      <c r="C84" s="489">
        <v>629608.37800918531</v>
      </c>
      <c r="D84" s="489">
        <v>271259.72184147051</v>
      </c>
      <c r="E84" s="490">
        <v>0</v>
      </c>
      <c r="F84" s="490">
        <v>0</v>
      </c>
      <c r="G84" s="490">
        <v>0</v>
      </c>
      <c r="H84" s="487">
        <f t="shared" si="15"/>
        <v>900868.09985065577</v>
      </c>
      <c r="I84" s="490">
        <v>40564.204594594594</v>
      </c>
      <c r="J84" s="345">
        <f>'B) D RI'!U84</f>
        <v>39310.302027027028</v>
      </c>
      <c r="K84" s="62">
        <f t="shared" si="16"/>
        <v>22.20844976141111</v>
      </c>
      <c r="L84" s="33">
        <f>'B) D RI'!S84</f>
        <v>74</v>
      </c>
      <c r="M84" s="433">
        <f t="shared" si="9"/>
        <v>51.79155023858889</v>
      </c>
      <c r="N84" s="428">
        <f>+'J) Plafonnement effort'!H83+'J) Plafonnement effort'!I83-'K) Plafonnement aide'!I83</f>
        <v>16.425087232557754</v>
      </c>
      <c r="O84" s="144">
        <f t="shared" si="10"/>
        <v>68.21663747114664</v>
      </c>
      <c r="P84" s="47">
        <f t="shared" si="11"/>
        <v>0</v>
      </c>
      <c r="Q84" s="55">
        <f t="shared" si="14"/>
        <v>0</v>
      </c>
      <c r="R84" s="144">
        <f t="shared" si="12"/>
        <v>68.21663747114664</v>
      </c>
      <c r="S84" s="124">
        <f t="shared" si="13"/>
        <v>-5.7833625288533597</v>
      </c>
      <c r="T84" s="143">
        <f t="shared" si="17"/>
        <v>0</v>
      </c>
      <c r="V84" s="12"/>
    </row>
    <row r="85" spans="1:22" x14ac:dyDescent="0.25">
      <c r="A85" s="49">
        <f>'A) Base RI'!A85</f>
        <v>5529</v>
      </c>
      <c r="B85" s="341" t="str">
        <f>'A) Base RI'!B85</f>
        <v>Oulens-sous-Echallens</v>
      </c>
      <c r="C85" s="489">
        <v>294974.60505310714</v>
      </c>
      <c r="D85" s="489">
        <v>122423.24717382004</v>
      </c>
      <c r="E85" s="490">
        <v>0</v>
      </c>
      <c r="F85" s="490">
        <v>0</v>
      </c>
      <c r="G85" s="490">
        <v>0</v>
      </c>
      <c r="H85" s="487">
        <f t="shared" si="15"/>
        <v>417397.85222692718</v>
      </c>
      <c r="I85" s="490">
        <v>20201.245428571427</v>
      </c>
      <c r="J85" s="345">
        <f>'B) D RI'!U85</f>
        <v>21162.231857142859</v>
      </c>
      <c r="K85" s="62">
        <f t="shared" si="16"/>
        <v>20.661986098965205</v>
      </c>
      <c r="L85" s="33">
        <f>'B) D RI'!S85</f>
        <v>70</v>
      </c>
      <c r="M85" s="433">
        <f t="shared" si="9"/>
        <v>49.338013901034799</v>
      </c>
      <c r="N85" s="428">
        <f>+'J) Plafonnement effort'!H84+'J) Plafonnement effort'!I84-'K) Plafonnement aide'!I84</f>
        <v>12.554188280936998</v>
      </c>
      <c r="O85" s="144">
        <f t="shared" si="10"/>
        <v>61.892202181971797</v>
      </c>
      <c r="P85" s="47">
        <f t="shared" si="11"/>
        <v>0</v>
      </c>
      <c r="Q85" s="55">
        <f t="shared" si="14"/>
        <v>0</v>
      </c>
      <c r="R85" s="144">
        <f t="shared" si="12"/>
        <v>61.892202181971797</v>
      </c>
      <c r="S85" s="124">
        <f t="shared" si="13"/>
        <v>-8.1077978180282031</v>
      </c>
      <c r="T85" s="143">
        <f t="shared" si="17"/>
        <v>0</v>
      </c>
      <c r="V85" s="12"/>
    </row>
    <row r="86" spans="1:22" x14ac:dyDescent="0.25">
      <c r="A86" s="49">
        <f>'A) Base RI'!A86</f>
        <v>5530</v>
      </c>
      <c r="B86" s="341" t="str">
        <f>'A) Base RI'!B86</f>
        <v>Pailly</v>
      </c>
      <c r="C86" s="489">
        <v>259766.22801436196</v>
      </c>
      <c r="D86" s="489">
        <v>71641.699127833475</v>
      </c>
      <c r="E86" s="490">
        <v>0</v>
      </c>
      <c r="F86" s="490">
        <v>0</v>
      </c>
      <c r="G86" s="490">
        <v>0</v>
      </c>
      <c r="H86" s="487">
        <f t="shared" si="15"/>
        <v>331407.9271421954</v>
      </c>
      <c r="I86" s="490">
        <v>18302.009495614031</v>
      </c>
      <c r="J86" s="345">
        <f>'B) D RI'!U86</f>
        <v>19305.859890350872</v>
      </c>
      <c r="K86" s="62">
        <f t="shared" si="16"/>
        <v>18.10773441143801</v>
      </c>
      <c r="L86" s="33">
        <f>'B) D RI'!S86</f>
        <v>76</v>
      </c>
      <c r="M86" s="433">
        <f t="shared" si="9"/>
        <v>57.89226558856199</v>
      </c>
      <c r="N86" s="428">
        <f>+'J) Plafonnement effort'!H85+'J) Plafonnement effort'!I85-'K) Plafonnement aide'!I85</f>
        <v>-24.061634662566849</v>
      </c>
      <c r="O86" s="144">
        <f t="shared" si="10"/>
        <v>33.830630925995138</v>
      </c>
      <c r="P86" s="47">
        <f t="shared" si="11"/>
        <v>0</v>
      </c>
      <c r="Q86" s="55">
        <f t="shared" si="14"/>
        <v>0</v>
      </c>
      <c r="R86" s="144">
        <f t="shared" si="12"/>
        <v>33.830630925995138</v>
      </c>
      <c r="S86" s="124">
        <f t="shared" si="13"/>
        <v>-42.169369074004862</v>
      </c>
      <c r="T86" s="143">
        <f t="shared" si="17"/>
        <v>0</v>
      </c>
      <c r="V86" s="12"/>
    </row>
    <row r="87" spans="1:22" x14ac:dyDescent="0.25">
      <c r="A87" s="49">
        <f>'A) Base RI'!A87</f>
        <v>5531</v>
      </c>
      <c r="B87" s="341" t="str">
        <f>'A) Base RI'!B87</f>
        <v>Penthéréaz</v>
      </c>
      <c r="C87" s="489">
        <v>215030.35177479536</v>
      </c>
      <c r="D87" s="489">
        <v>74048.308781237691</v>
      </c>
      <c r="E87" s="490">
        <v>0</v>
      </c>
      <c r="F87" s="490">
        <v>0</v>
      </c>
      <c r="G87" s="490">
        <v>0</v>
      </c>
      <c r="H87" s="487">
        <f t="shared" si="15"/>
        <v>289078.66055603302</v>
      </c>
      <c r="I87" s="490">
        <v>13843.062702702704</v>
      </c>
      <c r="J87" s="345">
        <f>'B) D RI'!U87</f>
        <v>14300.817432432432</v>
      </c>
      <c r="K87" s="62">
        <f t="shared" si="16"/>
        <v>20.882565279401184</v>
      </c>
      <c r="L87" s="33">
        <f>'B) D RI'!S87</f>
        <v>74</v>
      </c>
      <c r="M87" s="433">
        <f t="shared" si="9"/>
        <v>53.117434720598816</v>
      </c>
      <c r="N87" s="428">
        <f>+'J) Plafonnement effort'!H86+'J) Plafonnement effort'!I86-'K) Plafonnement aide'!I86</f>
        <v>12.189702162600486</v>
      </c>
      <c r="O87" s="144">
        <f t="shared" si="10"/>
        <v>65.307136883199306</v>
      </c>
      <c r="P87" s="47">
        <f t="shared" si="11"/>
        <v>0</v>
      </c>
      <c r="Q87" s="55">
        <f t="shared" si="14"/>
        <v>0</v>
      </c>
      <c r="R87" s="144">
        <f t="shared" si="12"/>
        <v>65.307136883199306</v>
      </c>
      <c r="S87" s="124">
        <f t="shared" si="13"/>
        <v>-8.6928631168006945</v>
      </c>
      <c r="T87" s="143">
        <f t="shared" si="17"/>
        <v>0</v>
      </c>
      <c r="V87" s="12"/>
    </row>
    <row r="88" spans="1:22" x14ac:dyDescent="0.25">
      <c r="A88" s="49">
        <f>'A) Base RI'!A88</f>
        <v>5533</v>
      </c>
      <c r="B88" s="341" t="str">
        <f>'A) Base RI'!B88</f>
        <v>Poliez-Pittet</v>
      </c>
      <c r="C88" s="489">
        <v>537823.50863287784</v>
      </c>
      <c r="D88" s="489">
        <v>145851.34755011683</v>
      </c>
      <c r="E88" s="490">
        <v>0</v>
      </c>
      <c r="F88" s="490">
        <v>0</v>
      </c>
      <c r="G88" s="490">
        <v>0</v>
      </c>
      <c r="H88" s="487">
        <f t="shared" si="15"/>
        <v>683674.85618299467</v>
      </c>
      <c r="I88" s="490">
        <v>27190.167945205478</v>
      </c>
      <c r="J88" s="345">
        <f>'B) D RI'!U88</f>
        <v>27502.031917808214</v>
      </c>
      <c r="K88" s="62">
        <f t="shared" si="16"/>
        <v>25.144193943956463</v>
      </c>
      <c r="L88" s="33">
        <f>'B) D RI'!S88</f>
        <v>73</v>
      </c>
      <c r="M88" s="433">
        <f t="shared" si="9"/>
        <v>47.855806056043534</v>
      </c>
      <c r="N88" s="428">
        <f>+'J) Plafonnement effort'!H87+'J) Plafonnement effort'!I87-'K) Plafonnement aide'!I87</f>
        <v>14.507834439143494</v>
      </c>
      <c r="O88" s="144">
        <f t="shared" si="10"/>
        <v>62.363640495187028</v>
      </c>
      <c r="P88" s="47">
        <f t="shared" si="11"/>
        <v>0</v>
      </c>
      <c r="Q88" s="55">
        <f t="shared" si="14"/>
        <v>0</v>
      </c>
      <c r="R88" s="144">
        <f t="shared" si="12"/>
        <v>62.363640495187028</v>
      </c>
      <c r="S88" s="124">
        <f t="shared" si="13"/>
        <v>-10.636359504812972</v>
      </c>
      <c r="T88" s="143">
        <f t="shared" si="17"/>
        <v>0</v>
      </c>
      <c r="V88" s="12"/>
    </row>
    <row r="89" spans="1:22" x14ac:dyDescent="0.25">
      <c r="A89" s="49">
        <f>'A) Base RI'!A89</f>
        <v>5534</v>
      </c>
      <c r="B89" s="341" t="str">
        <f>'A) Base RI'!B89</f>
        <v>Rueyres</v>
      </c>
      <c r="C89" s="489">
        <v>157053.35141308949</v>
      </c>
      <c r="D89" s="489">
        <v>88595.441174093794</v>
      </c>
      <c r="E89" s="490">
        <v>0</v>
      </c>
      <c r="F89" s="490">
        <v>0</v>
      </c>
      <c r="G89" s="490">
        <v>0</v>
      </c>
      <c r="H89" s="487">
        <f t="shared" si="15"/>
        <v>245648.7925871833</v>
      </c>
      <c r="I89" s="490">
        <v>9755.351210045661</v>
      </c>
      <c r="J89" s="345">
        <f>'B) D RI'!U89</f>
        <v>13106.991872146118</v>
      </c>
      <c r="K89" s="62">
        <f t="shared" si="16"/>
        <v>25.180927605581665</v>
      </c>
      <c r="L89" s="33">
        <f>'B) D RI'!S89</f>
        <v>73</v>
      </c>
      <c r="M89" s="433">
        <f t="shared" si="9"/>
        <v>47.819072394418335</v>
      </c>
      <c r="N89" s="428">
        <f>+'J) Plafonnement effort'!H88+'J) Plafonnement effort'!I88-'K) Plafonnement aide'!I88</f>
        <v>25.069705020701747</v>
      </c>
      <c r="O89" s="144">
        <f t="shared" si="10"/>
        <v>72.888777415120074</v>
      </c>
      <c r="P89" s="47">
        <f t="shared" si="11"/>
        <v>0</v>
      </c>
      <c r="Q89" s="55">
        <f t="shared" si="14"/>
        <v>0</v>
      </c>
      <c r="R89" s="144">
        <f t="shared" si="12"/>
        <v>72.888777415120074</v>
      </c>
      <c r="S89" s="124">
        <f t="shared" si="13"/>
        <v>-0.11122258487992553</v>
      </c>
      <c r="T89" s="143">
        <f t="shared" si="17"/>
        <v>0</v>
      </c>
      <c r="V89" s="12"/>
    </row>
    <row r="90" spans="1:22" x14ac:dyDescent="0.25">
      <c r="A90" s="49">
        <f>'A) Base RI'!A90</f>
        <v>5535</v>
      </c>
      <c r="B90" s="341" t="str">
        <f>'A) Base RI'!B90</f>
        <v>Saint-Barthélemy</v>
      </c>
      <c r="C90" s="489">
        <v>335003.96476661012</v>
      </c>
      <c r="D90" s="489">
        <v>-10643.409605509427</v>
      </c>
      <c r="E90" s="490">
        <v>0</v>
      </c>
      <c r="F90" s="490">
        <v>0</v>
      </c>
      <c r="G90" s="490">
        <v>0</v>
      </c>
      <c r="H90" s="487">
        <f t="shared" si="15"/>
        <v>324360.5551611007</v>
      </c>
      <c r="I90" s="490">
        <v>22496.850133333337</v>
      </c>
      <c r="J90" s="345">
        <f>'B) D RI'!U90</f>
        <v>25080.318533333328</v>
      </c>
      <c r="K90" s="62">
        <f t="shared" si="16"/>
        <v>14.418043114422458</v>
      </c>
      <c r="L90" s="33">
        <f>'B) D RI'!S90</f>
        <v>75</v>
      </c>
      <c r="M90" s="433">
        <f t="shared" si="9"/>
        <v>60.58195688557754</v>
      </c>
      <c r="N90" s="428">
        <f>+'J) Plafonnement effort'!H89+'J) Plafonnement effort'!I89-'K) Plafonnement aide'!I89</f>
        <v>12.642243543341953</v>
      </c>
      <c r="O90" s="144">
        <f t="shared" si="10"/>
        <v>73.224200428919488</v>
      </c>
      <c r="P90" s="47">
        <f t="shared" si="11"/>
        <v>0</v>
      </c>
      <c r="Q90" s="55">
        <f t="shared" si="14"/>
        <v>0</v>
      </c>
      <c r="R90" s="144">
        <f t="shared" si="12"/>
        <v>73.224200428919488</v>
      </c>
      <c r="S90" s="124">
        <f t="shared" si="13"/>
        <v>-1.7757995710805119</v>
      </c>
      <c r="T90" s="143">
        <f t="shared" si="17"/>
        <v>0</v>
      </c>
      <c r="V90" s="12"/>
    </row>
    <row r="91" spans="1:22" x14ac:dyDescent="0.25">
      <c r="A91" s="49">
        <f>'A) Base RI'!A91</f>
        <v>5537</v>
      </c>
      <c r="B91" s="341" t="str">
        <f>'A) Base RI'!B91</f>
        <v>Villars-le-Terroir</v>
      </c>
      <c r="C91" s="489">
        <v>610316.53705385723</v>
      </c>
      <c r="D91" s="489">
        <v>-1624.1171217185911</v>
      </c>
      <c r="E91" s="490">
        <v>0</v>
      </c>
      <c r="F91" s="490">
        <v>0</v>
      </c>
      <c r="G91" s="490">
        <v>0</v>
      </c>
      <c r="H91" s="487">
        <f t="shared" si="15"/>
        <v>608692.41993213864</v>
      </c>
      <c r="I91" s="490">
        <v>37963.269999999997</v>
      </c>
      <c r="J91" s="345">
        <f>'B) D RI'!U91</f>
        <v>42917.816052631584</v>
      </c>
      <c r="K91" s="62">
        <f t="shared" si="16"/>
        <v>16.033719432813314</v>
      </c>
      <c r="L91" s="33">
        <f>'B) D RI'!S91</f>
        <v>76</v>
      </c>
      <c r="M91" s="433">
        <f t="shared" si="9"/>
        <v>59.966280567186686</v>
      </c>
      <c r="N91" s="428">
        <f>+'J) Plafonnement effort'!H90+'J) Plafonnement effort'!I90-'K) Plafonnement aide'!I90</f>
        <v>13.286575632399011</v>
      </c>
      <c r="O91" s="144">
        <f t="shared" si="10"/>
        <v>73.252856199585693</v>
      </c>
      <c r="P91" s="47">
        <f t="shared" si="11"/>
        <v>0</v>
      </c>
      <c r="Q91" s="55">
        <f t="shared" si="14"/>
        <v>0</v>
      </c>
      <c r="R91" s="144">
        <f t="shared" si="12"/>
        <v>73.252856199585693</v>
      </c>
      <c r="S91" s="124">
        <f t="shared" si="13"/>
        <v>-2.7471438004143067</v>
      </c>
      <c r="T91" s="143">
        <f t="shared" si="17"/>
        <v>0</v>
      </c>
      <c r="V91" s="12"/>
    </row>
    <row r="92" spans="1:22" x14ac:dyDescent="0.25">
      <c r="A92" s="49">
        <f>'A) Base RI'!A92</f>
        <v>5539</v>
      </c>
      <c r="B92" s="341" t="str">
        <f>'A) Base RI'!B92</f>
        <v>Vuarrens</v>
      </c>
      <c r="C92" s="489">
        <v>652106.91298492998</v>
      </c>
      <c r="D92" s="489">
        <v>217112.04523045663</v>
      </c>
      <c r="E92" s="490">
        <v>0</v>
      </c>
      <c r="F92" s="490">
        <v>0</v>
      </c>
      <c r="G92" s="490">
        <v>0</v>
      </c>
      <c r="H92" s="487">
        <f t="shared" si="15"/>
        <v>869218.95821538661</v>
      </c>
      <c r="I92" s="490">
        <v>35961.61534013605</v>
      </c>
      <c r="J92" s="345">
        <f>'B) D RI'!U92</f>
        <v>34558.047482993185</v>
      </c>
      <c r="K92" s="62">
        <f t="shared" si="16"/>
        <v>24.170742887772022</v>
      </c>
      <c r="L92" s="33">
        <f>'B) D RI'!S92</f>
        <v>73.5</v>
      </c>
      <c r="M92" s="433">
        <f t="shared" si="9"/>
        <v>49.329257112227978</v>
      </c>
      <c r="N92" s="428">
        <f>+'J) Plafonnement effort'!H91+'J) Plafonnement effort'!I91-'K) Plafonnement aide'!I91</f>
        <v>13.6990733536423</v>
      </c>
      <c r="O92" s="144">
        <f t="shared" si="10"/>
        <v>63.028330465870276</v>
      </c>
      <c r="P92" s="47">
        <f t="shared" si="11"/>
        <v>0</v>
      </c>
      <c r="Q92" s="55">
        <f t="shared" si="14"/>
        <v>0</v>
      </c>
      <c r="R92" s="144">
        <f t="shared" si="12"/>
        <v>63.028330465870276</v>
      </c>
      <c r="S92" s="124">
        <f t="shared" si="13"/>
        <v>-10.471669534129724</v>
      </c>
      <c r="T92" s="143">
        <f t="shared" si="17"/>
        <v>0</v>
      </c>
      <c r="V92" s="12"/>
    </row>
    <row r="93" spans="1:22" x14ac:dyDescent="0.25">
      <c r="A93" s="49">
        <f>'A) Base RI'!A93</f>
        <v>5540</v>
      </c>
      <c r="B93" s="341" t="str">
        <f>'A) Base RI'!B93</f>
        <v>Montilliez</v>
      </c>
      <c r="C93" s="489">
        <v>993758.33727123193</v>
      </c>
      <c r="D93" s="489">
        <v>359092.39427443233</v>
      </c>
      <c r="E93" s="490">
        <v>0</v>
      </c>
      <c r="F93" s="490">
        <v>0</v>
      </c>
      <c r="G93" s="490">
        <v>0</v>
      </c>
      <c r="H93" s="487">
        <f t="shared" si="15"/>
        <v>1352850.7315456644</v>
      </c>
      <c r="I93" s="490">
        <v>66256.548551724132</v>
      </c>
      <c r="J93" s="345">
        <f>'B) D RI'!U93</f>
        <v>63315.990655172413</v>
      </c>
      <c r="K93" s="62">
        <f t="shared" si="16"/>
        <v>20.418370125173997</v>
      </c>
      <c r="L93" s="33">
        <f>'B) D RI'!S93</f>
        <v>72.5</v>
      </c>
      <c r="M93" s="433">
        <f>L93-K93</f>
        <v>52.081629874826007</v>
      </c>
      <c r="N93" s="428">
        <f>+'J) Plafonnement effort'!H92+'J) Plafonnement effort'!I92-'K) Plafonnement aide'!I92</f>
        <v>12.945371767502845</v>
      </c>
      <c r="O93" s="144">
        <f>M93+N93</f>
        <v>65.027001642328855</v>
      </c>
      <c r="P93" s="47">
        <f t="shared" si="11"/>
        <v>0</v>
      </c>
      <c r="Q93" s="55">
        <f>P93*J93</f>
        <v>0</v>
      </c>
      <c r="R93" s="144">
        <f>O93+P93</f>
        <v>65.027001642328855</v>
      </c>
      <c r="S93" s="124">
        <f>R93-L93</f>
        <v>-7.4729983576711447</v>
      </c>
      <c r="T93" s="143">
        <f t="shared" si="17"/>
        <v>0</v>
      </c>
      <c r="V93" s="12"/>
    </row>
    <row r="94" spans="1:22" x14ac:dyDescent="0.25">
      <c r="A94" s="49">
        <f>'A) Base RI'!A94</f>
        <v>5541</v>
      </c>
      <c r="B94" s="341" t="str">
        <f>'A) Base RI'!B94</f>
        <v>Goumoëns</v>
      </c>
      <c r="C94" s="489">
        <v>629833.15751664166</v>
      </c>
      <c r="D94" s="489">
        <v>107911.54124810826</v>
      </c>
      <c r="E94" s="490">
        <v>0</v>
      </c>
      <c r="F94" s="490">
        <v>0</v>
      </c>
      <c r="G94" s="490">
        <v>0</v>
      </c>
      <c r="H94" s="487">
        <f t="shared" si="15"/>
        <v>737744.69876474992</v>
      </c>
      <c r="I94" s="490">
        <v>36998.611258278142</v>
      </c>
      <c r="J94" s="345">
        <f>'B) D RI'!U94</f>
        <v>41279.032715231784</v>
      </c>
      <c r="K94" s="62">
        <f t="shared" si="16"/>
        <v>19.939794324028458</v>
      </c>
      <c r="L94" s="33">
        <f>'B) D RI'!S94</f>
        <v>75.5</v>
      </c>
      <c r="M94" s="433">
        <f>L94-K94</f>
        <v>55.560205675971545</v>
      </c>
      <c r="N94" s="428">
        <f>+'J) Plafonnement effort'!H93+'J) Plafonnement effort'!I93-'K) Plafonnement aide'!I93</f>
        <v>17.357505030537077</v>
      </c>
      <c r="O94" s="144">
        <f>M94+N94</f>
        <v>72.917710706508615</v>
      </c>
      <c r="P94" s="47">
        <f t="shared" si="11"/>
        <v>0</v>
      </c>
      <c r="Q94" s="55">
        <f>P94*J94</f>
        <v>0</v>
      </c>
      <c r="R94" s="144">
        <f>O94+P94</f>
        <v>72.917710706508615</v>
      </c>
      <c r="S94" s="124">
        <f>R94-L94</f>
        <v>-2.5822892934913853</v>
      </c>
      <c r="T94" s="143">
        <f t="shared" si="17"/>
        <v>0</v>
      </c>
      <c r="V94" s="12"/>
    </row>
    <row r="95" spans="1:22" x14ac:dyDescent="0.25">
      <c r="A95" s="49">
        <f>'A) Base RI'!A95</f>
        <v>5551</v>
      </c>
      <c r="B95" s="341" t="str">
        <f>'A) Base RI'!B95</f>
        <v>Bonvillars</v>
      </c>
      <c r="C95" s="489">
        <v>283826.95219651016</v>
      </c>
      <c r="D95" s="489">
        <v>253107.30736272811</v>
      </c>
      <c r="E95" s="490">
        <v>0</v>
      </c>
      <c r="F95" s="490">
        <v>0</v>
      </c>
      <c r="G95" s="490">
        <v>0</v>
      </c>
      <c r="H95" s="487">
        <f t="shared" si="15"/>
        <v>536934.25955923833</v>
      </c>
      <c r="I95" s="490">
        <v>19156.634727272725</v>
      </c>
      <c r="J95" s="345">
        <f>'B) D RI'!U95</f>
        <v>18707.412</v>
      </c>
      <c r="K95" s="62">
        <f t="shared" si="16"/>
        <v>28.028631709243857</v>
      </c>
      <c r="L95" s="33">
        <f>'B) D RI'!S95</f>
        <v>55</v>
      </c>
      <c r="M95" s="433">
        <f>L95-K95</f>
        <v>26.971368290756143</v>
      </c>
      <c r="N95" s="428">
        <f>+'J) Plafonnement effort'!H94+'J) Plafonnement effort'!I94-'K) Plafonnement aide'!I94</f>
        <v>18.011789589640696</v>
      </c>
      <c r="O95" s="144">
        <f>M95+N95</f>
        <v>44.983157880396838</v>
      </c>
      <c r="P95" s="47">
        <f t="shared" si="11"/>
        <v>0</v>
      </c>
      <c r="Q95" s="55">
        <f>P95*J95</f>
        <v>0</v>
      </c>
      <c r="R95" s="144">
        <f>O95+P95</f>
        <v>44.983157880396838</v>
      </c>
      <c r="S95" s="124">
        <f>R95-L95</f>
        <v>-10.016842119603162</v>
      </c>
      <c r="T95" s="143">
        <f t="shared" si="17"/>
        <v>0</v>
      </c>
      <c r="V95" s="12"/>
    </row>
    <row r="96" spans="1:22" x14ac:dyDescent="0.25">
      <c r="A96" s="49">
        <f>'A) Base RI'!A96</f>
        <v>5552</v>
      </c>
      <c r="B96" s="341" t="str">
        <f>'A) Base RI'!B96</f>
        <v>Bullet</v>
      </c>
      <c r="C96" s="489">
        <v>309337.71490697854</v>
      </c>
      <c r="D96" s="489">
        <v>-34023.53785432328</v>
      </c>
      <c r="E96" s="490">
        <v>0</v>
      </c>
      <c r="F96" s="490">
        <v>0</v>
      </c>
      <c r="G96" s="490">
        <v>0</v>
      </c>
      <c r="H96" s="487">
        <f t="shared" si="15"/>
        <v>275314.17705265526</v>
      </c>
      <c r="I96" s="490">
        <v>17556.417482517485</v>
      </c>
      <c r="J96" s="345">
        <f>'B) D RI'!U96</f>
        <v>19599.59230769231</v>
      </c>
      <c r="K96" s="62">
        <f t="shared" si="16"/>
        <v>15.681683197999279</v>
      </c>
      <c r="L96" s="33">
        <f>'B) D RI'!S96</f>
        <v>71.5</v>
      </c>
      <c r="M96" s="433">
        <f t="shared" si="9"/>
        <v>55.818316802000723</v>
      </c>
      <c r="N96" s="428">
        <f>+'J) Plafonnement effort'!H95+'J) Plafonnement effort'!I95-'K) Plafonnement aide'!I95</f>
        <v>3.3984786197310708</v>
      </c>
      <c r="O96" s="144">
        <f t="shared" si="10"/>
        <v>59.216795421731796</v>
      </c>
      <c r="P96" s="47">
        <f t="shared" si="11"/>
        <v>0</v>
      </c>
      <c r="Q96" s="55">
        <f t="shared" si="14"/>
        <v>0</v>
      </c>
      <c r="R96" s="144">
        <f t="shared" si="12"/>
        <v>59.216795421731796</v>
      </c>
      <c r="S96" s="124">
        <f t="shared" si="13"/>
        <v>-12.283204578268204</v>
      </c>
      <c r="T96" s="143">
        <f t="shared" si="17"/>
        <v>0</v>
      </c>
      <c r="V96" s="12"/>
    </row>
    <row r="97" spans="1:22" x14ac:dyDescent="0.25">
      <c r="A97" s="49">
        <f>'A) Base RI'!A97</f>
        <v>5553</v>
      </c>
      <c r="B97" s="341" t="str">
        <f>'A) Base RI'!B97</f>
        <v>Champagne</v>
      </c>
      <c r="C97" s="489">
        <v>679614.08466559683</v>
      </c>
      <c r="D97" s="489">
        <v>385482.5007151505</v>
      </c>
      <c r="E97" s="490">
        <v>0</v>
      </c>
      <c r="F97" s="490">
        <v>0</v>
      </c>
      <c r="G97" s="490">
        <v>0</v>
      </c>
      <c r="H97" s="487">
        <f t="shared" si="15"/>
        <v>1065096.5853807474</v>
      </c>
      <c r="I97" s="490">
        <v>38681.377846153839</v>
      </c>
      <c r="J97" s="345">
        <f>'B) D RI'!U97</f>
        <v>40087.525538461538</v>
      </c>
      <c r="K97" s="62">
        <f t="shared" si="16"/>
        <v>27.535125289924284</v>
      </c>
      <c r="L97" s="33">
        <f>'B) D RI'!S97</f>
        <v>65</v>
      </c>
      <c r="M97" s="433">
        <f t="shared" si="9"/>
        <v>37.464874710075719</v>
      </c>
      <c r="N97" s="428">
        <f>+'J) Plafonnement effort'!H96+'J) Plafonnement effort'!I96-'K) Plafonnement aide'!I96</f>
        <v>15.821496593735752</v>
      </c>
      <c r="O97" s="144">
        <f t="shared" si="10"/>
        <v>53.286371303811471</v>
      </c>
      <c r="P97" s="47">
        <f t="shared" si="11"/>
        <v>0</v>
      </c>
      <c r="Q97" s="55">
        <f t="shared" si="14"/>
        <v>0</v>
      </c>
      <c r="R97" s="144">
        <f t="shared" si="12"/>
        <v>53.286371303811471</v>
      </c>
      <c r="S97" s="124">
        <f t="shared" si="13"/>
        <v>-11.713628696188529</v>
      </c>
      <c r="T97" s="143">
        <f t="shared" si="17"/>
        <v>0</v>
      </c>
      <c r="V97" s="12"/>
    </row>
    <row r="98" spans="1:22" x14ac:dyDescent="0.25">
      <c r="A98" s="49">
        <f>'A) Base RI'!A98</f>
        <v>5554</v>
      </c>
      <c r="B98" s="341" t="str">
        <f>'A) Base RI'!B98</f>
        <v>Concise</v>
      </c>
      <c r="C98" s="489">
        <v>561418.26002218632</v>
      </c>
      <c r="D98" s="489">
        <v>136597.80138762103</v>
      </c>
      <c r="E98" s="490">
        <v>0</v>
      </c>
      <c r="F98" s="490">
        <v>0</v>
      </c>
      <c r="G98" s="490">
        <v>0</v>
      </c>
      <c r="H98" s="487">
        <f t="shared" si="15"/>
        <v>698016.0614098073</v>
      </c>
      <c r="I98" s="490">
        <v>32327.871066666674</v>
      </c>
      <c r="J98" s="345">
        <f>'B) D RI'!U98</f>
        <v>31501.78373333333</v>
      </c>
      <c r="K98" s="62">
        <f t="shared" si="16"/>
        <v>21.591773240197462</v>
      </c>
      <c r="L98" s="33">
        <f>'B) D RI'!S98</f>
        <v>75</v>
      </c>
      <c r="M98" s="433">
        <f t="shared" si="9"/>
        <v>53.408226759802538</v>
      </c>
      <c r="N98" s="428">
        <f>+'J) Plafonnement effort'!H97+'J) Plafonnement effort'!I97-'K) Plafonnement aide'!I97</f>
        <v>6.897219718949934</v>
      </c>
      <c r="O98" s="144">
        <f t="shared" si="10"/>
        <v>60.305446478752472</v>
      </c>
      <c r="P98" s="47">
        <f t="shared" si="11"/>
        <v>0</v>
      </c>
      <c r="Q98" s="55">
        <f t="shared" si="14"/>
        <v>0</v>
      </c>
      <c r="R98" s="144">
        <f t="shared" si="12"/>
        <v>60.305446478752472</v>
      </c>
      <c r="S98" s="124">
        <f t="shared" si="13"/>
        <v>-14.694553521247528</v>
      </c>
      <c r="T98" s="143">
        <f t="shared" si="17"/>
        <v>0</v>
      </c>
      <c r="V98" s="12"/>
    </row>
    <row r="99" spans="1:22" x14ac:dyDescent="0.25">
      <c r="A99" s="49">
        <f>'A) Base RI'!A99</f>
        <v>5555</v>
      </c>
      <c r="B99" s="341" t="str">
        <f>'A) Base RI'!B99</f>
        <v>Corcelles-près-Concise</v>
      </c>
      <c r="C99" s="489">
        <v>274855.9507931628</v>
      </c>
      <c r="D99" s="489">
        <v>82916.12391308209</v>
      </c>
      <c r="E99" s="490">
        <v>0</v>
      </c>
      <c r="F99" s="490">
        <v>0</v>
      </c>
      <c r="G99" s="490">
        <v>0</v>
      </c>
      <c r="H99" s="487">
        <f t="shared" si="15"/>
        <v>357772.07470624486</v>
      </c>
      <c r="I99" s="490">
        <v>13599.529565217395</v>
      </c>
      <c r="J99" s="345">
        <f>'B) D RI'!U99</f>
        <v>13878.246956521738</v>
      </c>
      <c r="K99" s="62">
        <f t="shared" si="16"/>
        <v>26.307680202504542</v>
      </c>
      <c r="L99" s="33">
        <f>'B) D RI'!S99</f>
        <v>69</v>
      </c>
      <c r="M99" s="433">
        <f t="shared" si="9"/>
        <v>42.692319797495458</v>
      </c>
      <c r="N99" s="428">
        <f>+'J) Plafonnement effort'!H98+'J) Plafonnement effort'!I98-'K) Plafonnement aide'!I98</f>
        <v>3.44013548130247</v>
      </c>
      <c r="O99" s="144">
        <f t="shared" si="10"/>
        <v>46.132455278797927</v>
      </c>
      <c r="P99" s="47">
        <f t="shared" si="11"/>
        <v>0</v>
      </c>
      <c r="Q99" s="55">
        <f t="shared" si="14"/>
        <v>0</v>
      </c>
      <c r="R99" s="144">
        <f t="shared" si="12"/>
        <v>46.132455278797927</v>
      </c>
      <c r="S99" s="124">
        <f t="shared" si="13"/>
        <v>-22.867544721202073</v>
      </c>
      <c r="T99" s="143">
        <f t="shared" si="17"/>
        <v>0</v>
      </c>
      <c r="V99" s="12"/>
    </row>
    <row r="100" spans="1:22" x14ac:dyDescent="0.25">
      <c r="A100" s="49">
        <f>'A) Base RI'!A100</f>
        <v>5556</v>
      </c>
      <c r="B100" s="341" t="str">
        <f>'A) Base RI'!B100</f>
        <v>Fiez</v>
      </c>
      <c r="C100" s="489">
        <v>232031.13950293619</v>
      </c>
      <c r="D100" s="489">
        <v>57804.823815376585</v>
      </c>
      <c r="E100" s="490">
        <v>0</v>
      </c>
      <c r="F100" s="490">
        <v>0</v>
      </c>
      <c r="G100" s="490">
        <v>0</v>
      </c>
      <c r="H100" s="487">
        <f t="shared" si="15"/>
        <v>289835.96331831277</v>
      </c>
      <c r="I100" s="490">
        <v>13816.427753623188</v>
      </c>
      <c r="J100" s="345">
        <f>'B) D RI'!U100</f>
        <v>14577.66780193237</v>
      </c>
      <c r="K100" s="62">
        <f t="shared" si="16"/>
        <v>20.977633907021072</v>
      </c>
      <c r="L100" s="33">
        <f>'B) D RI'!S100</f>
        <v>69</v>
      </c>
      <c r="M100" s="433">
        <f t="shared" si="9"/>
        <v>48.022366092978928</v>
      </c>
      <c r="N100" s="428">
        <f>+'J) Plafonnement effort'!H99+'J) Plafonnement effort'!I99-'K) Plafonnement aide'!I99</f>
        <v>13.152249418995053</v>
      </c>
      <c r="O100" s="144">
        <f t="shared" si="10"/>
        <v>61.174615511973983</v>
      </c>
      <c r="P100" s="47">
        <f t="shared" si="11"/>
        <v>0</v>
      </c>
      <c r="Q100" s="55">
        <f t="shared" si="14"/>
        <v>0</v>
      </c>
      <c r="R100" s="144">
        <f t="shared" si="12"/>
        <v>61.174615511973983</v>
      </c>
      <c r="S100" s="124">
        <f t="shared" si="13"/>
        <v>-7.8253844880260175</v>
      </c>
      <c r="T100" s="143">
        <f t="shared" si="17"/>
        <v>0</v>
      </c>
      <c r="V100" s="12"/>
    </row>
    <row r="101" spans="1:22" x14ac:dyDescent="0.25">
      <c r="A101" s="49">
        <f>'A) Base RI'!A101</f>
        <v>5557</v>
      </c>
      <c r="B101" s="341" t="str">
        <f>'A) Base RI'!B101</f>
        <v>Fontaines-sur-Grandson</v>
      </c>
      <c r="C101" s="489">
        <v>111900.11122831932</v>
      </c>
      <c r="D101" s="489">
        <v>-3643.4536940019898</v>
      </c>
      <c r="E101" s="490">
        <v>0</v>
      </c>
      <c r="F101" s="490">
        <v>0</v>
      </c>
      <c r="G101" s="490">
        <v>0</v>
      </c>
      <c r="H101" s="487">
        <f t="shared" si="15"/>
        <v>108256.65753431733</v>
      </c>
      <c r="I101" s="490">
        <v>5880.3275362318818</v>
      </c>
      <c r="J101" s="345">
        <f>'B) D RI'!U101</f>
        <v>4232.7450724637674</v>
      </c>
      <c r="K101" s="62">
        <f t="shared" si="16"/>
        <v>18.409970680593801</v>
      </c>
      <c r="L101" s="33">
        <f>'B) D RI'!S101</f>
        <v>69</v>
      </c>
      <c r="M101" s="433">
        <f t="shared" si="9"/>
        <v>50.590029319406199</v>
      </c>
      <c r="N101" s="428">
        <f>+'J) Plafonnement effort'!H100+'J) Plafonnement effort'!I100-'K) Plafonnement aide'!I100</f>
        <v>-12.377410616062194</v>
      </c>
      <c r="O101" s="144">
        <f t="shared" si="10"/>
        <v>38.212618703344006</v>
      </c>
      <c r="P101" s="47">
        <f t="shared" si="11"/>
        <v>0</v>
      </c>
      <c r="Q101" s="55">
        <f t="shared" si="14"/>
        <v>0</v>
      </c>
      <c r="R101" s="144">
        <f t="shared" si="12"/>
        <v>38.212618703344006</v>
      </c>
      <c r="S101" s="124">
        <f t="shared" si="13"/>
        <v>-30.787381296655994</v>
      </c>
      <c r="T101" s="143">
        <f t="shared" si="17"/>
        <v>0</v>
      </c>
      <c r="V101" s="12"/>
    </row>
    <row r="102" spans="1:22" x14ac:dyDescent="0.25">
      <c r="A102" s="49">
        <f>'A) Base RI'!A102</f>
        <v>5559</v>
      </c>
      <c r="B102" s="341" t="str">
        <f>'A) Base RI'!B102</f>
        <v>Giez</v>
      </c>
      <c r="C102" s="489">
        <v>288310.3121703472</v>
      </c>
      <c r="D102" s="489">
        <v>219286.19522557009</v>
      </c>
      <c r="E102" s="490">
        <v>0</v>
      </c>
      <c r="F102" s="490">
        <v>0</v>
      </c>
      <c r="G102" s="490">
        <v>0</v>
      </c>
      <c r="H102" s="487">
        <f t="shared" si="15"/>
        <v>507596.50739591732</v>
      </c>
      <c r="I102" s="490">
        <v>16897.618636363641</v>
      </c>
      <c r="J102" s="345">
        <f>'B) D RI'!U102</f>
        <v>23436.990303030303</v>
      </c>
      <c r="K102" s="62">
        <f t="shared" si="16"/>
        <v>30.039529138358624</v>
      </c>
      <c r="L102" s="33">
        <f>'B) D RI'!S102</f>
        <v>66</v>
      </c>
      <c r="M102" s="433">
        <f t="shared" si="9"/>
        <v>35.960470861641376</v>
      </c>
      <c r="N102" s="428">
        <f>+'J) Plafonnement effort'!H101+'J) Plafonnement effort'!I101-'K) Plafonnement aide'!I101</f>
        <v>29.619776031866223</v>
      </c>
      <c r="O102" s="144">
        <f t="shared" si="10"/>
        <v>65.580246893507592</v>
      </c>
      <c r="P102" s="47">
        <f t="shared" si="11"/>
        <v>0</v>
      </c>
      <c r="Q102" s="55">
        <f t="shared" si="14"/>
        <v>0</v>
      </c>
      <c r="R102" s="144">
        <f t="shared" si="12"/>
        <v>65.580246893507592</v>
      </c>
      <c r="S102" s="124">
        <f t="shared" si="13"/>
        <v>-0.41975310649240782</v>
      </c>
      <c r="T102" s="143">
        <f t="shared" si="17"/>
        <v>0</v>
      </c>
      <c r="V102" s="12"/>
    </row>
    <row r="103" spans="1:22" x14ac:dyDescent="0.25">
      <c r="A103" s="49">
        <f>'A) Base RI'!A103</f>
        <v>5560</v>
      </c>
      <c r="B103" s="341" t="str">
        <f>'A) Base RI'!B103</f>
        <v>Grandevent</v>
      </c>
      <c r="C103" s="489">
        <v>97393.130952909181</v>
      </c>
      <c r="D103" s="489">
        <v>2645.2588149289077</v>
      </c>
      <c r="E103" s="490">
        <v>0</v>
      </c>
      <c r="F103" s="490">
        <v>0</v>
      </c>
      <c r="G103" s="490">
        <v>0</v>
      </c>
      <c r="H103" s="487">
        <f t="shared" si="15"/>
        <v>100038.38976783809</v>
      </c>
      <c r="I103" s="490">
        <v>6167.8957352941179</v>
      </c>
      <c r="J103" s="345">
        <f>'B) D RI'!U103</f>
        <v>7003.7466176470589</v>
      </c>
      <c r="K103" s="62">
        <f t="shared" si="16"/>
        <v>16.219208958963982</v>
      </c>
      <c r="L103" s="33">
        <f>'B) D RI'!S103</f>
        <v>68</v>
      </c>
      <c r="M103" s="433">
        <f t="shared" si="9"/>
        <v>51.780791041036018</v>
      </c>
      <c r="N103" s="428">
        <f>+'J) Plafonnement effort'!H102+'J) Plafonnement effort'!I102-'K) Plafonnement aide'!I102</f>
        <v>12.541015891799741</v>
      </c>
      <c r="O103" s="144">
        <f t="shared" si="10"/>
        <v>64.321806932835756</v>
      </c>
      <c r="P103" s="47">
        <f t="shared" si="11"/>
        <v>0</v>
      </c>
      <c r="Q103" s="55">
        <f t="shared" si="14"/>
        <v>0</v>
      </c>
      <c r="R103" s="144">
        <f t="shared" si="12"/>
        <v>64.321806932835756</v>
      </c>
      <c r="S103" s="124">
        <f t="shared" si="13"/>
        <v>-3.6781930671642442</v>
      </c>
      <c r="T103" s="143">
        <f t="shared" si="17"/>
        <v>0</v>
      </c>
      <c r="V103" s="12"/>
    </row>
    <row r="104" spans="1:22" x14ac:dyDescent="0.25">
      <c r="A104" s="49">
        <f>'A) Base RI'!A104</f>
        <v>5561</v>
      </c>
      <c r="B104" s="341" t="str">
        <f>'A) Base RI'!B104</f>
        <v>Grandson</v>
      </c>
      <c r="C104" s="489">
        <v>2005411.8275763905</v>
      </c>
      <c r="D104" s="489">
        <v>308291.27032172401</v>
      </c>
      <c r="E104" s="490">
        <v>0</v>
      </c>
      <c r="F104" s="490">
        <v>0</v>
      </c>
      <c r="G104" s="490">
        <v>0</v>
      </c>
      <c r="H104" s="487">
        <f t="shared" si="15"/>
        <v>2313703.0978981145</v>
      </c>
      <c r="I104" s="490">
        <v>114753.11985507245</v>
      </c>
      <c r="J104" s="345">
        <f>'B) D RI'!U104</f>
        <v>114506.05043478261</v>
      </c>
      <c r="K104" s="62">
        <f t="shared" si="16"/>
        <v>20.162441777793997</v>
      </c>
      <c r="L104" s="33">
        <f>'B) D RI'!S104</f>
        <v>69</v>
      </c>
      <c r="M104" s="433">
        <f t="shared" si="9"/>
        <v>48.837558222205999</v>
      </c>
      <c r="N104" s="428">
        <f>+'J) Plafonnement effort'!H103+'J) Plafonnement effort'!I103-'K) Plafonnement aide'!I103</f>
        <v>5.1846063843454955</v>
      </c>
      <c r="O104" s="144">
        <f t="shared" si="10"/>
        <v>54.022164606551492</v>
      </c>
      <c r="P104" s="47">
        <f t="shared" si="11"/>
        <v>0</v>
      </c>
      <c r="Q104" s="55">
        <f t="shared" si="14"/>
        <v>0</v>
      </c>
      <c r="R104" s="144">
        <f t="shared" si="12"/>
        <v>54.022164606551492</v>
      </c>
      <c r="S104" s="124">
        <f t="shared" si="13"/>
        <v>-14.977835393448508</v>
      </c>
      <c r="T104" s="143">
        <f t="shared" si="17"/>
        <v>0</v>
      </c>
      <c r="V104" s="12"/>
    </row>
    <row r="105" spans="1:22" x14ac:dyDescent="0.25">
      <c r="A105" s="49">
        <f>'A) Base RI'!A105</f>
        <v>5562</v>
      </c>
      <c r="B105" s="341" t="str">
        <f>'A) Base RI'!B105</f>
        <v>Mauborget</v>
      </c>
      <c r="C105" s="489">
        <v>94257.011713431872</v>
      </c>
      <c r="D105" s="489">
        <v>97298.546512379544</v>
      </c>
      <c r="E105" s="490">
        <v>0</v>
      </c>
      <c r="F105" s="490">
        <v>0</v>
      </c>
      <c r="G105" s="490">
        <v>0</v>
      </c>
      <c r="H105" s="487">
        <f t="shared" si="15"/>
        <v>191555.5582258114</v>
      </c>
      <c r="I105" s="490">
        <v>6037.1574285714287</v>
      </c>
      <c r="J105" s="345">
        <f>'B) D RI'!U105</f>
        <v>6099.4916904761894</v>
      </c>
      <c r="K105" s="62">
        <f t="shared" si="16"/>
        <v>31.729429038781774</v>
      </c>
      <c r="L105" s="33">
        <f>'B) D RI'!S105</f>
        <v>70</v>
      </c>
      <c r="M105" s="433">
        <f t="shared" si="9"/>
        <v>38.270570961218226</v>
      </c>
      <c r="N105" s="428">
        <f>+'J) Plafonnement effort'!H104+'J) Plafonnement effort'!I104-'K) Plafonnement aide'!I104</f>
        <v>25.146525107543294</v>
      </c>
      <c r="O105" s="144">
        <f t="shared" si="10"/>
        <v>63.417096068761523</v>
      </c>
      <c r="P105" s="47">
        <f t="shared" si="11"/>
        <v>0</v>
      </c>
      <c r="Q105" s="55">
        <f t="shared" si="14"/>
        <v>0</v>
      </c>
      <c r="R105" s="144">
        <f t="shared" si="12"/>
        <v>63.417096068761523</v>
      </c>
      <c r="S105" s="124">
        <f t="shared" si="13"/>
        <v>-6.5829039312384765</v>
      </c>
      <c r="T105" s="143">
        <f t="shared" si="17"/>
        <v>0</v>
      </c>
      <c r="V105" s="12"/>
    </row>
    <row r="106" spans="1:22" x14ac:dyDescent="0.25">
      <c r="A106" s="49">
        <f>'A) Base RI'!A106</f>
        <v>5563</v>
      </c>
      <c r="B106" s="341" t="str">
        <f>'A) Base RI'!B106</f>
        <v>Mutrux</v>
      </c>
      <c r="C106" s="489">
        <v>66849.467838452983</v>
      </c>
      <c r="D106" s="489">
        <v>-20101.52177160501</v>
      </c>
      <c r="E106" s="490">
        <v>0</v>
      </c>
      <c r="F106" s="490">
        <v>0</v>
      </c>
      <c r="G106" s="490">
        <v>0</v>
      </c>
      <c r="H106" s="487">
        <f t="shared" si="15"/>
        <v>46747.946066847973</v>
      </c>
      <c r="I106" s="490">
        <v>4073.5824999999995</v>
      </c>
      <c r="J106" s="345">
        <f>'B) D RI'!U106</f>
        <v>4282.2314999999999</v>
      </c>
      <c r="K106" s="62">
        <f t="shared" si="16"/>
        <v>11.475880522082953</v>
      </c>
      <c r="L106" s="33">
        <f>'B) D RI'!S106</f>
        <v>80</v>
      </c>
      <c r="M106" s="433">
        <f t="shared" si="9"/>
        <v>68.524119477917054</v>
      </c>
      <c r="N106" s="428">
        <f>+'J) Plafonnement effort'!H105+'J) Plafonnement effort'!I105-'K) Plafonnement aide'!I105</f>
        <v>3.4534247324087843</v>
      </c>
      <c r="O106" s="144">
        <f t="shared" si="10"/>
        <v>71.977544210325846</v>
      </c>
      <c r="P106" s="47">
        <f t="shared" si="11"/>
        <v>0</v>
      </c>
      <c r="Q106" s="55">
        <f t="shared" si="14"/>
        <v>0</v>
      </c>
      <c r="R106" s="144">
        <f t="shared" si="12"/>
        <v>71.977544210325846</v>
      </c>
      <c r="S106" s="124">
        <f t="shared" si="13"/>
        <v>-8.0224557896741544</v>
      </c>
      <c r="T106" s="143">
        <f t="shared" si="17"/>
        <v>0</v>
      </c>
      <c r="V106" s="12"/>
    </row>
    <row r="107" spans="1:22" x14ac:dyDescent="0.25">
      <c r="A107" s="49">
        <f>'A) Base RI'!A107</f>
        <v>5564</v>
      </c>
      <c r="B107" s="341" t="str">
        <f>'A) Base RI'!B107</f>
        <v>Novalles</v>
      </c>
      <c r="C107" s="489">
        <v>41678.590340022987</v>
      </c>
      <c r="D107" s="489">
        <v>-34235.440749052483</v>
      </c>
      <c r="E107" s="490">
        <v>0</v>
      </c>
      <c r="F107" s="490">
        <v>0</v>
      </c>
      <c r="G107" s="490">
        <v>0</v>
      </c>
      <c r="H107" s="487">
        <f t="shared" si="15"/>
        <v>7443.1495909705045</v>
      </c>
      <c r="I107" s="490">
        <v>2091.5044407894734</v>
      </c>
      <c r="J107" s="345">
        <f>'B) D RI'!U107</f>
        <v>2099.5480592105264</v>
      </c>
      <c r="K107" s="62">
        <f t="shared" si="16"/>
        <v>3.5587539026027422</v>
      </c>
      <c r="L107" s="33">
        <f>'B) D RI'!S107</f>
        <v>76</v>
      </c>
      <c r="M107" s="433">
        <f t="shared" si="9"/>
        <v>72.441246097397254</v>
      </c>
      <c r="N107" s="428">
        <f>+'J) Plafonnement effort'!H106+'J) Plafonnement effort'!I106-'K) Plafonnement aide'!I106</f>
        <v>-21.807157578961345</v>
      </c>
      <c r="O107" s="144">
        <f t="shared" si="10"/>
        <v>50.63408851843591</v>
      </c>
      <c r="P107" s="47">
        <f t="shared" si="11"/>
        <v>0</v>
      </c>
      <c r="Q107" s="55">
        <f t="shared" si="14"/>
        <v>0</v>
      </c>
      <c r="R107" s="144">
        <f t="shared" si="12"/>
        <v>50.63408851843591</v>
      </c>
      <c r="S107" s="124">
        <f t="shared" si="13"/>
        <v>-25.36591148156409</v>
      </c>
      <c r="T107" s="143">
        <f t="shared" si="17"/>
        <v>0</v>
      </c>
      <c r="V107" s="12"/>
    </row>
    <row r="108" spans="1:22" x14ac:dyDescent="0.25">
      <c r="A108" s="49">
        <f>'A) Base RI'!A108</f>
        <v>5565</v>
      </c>
      <c r="B108" s="341" t="str">
        <f>'A) Base RI'!B108</f>
        <v>Onnens</v>
      </c>
      <c r="C108" s="489">
        <v>298806.96311218344</v>
      </c>
      <c r="D108" s="489">
        <v>239752.1284530595</v>
      </c>
      <c r="E108" s="490">
        <v>0</v>
      </c>
      <c r="F108" s="490">
        <v>0</v>
      </c>
      <c r="G108" s="490">
        <v>0</v>
      </c>
      <c r="H108" s="487">
        <f t="shared" si="15"/>
        <v>538559.09156524297</v>
      </c>
      <c r="I108" s="490">
        <v>19690.582047244097</v>
      </c>
      <c r="J108" s="345">
        <f>'B) D RI'!U108</f>
        <v>22703.427716535429</v>
      </c>
      <c r="K108" s="62">
        <f t="shared" si="16"/>
        <v>27.351100656804604</v>
      </c>
      <c r="L108" s="33">
        <f>'B) D RI'!S108</f>
        <v>63.5</v>
      </c>
      <c r="M108" s="433">
        <f t="shared" si="9"/>
        <v>36.148899343195396</v>
      </c>
      <c r="N108" s="428">
        <f>+'J) Plafonnement effort'!H107+'J) Plafonnement effort'!I107-'K) Plafonnement aide'!I107</f>
        <v>24.252515051865409</v>
      </c>
      <c r="O108" s="144">
        <f t="shared" si="10"/>
        <v>60.401414395060804</v>
      </c>
      <c r="P108" s="47">
        <f t="shared" si="11"/>
        <v>0</v>
      </c>
      <c r="Q108" s="55">
        <f t="shared" si="14"/>
        <v>0</v>
      </c>
      <c r="R108" s="144">
        <f t="shared" si="12"/>
        <v>60.401414395060804</v>
      </c>
      <c r="S108" s="124">
        <f t="shared" si="13"/>
        <v>-3.0985856049391955</v>
      </c>
      <c r="T108" s="143">
        <f t="shared" si="17"/>
        <v>0</v>
      </c>
      <c r="V108" s="12"/>
    </row>
    <row r="109" spans="1:22" x14ac:dyDescent="0.25">
      <c r="A109" s="49">
        <f>'A) Base RI'!A109</f>
        <v>5566</v>
      </c>
      <c r="B109" s="341" t="str">
        <f>'A) Base RI'!B109</f>
        <v>Provence</v>
      </c>
      <c r="C109" s="489">
        <v>180201.27519057295</v>
      </c>
      <c r="D109" s="489">
        <v>-200003.0434161913</v>
      </c>
      <c r="E109" s="490">
        <v>0</v>
      </c>
      <c r="F109" s="490">
        <v>0</v>
      </c>
      <c r="G109" s="490">
        <v>0</v>
      </c>
      <c r="H109" s="487">
        <f t="shared" si="15"/>
        <v>-19801.768225618347</v>
      </c>
      <c r="I109" s="490">
        <v>7598.735102880657</v>
      </c>
      <c r="J109" s="345">
        <f>'B) D RI'!U109</f>
        <v>9377.8413580246925</v>
      </c>
      <c r="K109" s="62">
        <f t="shared" si="16"/>
        <v>-2.6059295339972515</v>
      </c>
      <c r="L109" s="33">
        <f>'B) D RI'!S109</f>
        <v>81</v>
      </c>
      <c r="M109" s="433">
        <f t="shared" si="9"/>
        <v>83.605929533997255</v>
      </c>
      <c r="N109" s="428">
        <f>+'J) Plafonnement effort'!H108+'J) Plafonnement effort'!I108-'K) Plafonnement aide'!I108</f>
        <v>-44.928701526932215</v>
      </c>
      <c r="O109" s="144">
        <f t="shared" si="10"/>
        <v>38.67722800706504</v>
      </c>
      <c r="P109" s="47">
        <f t="shared" si="11"/>
        <v>0</v>
      </c>
      <c r="Q109" s="55">
        <f t="shared" si="14"/>
        <v>0</v>
      </c>
      <c r="R109" s="144">
        <f t="shared" si="12"/>
        <v>38.67722800706504</v>
      </c>
      <c r="S109" s="124">
        <f t="shared" si="13"/>
        <v>-42.32277199293496</v>
      </c>
      <c r="T109" s="143">
        <f t="shared" si="17"/>
        <v>0</v>
      </c>
      <c r="V109" s="12"/>
    </row>
    <row r="110" spans="1:22" x14ac:dyDescent="0.25">
      <c r="A110" s="49">
        <f>'A) Base RI'!A110</f>
        <v>5568</v>
      </c>
      <c r="B110" s="341" t="str">
        <f>'A) Base RI'!B110</f>
        <v>Sainte-Croix</v>
      </c>
      <c r="C110" s="489">
        <v>2494518.6654816028</v>
      </c>
      <c r="D110" s="489">
        <v>-2290102.687568591</v>
      </c>
      <c r="E110" s="490">
        <v>0</v>
      </c>
      <c r="F110" s="490">
        <v>0</v>
      </c>
      <c r="G110" s="490">
        <v>0</v>
      </c>
      <c r="H110" s="487">
        <f t="shared" si="15"/>
        <v>204415.9779130118</v>
      </c>
      <c r="I110" s="490">
        <v>106515.47628571428</v>
      </c>
      <c r="J110" s="345">
        <f>'B) D RI'!U110</f>
        <v>109171.87199999999</v>
      </c>
      <c r="K110" s="62">
        <f t="shared" si="16"/>
        <v>1.9191199724319103</v>
      </c>
      <c r="L110" s="33">
        <f>'B) D RI'!S110</f>
        <v>70</v>
      </c>
      <c r="M110" s="433">
        <f t="shared" si="9"/>
        <v>68.080880027568085</v>
      </c>
      <c r="N110" s="428">
        <f>+'J) Plafonnement effort'!H109+'J) Plafonnement effort'!I109-'K) Plafonnement aide'!I109</f>
        <v>-23.579056748989302</v>
      </c>
      <c r="O110" s="144">
        <f t="shared" si="10"/>
        <v>44.501823278578783</v>
      </c>
      <c r="P110" s="47">
        <f t="shared" si="11"/>
        <v>0</v>
      </c>
      <c r="Q110" s="55">
        <f t="shared" si="14"/>
        <v>0</v>
      </c>
      <c r="R110" s="144">
        <f t="shared" si="12"/>
        <v>44.501823278578783</v>
      </c>
      <c r="S110" s="124">
        <f t="shared" si="13"/>
        <v>-25.498176721421217</v>
      </c>
      <c r="T110" s="143">
        <f t="shared" si="17"/>
        <v>0</v>
      </c>
      <c r="V110" s="12"/>
    </row>
    <row r="111" spans="1:22" x14ac:dyDescent="0.25">
      <c r="A111" s="49">
        <f>'A) Base RI'!A111</f>
        <v>5571</v>
      </c>
      <c r="B111" s="341" t="str">
        <f>'A) Base RI'!B111</f>
        <v>Tévenon</v>
      </c>
      <c r="C111" s="489">
        <v>364138.83593013941</v>
      </c>
      <c r="D111" s="489">
        <v>-145859.03233219893</v>
      </c>
      <c r="E111" s="490">
        <v>0</v>
      </c>
      <c r="F111" s="490">
        <v>0</v>
      </c>
      <c r="G111" s="490">
        <v>0</v>
      </c>
      <c r="H111" s="487">
        <f t="shared" si="15"/>
        <v>218279.80359794048</v>
      </c>
      <c r="I111" s="490">
        <v>21380.087226107229</v>
      </c>
      <c r="J111" s="345">
        <f>'B) D RI'!U111</f>
        <v>25325.239790209791</v>
      </c>
      <c r="K111" s="62">
        <f t="shared" si="16"/>
        <v>10.209490788765303</v>
      </c>
      <c r="L111" s="33">
        <f>'B) D RI'!S111</f>
        <v>71.5</v>
      </c>
      <c r="M111" s="433">
        <f t="shared" si="9"/>
        <v>61.290509211234699</v>
      </c>
      <c r="N111" s="428">
        <f>+'J) Plafonnement effort'!H110+'J) Plafonnement effort'!I110-'K) Plafonnement aide'!I110</f>
        <v>3.7162517553161676</v>
      </c>
      <c r="O111" s="144">
        <f t="shared" si="10"/>
        <v>65.006760966550871</v>
      </c>
      <c r="P111" s="47">
        <f t="shared" si="11"/>
        <v>0</v>
      </c>
      <c r="Q111" s="55">
        <f t="shared" si="14"/>
        <v>0</v>
      </c>
      <c r="R111" s="144">
        <f t="shared" si="12"/>
        <v>65.006760966550871</v>
      </c>
      <c r="S111" s="124">
        <f t="shared" si="13"/>
        <v>-6.4932390334491288</v>
      </c>
      <c r="T111" s="143">
        <f t="shared" si="17"/>
        <v>0</v>
      </c>
      <c r="V111" s="12"/>
    </row>
    <row r="112" spans="1:22" x14ac:dyDescent="0.25">
      <c r="A112" s="49">
        <f>'A) Base RI'!A112</f>
        <v>5581</v>
      </c>
      <c r="B112" s="341" t="str">
        <f>'A) Base RI'!B112</f>
        <v>Belmont-sur-Lausanne</v>
      </c>
      <c r="C112" s="489">
        <v>4139273.2512621372</v>
      </c>
      <c r="D112" s="489">
        <v>2877999.7886336609</v>
      </c>
      <c r="E112" s="490">
        <v>0</v>
      </c>
      <c r="F112" s="490">
        <v>0</v>
      </c>
      <c r="G112" s="490">
        <v>0</v>
      </c>
      <c r="H112" s="487">
        <f t="shared" si="15"/>
        <v>7017273.0398957981</v>
      </c>
      <c r="I112" s="490">
        <v>212445.65069444443</v>
      </c>
      <c r="J112" s="345">
        <f>'B) D RI'!U112</f>
        <v>215435.94296296299</v>
      </c>
      <c r="K112" s="62">
        <f t="shared" si="16"/>
        <v>33.030909397098348</v>
      </c>
      <c r="L112" s="33">
        <f>'B) D RI'!S112</f>
        <v>72</v>
      </c>
      <c r="M112" s="433">
        <f t="shared" si="9"/>
        <v>38.969090602901652</v>
      </c>
      <c r="N112" s="428">
        <f>+'J) Plafonnement effort'!H111+'J) Plafonnement effort'!I111-'K) Plafonnement aide'!I111</f>
        <v>23.103481592005483</v>
      </c>
      <c r="O112" s="144">
        <f t="shared" si="10"/>
        <v>62.072572194907139</v>
      </c>
      <c r="P112" s="47">
        <f t="shared" si="11"/>
        <v>0</v>
      </c>
      <c r="Q112" s="55">
        <f t="shared" si="14"/>
        <v>0</v>
      </c>
      <c r="R112" s="144">
        <f t="shared" si="12"/>
        <v>62.072572194907139</v>
      </c>
      <c r="S112" s="124">
        <f t="shared" si="13"/>
        <v>-9.9274278050928615</v>
      </c>
      <c r="T112" s="143">
        <f t="shared" si="17"/>
        <v>0</v>
      </c>
      <c r="V112" s="12"/>
    </row>
    <row r="113" spans="1:22" x14ac:dyDescent="0.25">
      <c r="A113" s="49">
        <f>'A) Base RI'!A113</f>
        <v>5582</v>
      </c>
      <c r="B113" s="341" t="str">
        <f>'A) Base RI'!B113</f>
        <v>Cheseaux-sur-Lausanne</v>
      </c>
      <c r="C113" s="489">
        <v>2653387.5565293743</v>
      </c>
      <c r="D113" s="489">
        <v>646545.33138061594</v>
      </c>
      <c r="E113" s="490">
        <v>0</v>
      </c>
      <c r="F113" s="490">
        <v>0</v>
      </c>
      <c r="G113" s="490">
        <v>0</v>
      </c>
      <c r="H113" s="487">
        <f t="shared" si="15"/>
        <v>3299932.8879099903</v>
      </c>
      <c r="I113" s="490">
        <v>163780.29383561644</v>
      </c>
      <c r="J113" s="345">
        <f>'B) D RI'!U113</f>
        <v>167506.84698630136</v>
      </c>
      <c r="K113" s="62">
        <f t="shared" si="16"/>
        <v>20.148534421498095</v>
      </c>
      <c r="L113" s="33">
        <f>'B) D RI'!S113</f>
        <v>73</v>
      </c>
      <c r="M113" s="433">
        <f t="shared" si="9"/>
        <v>52.851465578501902</v>
      </c>
      <c r="N113" s="428">
        <f>+'J) Plafonnement effort'!H112+'J) Plafonnement effort'!I112-'K) Plafonnement aide'!I112</f>
        <v>12.674372574741458</v>
      </c>
      <c r="O113" s="144">
        <f t="shared" si="10"/>
        <v>65.525838153243356</v>
      </c>
      <c r="P113" s="47">
        <f t="shared" si="11"/>
        <v>0</v>
      </c>
      <c r="Q113" s="55">
        <f t="shared" si="14"/>
        <v>0</v>
      </c>
      <c r="R113" s="144">
        <f t="shared" si="12"/>
        <v>65.525838153243356</v>
      </c>
      <c r="S113" s="124">
        <f t="shared" si="13"/>
        <v>-7.474161846756644</v>
      </c>
      <c r="T113" s="143">
        <f t="shared" si="17"/>
        <v>0</v>
      </c>
      <c r="V113" s="12"/>
    </row>
    <row r="114" spans="1:22" x14ac:dyDescent="0.25">
      <c r="A114" s="49">
        <f>'A) Base RI'!A114</f>
        <v>5583</v>
      </c>
      <c r="B114" s="341" t="str">
        <f>'A) Base RI'!B114</f>
        <v>Crissier</v>
      </c>
      <c r="C114" s="489">
        <v>6417084.6823815387</v>
      </c>
      <c r="D114" s="489">
        <v>2217048.6353091607</v>
      </c>
      <c r="E114" s="490">
        <v>0</v>
      </c>
      <c r="F114" s="490">
        <v>0</v>
      </c>
      <c r="G114" s="490">
        <v>0</v>
      </c>
      <c r="H114" s="487">
        <f t="shared" si="15"/>
        <v>8634133.3176907003</v>
      </c>
      <c r="I114" s="490">
        <v>368095.30976377946</v>
      </c>
      <c r="J114" s="345">
        <f>'B) D RI'!U114</f>
        <v>337550.36173228343</v>
      </c>
      <c r="K114" s="62">
        <f t="shared" si="16"/>
        <v>23.45624377347146</v>
      </c>
      <c r="L114" s="33">
        <f>'B) D RI'!S114</f>
        <v>63.5</v>
      </c>
      <c r="M114" s="433">
        <f t="shared" si="9"/>
        <v>40.043756226528544</v>
      </c>
      <c r="N114" s="428">
        <f>+'J) Plafonnement effort'!H113+'J) Plafonnement effort'!I113-'K) Plafonnement aide'!I113</f>
        <v>5.1554016323511185</v>
      </c>
      <c r="O114" s="144">
        <f t="shared" si="10"/>
        <v>45.199157858879659</v>
      </c>
      <c r="P114" s="47">
        <f t="shared" si="11"/>
        <v>0</v>
      </c>
      <c r="Q114" s="55">
        <f t="shared" si="14"/>
        <v>0</v>
      </c>
      <c r="R114" s="144">
        <f t="shared" si="12"/>
        <v>45.199157858879659</v>
      </c>
      <c r="S114" s="124">
        <f t="shared" si="13"/>
        <v>-18.300842141120341</v>
      </c>
      <c r="T114" s="143">
        <f t="shared" si="17"/>
        <v>0</v>
      </c>
      <c r="V114" s="12"/>
    </row>
    <row r="115" spans="1:22" x14ac:dyDescent="0.25">
      <c r="A115" s="49">
        <f>'A) Base RI'!A115</f>
        <v>5584</v>
      </c>
      <c r="B115" s="341" t="str">
        <f>'A) Base RI'!B115</f>
        <v>Epalinges</v>
      </c>
      <c r="C115" s="489">
        <v>8533969.7987963576</v>
      </c>
      <c r="D115" s="489">
        <v>4411709.440325371</v>
      </c>
      <c r="E115" s="490">
        <v>0</v>
      </c>
      <c r="F115" s="490">
        <v>0</v>
      </c>
      <c r="G115" s="490">
        <v>0</v>
      </c>
      <c r="H115" s="487">
        <f t="shared" si="15"/>
        <v>12945679.239121728</v>
      </c>
      <c r="I115" s="490">
        <v>482115.91751937981</v>
      </c>
      <c r="J115" s="345">
        <f>'B) D RI'!U115</f>
        <v>516766.84201550385</v>
      </c>
      <c r="K115" s="62">
        <f t="shared" si="16"/>
        <v>26.851798019303821</v>
      </c>
      <c r="L115" s="33">
        <f>'B) D RI'!S115</f>
        <v>64.5</v>
      </c>
      <c r="M115" s="433">
        <f t="shared" ref="M115:M166" si="18">L115-K115</f>
        <v>37.648201980696179</v>
      </c>
      <c r="N115" s="428">
        <f>+'J) Plafonnement effort'!H114+'J) Plafonnement effort'!I114-'K) Plafonnement aide'!I114</f>
        <v>14.656369388148926</v>
      </c>
      <c r="O115" s="144">
        <f t="shared" ref="O115:O166" si="19">M115+N115</f>
        <v>52.304571368845103</v>
      </c>
      <c r="P115" s="47">
        <f t="shared" ref="P115:P166" si="20">IF(O115&gt;$P$6,$P$6-O115,0)</f>
        <v>0</v>
      </c>
      <c r="Q115" s="55">
        <f t="shared" si="14"/>
        <v>0</v>
      </c>
      <c r="R115" s="144">
        <f t="shared" ref="R115:R166" si="21">O115+P115</f>
        <v>52.304571368845103</v>
      </c>
      <c r="S115" s="124">
        <f t="shared" ref="S115:S166" si="22">R115-L115</f>
        <v>-12.195428631154897</v>
      </c>
      <c r="T115" s="143">
        <f t="shared" si="17"/>
        <v>0</v>
      </c>
      <c r="V115" s="12"/>
    </row>
    <row r="116" spans="1:22" x14ac:dyDescent="0.25">
      <c r="A116" s="49">
        <f>'A) Base RI'!A116</f>
        <v>5585</v>
      </c>
      <c r="B116" s="341" t="str">
        <f>'A) Base RI'!B116</f>
        <v>Jouxtens-Mézery</v>
      </c>
      <c r="C116" s="489">
        <v>6571005.0075512184</v>
      </c>
      <c r="D116" s="489">
        <v>3613802.0785479639</v>
      </c>
      <c r="E116" s="490">
        <v>0</v>
      </c>
      <c r="F116" s="490">
        <v>0</v>
      </c>
      <c r="G116" s="490">
        <v>0</v>
      </c>
      <c r="H116" s="487">
        <f t="shared" si="15"/>
        <v>10184807.086099181</v>
      </c>
      <c r="I116" s="490">
        <v>202487.97135593221</v>
      </c>
      <c r="J116" s="345">
        <f>'B) D RI'!U116</f>
        <v>191744.87050847456</v>
      </c>
      <c r="K116" s="62">
        <f t="shared" si="16"/>
        <v>50.298331391726897</v>
      </c>
      <c r="L116" s="33">
        <f>'B) D RI'!S116</f>
        <v>59</v>
      </c>
      <c r="M116" s="433">
        <f t="shared" si="18"/>
        <v>8.7016686082731027</v>
      </c>
      <c r="N116" s="428">
        <f>+'J) Plafonnement effort'!H115+'J) Plafonnement effort'!I115-'K) Plafonnement aide'!I115</f>
        <v>44.297697793456145</v>
      </c>
      <c r="O116" s="144">
        <f t="shared" si="19"/>
        <v>52.999366401729247</v>
      </c>
      <c r="P116" s="47">
        <f t="shared" si="20"/>
        <v>0</v>
      </c>
      <c r="Q116" s="55">
        <f t="shared" si="14"/>
        <v>0</v>
      </c>
      <c r="R116" s="144">
        <f t="shared" si="21"/>
        <v>52.999366401729247</v>
      </c>
      <c r="S116" s="124">
        <f t="shared" si="22"/>
        <v>-6.0006335982707526</v>
      </c>
      <c r="T116" s="143">
        <f t="shared" si="17"/>
        <v>0</v>
      </c>
      <c r="V116" s="12"/>
    </row>
    <row r="117" spans="1:22" x14ac:dyDescent="0.25">
      <c r="A117" s="49">
        <f>'A) Base RI'!A117</f>
        <v>5586</v>
      </c>
      <c r="B117" s="341" t="str">
        <f>'A) Base RI'!B117</f>
        <v>Lausanne</v>
      </c>
      <c r="C117" s="489">
        <v>107364096.49879466</v>
      </c>
      <c r="D117" s="489">
        <v>-32299256.32060793</v>
      </c>
      <c r="E117" s="490">
        <v>0</v>
      </c>
      <c r="F117" s="490">
        <v>0</v>
      </c>
      <c r="G117" s="490">
        <v>0</v>
      </c>
      <c r="H117" s="487">
        <f t="shared" si="15"/>
        <v>75064840.17818673</v>
      </c>
      <c r="I117" s="490">
        <v>6272364.2800849257</v>
      </c>
      <c r="J117" s="345">
        <f>'B) D RI'!U117</f>
        <v>6461491.7137154993</v>
      </c>
      <c r="K117" s="62">
        <f t="shared" si="16"/>
        <v>11.967551122073921</v>
      </c>
      <c r="L117" s="33">
        <f>'B) D RI'!S117</f>
        <v>78.5</v>
      </c>
      <c r="M117" s="433">
        <f t="shared" si="18"/>
        <v>66.532448877926072</v>
      </c>
      <c r="N117" s="428">
        <f>+'J) Plafonnement effort'!H116+'J) Plafonnement effort'!I116-'K) Plafonnement aide'!I116</f>
        <v>-7.6449001863418076E-2</v>
      </c>
      <c r="O117" s="144">
        <f t="shared" si="19"/>
        <v>66.455999876062648</v>
      </c>
      <c r="P117" s="47">
        <f t="shared" si="20"/>
        <v>0</v>
      </c>
      <c r="Q117" s="55">
        <f t="shared" si="14"/>
        <v>0</v>
      </c>
      <c r="R117" s="144">
        <f t="shared" si="21"/>
        <v>66.455999876062648</v>
      </c>
      <c r="S117" s="124">
        <f t="shared" si="22"/>
        <v>-12.044000123937352</v>
      </c>
      <c r="T117" s="143">
        <f t="shared" si="17"/>
        <v>0</v>
      </c>
      <c r="V117" s="12"/>
    </row>
    <row r="118" spans="1:22" x14ac:dyDescent="0.25">
      <c r="A118" s="49">
        <f>'A) Base RI'!A118</f>
        <v>5587</v>
      </c>
      <c r="B118" s="341" t="str">
        <f>'A) Base RI'!B118</f>
        <v>Le Mont-sur-Lausanne</v>
      </c>
      <c r="C118" s="489">
        <v>7766573.4011063259</v>
      </c>
      <c r="D118" s="489">
        <v>4181336.9048212208</v>
      </c>
      <c r="E118" s="490">
        <v>0</v>
      </c>
      <c r="F118" s="490">
        <v>0</v>
      </c>
      <c r="G118" s="490">
        <v>0</v>
      </c>
      <c r="H118" s="487">
        <f t="shared" si="15"/>
        <v>11947910.305927547</v>
      </c>
      <c r="I118" s="490">
        <v>442860.74013605446</v>
      </c>
      <c r="J118" s="345">
        <f>'B) D RI'!U118</f>
        <v>495058.05378684809</v>
      </c>
      <c r="K118" s="62">
        <f t="shared" si="16"/>
        <v>26.978933156858616</v>
      </c>
      <c r="L118" s="33">
        <f>'B) D RI'!S118</f>
        <v>73.5</v>
      </c>
      <c r="M118" s="433">
        <f t="shared" si="18"/>
        <v>46.521066843141384</v>
      </c>
      <c r="N118" s="428">
        <f>+'J) Plafonnement effort'!H117+'J) Plafonnement effort'!I117-'K) Plafonnement aide'!I117</f>
        <v>18.671135962683408</v>
      </c>
      <c r="O118" s="144">
        <f t="shared" si="19"/>
        <v>65.192202805824792</v>
      </c>
      <c r="P118" s="47">
        <f t="shared" si="20"/>
        <v>0</v>
      </c>
      <c r="Q118" s="55">
        <f t="shared" ref="Q118:Q167" si="23">P118*J118</f>
        <v>0</v>
      </c>
      <c r="R118" s="144">
        <f t="shared" si="21"/>
        <v>65.192202805824792</v>
      </c>
      <c r="S118" s="124">
        <f t="shared" si="22"/>
        <v>-8.3077971941752082</v>
      </c>
      <c r="T118" s="143">
        <f t="shared" si="17"/>
        <v>0</v>
      </c>
      <c r="V118" s="12"/>
    </row>
    <row r="119" spans="1:22" x14ac:dyDescent="0.25">
      <c r="A119" s="49">
        <f>'A) Base RI'!A119</f>
        <v>5588</v>
      </c>
      <c r="B119" s="341" t="str">
        <f>'A) Base RI'!B119</f>
        <v>Paudex</v>
      </c>
      <c r="C119" s="489">
        <v>3390338.4250188731</v>
      </c>
      <c r="D119" s="489">
        <v>2284964.15709583</v>
      </c>
      <c r="E119" s="490">
        <v>0</v>
      </c>
      <c r="F119" s="490">
        <v>0</v>
      </c>
      <c r="G119" s="490">
        <v>0</v>
      </c>
      <c r="H119" s="487">
        <f t="shared" si="15"/>
        <v>5675302.582114703</v>
      </c>
      <c r="I119" s="490">
        <v>135448.58760472611</v>
      </c>
      <c r="J119" s="345">
        <f>'B) D RI'!U119</f>
        <v>215756.29785177234</v>
      </c>
      <c r="K119" s="62">
        <f t="shared" si="16"/>
        <v>41.900049919137572</v>
      </c>
      <c r="L119" s="33">
        <f>'B) D RI'!S119</f>
        <v>66.5</v>
      </c>
      <c r="M119" s="433">
        <f t="shared" si="18"/>
        <v>24.599950080862428</v>
      </c>
      <c r="N119" s="428">
        <f>+'J) Plafonnement effort'!H118+'J) Plafonnement effort'!I118-'K) Plafonnement aide'!I118</f>
        <v>47.201896533994599</v>
      </c>
      <c r="O119" s="144">
        <f t="shared" si="19"/>
        <v>71.801846614857027</v>
      </c>
      <c r="P119" s="47">
        <f t="shared" si="20"/>
        <v>0</v>
      </c>
      <c r="Q119" s="55">
        <f t="shared" si="23"/>
        <v>0</v>
      </c>
      <c r="R119" s="144">
        <f t="shared" si="21"/>
        <v>71.801846614857027</v>
      </c>
      <c r="S119" s="124">
        <f t="shared" si="22"/>
        <v>5.3018466148570269</v>
      </c>
      <c r="T119" s="143">
        <f t="shared" si="17"/>
        <v>0</v>
      </c>
      <c r="V119" s="12"/>
    </row>
    <row r="120" spans="1:22" x14ac:dyDescent="0.25">
      <c r="A120" s="49">
        <f>'A) Base RI'!A120</f>
        <v>5589</v>
      </c>
      <c r="B120" s="341" t="str">
        <f>'A) Base RI'!B120</f>
        <v>Prilly</v>
      </c>
      <c r="C120" s="489">
        <v>7469125.6772778761</v>
      </c>
      <c r="D120" s="489">
        <v>-1363655.1455510445</v>
      </c>
      <c r="E120" s="490">
        <v>0</v>
      </c>
      <c r="F120" s="490">
        <v>0</v>
      </c>
      <c r="G120" s="490">
        <v>0</v>
      </c>
      <c r="H120" s="487">
        <f t="shared" si="15"/>
        <v>6105470.5317268316</v>
      </c>
      <c r="I120" s="490">
        <v>455017.22467904515</v>
      </c>
      <c r="J120" s="345">
        <f>'B) D RI'!U120</f>
        <v>419549.81642440322</v>
      </c>
      <c r="K120" s="62">
        <f t="shared" si="16"/>
        <v>13.418108591457035</v>
      </c>
      <c r="L120" s="33">
        <f>'B) D RI'!S120</f>
        <v>72.5</v>
      </c>
      <c r="M120" s="433">
        <f t="shared" si="18"/>
        <v>59.081891408542965</v>
      </c>
      <c r="N120" s="428">
        <f>+'J) Plafonnement effort'!H119+'J) Plafonnement effort'!I119-'K) Plafonnement aide'!I119</f>
        <v>-2.8612457007342957</v>
      </c>
      <c r="O120" s="144">
        <f t="shared" si="19"/>
        <v>56.220645707808671</v>
      </c>
      <c r="P120" s="47">
        <f t="shared" si="20"/>
        <v>0</v>
      </c>
      <c r="Q120" s="55">
        <f t="shared" si="23"/>
        <v>0</v>
      </c>
      <c r="R120" s="144">
        <f t="shared" si="21"/>
        <v>56.220645707808671</v>
      </c>
      <c r="S120" s="124">
        <f t="shared" si="22"/>
        <v>-16.279354292191329</v>
      </c>
      <c r="T120" s="143">
        <f t="shared" si="17"/>
        <v>0</v>
      </c>
      <c r="V120" s="12"/>
    </row>
    <row r="121" spans="1:22" x14ac:dyDescent="0.25">
      <c r="A121" s="49">
        <f>'A) Base RI'!A121</f>
        <v>5590</v>
      </c>
      <c r="B121" s="341" t="str">
        <f>'A) Base RI'!B121</f>
        <v>Pully</v>
      </c>
      <c r="C121" s="489">
        <v>34786079.014439844</v>
      </c>
      <c r="D121" s="489">
        <v>14805667.362316988</v>
      </c>
      <c r="E121" s="490">
        <v>0</v>
      </c>
      <c r="F121" s="490">
        <v>0</v>
      </c>
      <c r="G121" s="490">
        <v>0</v>
      </c>
      <c r="H121" s="487">
        <f t="shared" si="15"/>
        <v>49591746.376756832</v>
      </c>
      <c r="I121" s="490">
        <v>1478979.5848477751</v>
      </c>
      <c r="J121" s="345">
        <f>'B) D RI'!U121</f>
        <v>1603030.9692740045</v>
      </c>
      <c r="K121" s="62">
        <f t="shared" si="16"/>
        <v>33.531055387665205</v>
      </c>
      <c r="L121" s="33">
        <f>'B) D RI'!S121</f>
        <v>61</v>
      </c>
      <c r="M121" s="433">
        <f t="shared" si="18"/>
        <v>27.468944612334795</v>
      </c>
      <c r="N121" s="428">
        <f>+'J) Plafonnement effort'!H120+'J) Plafonnement effort'!I120-'K) Plafonnement aide'!I120</f>
        <v>28.638310128970517</v>
      </c>
      <c r="O121" s="144">
        <f t="shared" si="19"/>
        <v>56.107254741305312</v>
      </c>
      <c r="P121" s="47">
        <f t="shared" si="20"/>
        <v>0</v>
      </c>
      <c r="Q121" s="55">
        <f t="shared" si="23"/>
        <v>0</v>
      </c>
      <c r="R121" s="144">
        <f t="shared" si="21"/>
        <v>56.107254741305312</v>
      </c>
      <c r="S121" s="124">
        <f t="shared" si="22"/>
        <v>-4.8927452586946885</v>
      </c>
      <c r="T121" s="143">
        <f t="shared" si="17"/>
        <v>0</v>
      </c>
      <c r="V121" s="12"/>
    </row>
    <row r="122" spans="1:22" x14ac:dyDescent="0.25">
      <c r="A122" s="49">
        <f>'A) Base RI'!A122</f>
        <v>5591</v>
      </c>
      <c r="B122" s="341" t="str">
        <f>'A) Base RI'!B122</f>
        <v>Renens</v>
      </c>
      <c r="C122" s="489">
        <v>10966024.251762632</v>
      </c>
      <c r="D122" s="489">
        <v>-14077044.167692883</v>
      </c>
      <c r="E122" s="490">
        <v>0</v>
      </c>
      <c r="F122" s="490">
        <v>0</v>
      </c>
      <c r="G122" s="490">
        <v>0</v>
      </c>
      <c r="H122" s="487">
        <f t="shared" si="15"/>
        <v>-3111019.9159302507</v>
      </c>
      <c r="I122" s="490">
        <v>596748.60283858993</v>
      </c>
      <c r="J122" s="345">
        <f>'B) D RI'!U122</f>
        <v>569784.47115027823</v>
      </c>
      <c r="K122" s="62">
        <f t="shared" si="16"/>
        <v>-5.2132839543014855</v>
      </c>
      <c r="L122" s="33">
        <f>'B) D RI'!S122</f>
        <v>77</v>
      </c>
      <c r="M122" s="433">
        <f t="shared" si="18"/>
        <v>82.213283954301488</v>
      </c>
      <c r="N122" s="428">
        <f>+'J) Plafonnement effort'!H121+'J) Plafonnement effort'!I121-'K) Plafonnement aide'!I121</f>
        <v>-25.817383286356304</v>
      </c>
      <c r="O122" s="144">
        <f t="shared" si="19"/>
        <v>56.395900667945185</v>
      </c>
      <c r="P122" s="47">
        <f t="shared" si="20"/>
        <v>0</v>
      </c>
      <c r="Q122" s="55">
        <f t="shared" si="23"/>
        <v>0</v>
      </c>
      <c r="R122" s="144">
        <f t="shared" si="21"/>
        <v>56.395900667945185</v>
      </c>
      <c r="S122" s="124">
        <f t="shared" si="22"/>
        <v>-20.604099332054815</v>
      </c>
      <c r="T122" s="143">
        <f t="shared" si="17"/>
        <v>0</v>
      </c>
      <c r="V122" s="12"/>
    </row>
    <row r="123" spans="1:22" x14ac:dyDescent="0.25">
      <c r="A123" s="49">
        <f>'A) Base RI'!A123</f>
        <v>5592</v>
      </c>
      <c r="B123" s="341" t="str">
        <f>'A) Base RI'!B123</f>
        <v>Romanel-sur-Lausanne</v>
      </c>
      <c r="C123" s="489">
        <v>1911741.5611728155</v>
      </c>
      <c r="D123" s="489">
        <v>683387.13372994866</v>
      </c>
      <c r="E123" s="490">
        <v>0</v>
      </c>
      <c r="F123" s="490">
        <v>0</v>
      </c>
      <c r="G123" s="490">
        <v>0</v>
      </c>
      <c r="H123" s="487">
        <f t="shared" si="15"/>
        <v>2595128.6949027642</v>
      </c>
      <c r="I123" s="490">
        <v>121292.24695035459</v>
      </c>
      <c r="J123" s="345">
        <f>'B) D RI'!U123</f>
        <v>121086.56368794327</v>
      </c>
      <c r="K123" s="62">
        <f t="shared" si="16"/>
        <v>21.395668397213889</v>
      </c>
      <c r="L123" s="33">
        <f>'B) D RI'!S123</f>
        <v>70.5</v>
      </c>
      <c r="M123" s="433">
        <f t="shared" si="18"/>
        <v>49.104331602786111</v>
      </c>
      <c r="N123" s="428">
        <f>+'J) Plafonnement effort'!H122+'J) Plafonnement effort'!I122-'K) Plafonnement aide'!I122</f>
        <v>12.234551059216866</v>
      </c>
      <c r="O123" s="144">
        <f t="shared" si="19"/>
        <v>61.338882662002973</v>
      </c>
      <c r="P123" s="47">
        <f t="shared" si="20"/>
        <v>0</v>
      </c>
      <c r="Q123" s="55">
        <f t="shared" si="23"/>
        <v>0</v>
      </c>
      <c r="R123" s="144">
        <f t="shared" si="21"/>
        <v>61.338882662002973</v>
      </c>
      <c r="S123" s="124">
        <f t="shared" si="22"/>
        <v>-9.1611173379970268</v>
      </c>
      <c r="T123" s="143">
        <f t="shared" si="17"/>
        <v>0</v>
      </c>
      <c r="V123" s="12"/>
    </row>
    <row r="124" spans="1:22" x14ac:dyDescent="0.25">
      <c r="A124" s="49">
        <f>'A) Base RI'!A124</f>
        <v>5601</v>
      </c>
      <c r="B124" s="341" t="str">
        <f>'A) Base RI'!B124</f>
        <v>Chexbres</v>
      </c>
      <c r="C124" s="489">
        <v>2171734.0412939899</v>
      </c>
      <c r="D124" s="489">
        <v>1131808.4984345841</v>
      </c>
      <c r="E124" s="490">
        <v>0</v>
      </c>
      <c r="F124" s="490">
        <v>0</v>
      </c>
      <c r="G124" s="490">
        <v>0</v>
      </c>
      <c r="H124" s="487">
        <f t="shared" si="15"/>
        <v>3303542.539728574</v>
      </c>
      <c r="I124" s="490">
        <v>98072.029481481484</v>
      </c>
      <c r="J124" s="345">
        <f>'B) D RI'!U124</f>
        <v>105973.06044444445</v>
      </c>
      <c r="K124" s="62">
        <f t="shared" si="16"/>
        <v>33.684859558783451</v>
      </c>
      <c r="L124" s="33">
        <f>'B) D RI'!S124</f>
        <v>67.5</v>
      </c>
      <c r="M124" s="433">
        <f t="shared" si="18"/>
        <v>33.815140441216549</v>
      </c>
      <c r="N124" s="428">
        <f>+'J) Plafonnement effort'!H123+'J) Plafonnement effort'!I123-'K) Plafonnement aide'!I123</f>
        <v>22.588653652539051</v>
      </c>
      <c r="O124" s="144">
        <f t="shared" si="19"/>
        <v>56.4037940937556</v>
      </c>
      <c r="P124" s="47">
        <f t="shared" si="20"/>
        <v>0</v>
      </c>
      <c r="Q124" s="55">
        <f t="shared" si="23"/>
        <v>0</v>
      </c>
      <c r="R124" s="144">
        <f t="shared" si="21"/>
        <v>56.4037940937556</v>
      </c>
      <c r="S124" s="124">
        <f t="shared" si="22"/>
        <v>-11.0962059062444</v>
      </c>
      <c r="T124" s="143">
        <f t="shared" si="17"/>
        <v>0</v>
      </c>
      <c r="V124" s="12"/>
    </row>
    <row r="125" spans="1:22" x14ac:dyDescent="0.25">
      <c r="A125" s="49">
        <f>'A) Base RI'!A125</f>
        <v>5604</v>
      </c>
      <c r="B125" s="341" t="str">
        <f>'A) Base RI'!B125</f>
        <v>Forel (Lavaux)</v>
      </c>
      <c r="C125" s="489">
        <v>1152458.5534235996</v>
      </c>
      <c r="D125" s="489">
        <v>284260.88359808759</v>
      </c>
      <c r="E125" s="490">
        <v>0</v>
      </c>
      <c r="F125" s="490">
        <v>0</v>
      </c>
      <c r="G125" s="490">
        <v>0</v>
      </c>
      <c r="H125" s="487">
        <f t="shared" si="15"/>
        <v>1436719.4370216872</v>
      </c>
      <c r="I125" s="490">
        <v>71309.914782608685</v>
      </c>
      <c r="J125" s="345">
        <f>'B) D RI'!U125</f>
        <v>75818.919130434777</v>
      </c>
      <c r="K125" s="62">
        <f t="shared" si="16"/>
        <v>20.147541073377912</v>
      </c>
      <c r="L125" s="33">
        <f>'B) D RI'!S125</f>
        <v>69</v>
      </c>
      <c r="M125" s="433">
        <f t="shared" si="18"/>
        <v>48.852458926622091</v>
      </c>
      <c r="N125" s="428">
        <f>+'J) Plafonnement effort'!H124+'J) Plafonnement effort'!I124-'K) Plafonnement aide'!I124</f>
        <v>13.041731727520094</v>
      </c>
      <c r="O125" s="144">
        <f t="shared" si="19"/>
        <v>61.894190654142186</v>
      </c>
      <c r="P125" s="47">
        <f t="shared" si="20"/>
        <v>0</v>
      </c>
      <c r="Q125" s="55">
        <f t="shared" si="23"/>
        <v>0</v>
      </c>
      <c r="R125" s="144">
        <f t="shared" si="21"/>
        <v>61.894190654142186</v>
      </c>
      <c r="S125" s="124">
        <f t="shared" si="22"/>
        <v>-7.1058093458578142</v>
      </c>
      <c r="T125" s="143">
        <f t="shared" si="17"/>
        <v>0</v>
      </c>
      <c r="V125" s="12"/>
    </row>
    <row r="126" spans="1:22" x14ac:dyDescent="0.25">
      <c r="A126" s="49">
        <f>'A) Base RI'!A126</f>
        <v>5606</v>
      </c>
      <c r="B126" s="341" t="str">
        <f>'A) Base RI'!B126</f>
        <v>Lutry</v>
      </c>
      <c r="C126" s="489">
        <v>20758556.112360306</v>
      </c>
      <c r="D126" s="489">
        <v>11355160.700088335</v>
      </c>
      <c r="E126" s="490">
        <v>0</v>
      </c>
      <c r="F126" s="490">
        <v>0</v>
      </c>
      <c r="G126" s="490">
        <v>0</v>
      </c>
      <c r="H126" s="487">
        <f t="shared" si="15"/>
        <v>32113716.812448643</v>
      </c>
      <c r="I126" s="490">
        <v>875230.37264550268</v>
      </c>
      <c r="J126" s="345">
        <f>'B) D RI'!U126</f>
        <v>941137.19529100519</v>
      </c>
      <c r="K126" s="62">
        <f t="shared" si="16"/>
        <v>36.691730333101411</v>
      </c>
      <c r="L126" s="33">
        <f>'B) D RI'!S126</f>
        <v>54</v>
      </c>
      <c r="M126" s="433">
        <f t="shared" si="18"/>
        <v>17.308269666898589</v>
      </c>
      <c r="N126" s="428">
        <f>+'J) Plafonnement effort'!H125+'J) Plafonnement effort'!I125-'K) Plafonnement aide'!I125</f>
        <v>30.167685107624564</v>
      </c>
      <c r="O126" s="144">
        <f t="shared" si="19"/>
        <v>47.475954774523153</v>
      </c>
      <c r="P126" s="47">
        <f t="shared" si="20"/>
        <v>0</v>
      </c>
      <c r="Q126" s="55">
        <f t="shared" si="23"/>
        <v>0</v>
      </c>
      <c r="R126" s="144">
        <f t="shared" si="21"/>
        <v>47.475954774523153</v>
      </c>
      <c r="S126" s="124">
        <f t="shared" si="22"/>
        <v>-6.5240452254768471</v>
      </c>
      <c r="T126" s="143">
        <f t="shared" si="17"/>
        <v>0</v>
      </c>
      <c r="V126" s="12"/>
    </row>
    <row r="127" spans="1:22" x14ac:dyDescent="0.25">
      <c r="A127" s="49">
        <f>'A) Base RI'!A127</f>
        <v>5607</v>
      </c>
      <c r="B127" s="341" t="str">
        <f>'A) Base RI'!B127</f>
        <v>Puidoux</v>
      </c>
      <c r="C127" s="489">
        <v>2036400.0670641251</v>
      </c>
      <c r="D127" s="489">
        <v>504958.71324683819</v>
      </c>
      <c r="E127" s="490">
        <v>0</v>
      </c>
      <c r="F127" s="490">
        <v>0</v>
      </c>
      <c r="G127" s="490">
        <v>0</v>
      </c>
      <c r="H127" s="487">
        <f t="shared" si="15"/>
        <v>2541358.7803109633</v>
      </c>
      <c r="I127" s="490">
        <v>102944.97501110758</v>
      </c>
      <c r="J127" s="345">
        <f>'B) D RI'!U127</f>
        <v>111580.38136464616</v>
      </c>
      <c r="K127" s="62">
        <f t="shared" si="16"/>
        <v>24.686574357191841</v>
      </c>
      <c r="L127" s="33">
        <f>'B) D RI'!S127</f>
        <v>68.5</v>
      </c>
      <c r="M127" s="433">
        <f t="shared" si="18"/>
        <v>43.813425642808156</v>
      </c>
      <c r="N127" s="428">
        <f>+'J) Plafonnement effort'!H126+'J) Plafonnement effort'!I126-'K) Plafonnement aide'!I126</f>
        <v>9.9983144718883992</v>
      </c>
      <c r="O127" s="144">
        <f t="shared" si="19"/>
        <v>53.811740114696555</v>
      </c>
      <c r="P127" s="47">
        <f t="shared" si="20"/>
        <v>0</v>
      </c>
      <c r="Q127" s="55">
        <f t="shared" si="23"/>
        <v>0</v>
      </c>
      <c r="R127" s="144">
        <f t="shared" si="21"/>
        <v>53.811740114696555</v>
      </c>
      <c r="S127" s="124">
        <f t="shared" si="22"/>
        <v>-14.688259885303445</v>
      </c>
      <c r="T127" s="143">
        <f t="shared" si="17"/>
        <v>0</v>
      </c>
      <c r="V127" s="12"/>
    </row>
    <row r="128" spans="1:22" x14ac:dyDescent="0.25">
      <c r="A128" s="49">
        <f>'A) Base RI'!A128</f>
        <v>5609</v>
      </c>
      <c r="B128" s="341" t="str">
        <f>'A) Base RI'!B128</f>
        <v>Rivaz</v>
      </c>
      <c r="C128" s="489">
        <v>249547.53413099426</v>
      </c>
      <c r="D128" s="489">
        <v>262933.78183587058</v>
      </c>
      <c r="E128" s="490">
        <v>0</v>
      </c>
      <c r="F128" s="490">
        <v>0</v>
      </c>
      <c r="G128" s="490">
        <v>0</v>
      </c>
      <c r="H128" s="487">
        <f t="shared" si="15"/>
        <v>512481.31596686481</v>
      </c>
      <c r="I128" s="490">
        <v>16048.850483870969</v>
      </c>
      <c r="J128" s="345">
        <f>'B) D RI'!U128</f>
        <v>14896.510161290325</v>
      </c>
      <c r="K128" s="62">
        <f t="shared" si="16"/>
        <v>31.932587102229316</v>
      </c>
      <c r="L128" s="33">
        <f>'B) D RI'!S128</f>
        <v>62</v>
      </c>
      <c r="M128" s="433">
        <f t="shared" si="18"/>
        <v>30.067412897770684</v>
      </c>
      <c r="N128" s="428">
        <f>+'J) Plafonnement effort'!H127+'J) Plafonnement effort'!I127-'K) Plafonnement aide'!I127</f>
        <v>23.540160788578611</v>
      </c>
      <c r="O128" s="144">
        <f t="shared" si="19"/>
        <v>53.607573686349298</v>
      </c>
      <c r="P128" s="47">
        <f t="shared" si="20"/>
        <v>0</v>
      </c>
      <c r="Q128" s="55">
        <f t="shared" si="23"/>
        <v>0</v>
      </c>
      <c r="R128" s="144">
        <f t="shared" si="21"/>
        <v>53.607573686349298</v>
      </c>
      <c r="S128" s="124">
        <f t="shared" si="22"/>
        <v>-8.3924263136507022</v>
      </c>
      <c r="T128" s="143">
        <f t="shared" si="17"/>
        <v>0</v>
      </c>
      <c r="V128" s="12"/>
    </row>
    <row r="129" spans="1:22" x14ac:dyDescent="0.25">
      <c r="A129" s="49">
        <f>'A) Base RI'!A129</f>
        <v>5610</v>
      </c>
      <c r="B129" s="341" t="str">
        <f>'A) Base RI'!B129</f>
        <v>St-Saphorin (Lavaux)</v>
      </c>
      <c r="C129" s="489">
        <v>331053.79376717017</v>
      </c>
      <c r="D129" s="489">
        <v>320102.97933975811</v>
      </c>
      <c r="E129" s="490">
        <v>0</v>
      </c>
      <c r="F129" s="490">
        <v>0</v>
      </c>
      <c r="G129" s="490">
        <v>0</v>
      </c>
      <c r="H129" s="487">
        <f t="shared" si="15"/>
        <v>651156.77310692822</v>
      </c>
      <c r="I129" s="490">
        <v>19213.723703703701</v>
      </c>
      <c r="J129" s="345">
        <f>'B) D RI'!U129</f>
        <v>23448.462152777778</v>
      </c>
      <c r="K129" s="62">
        <f t="shared" si="16"/>
        <v>33.890191362614893</v>
      </c>
      <c r="L129" s="33">
        <f>'B) D RI'!S129</f>
        <v>72</v>
      </c>
      <c r="M129" s="433">
        <f t="shared" si="18"/>
        <v>38.109808637385107</v>
      </c>
      <c r="N129" s="428">
        <f>+'J) Plafonnement effort'!H128+'J) Plafonnement effort'!I128-'K) Plafonnement aide'!I128</f>
        <v>31.343505230606169</v>
      </c>
      <c r="O129" s="144">
        <f t="shared" si="19"/>
        <v>69.453313867991284</v>
      </c>
      <c r="P129" s="47">
        <f t="shared" si="20"/>
        <v>0</v>
      </c>
      <c r="Q129" s="55">
        <f t="shared" si="23"/>
        <v>0</v>
      </c>
      <c r="R129" s="144">
        <f t="shared" si="21"/>
        <v>69.453313867991284</v>
      </c>
      <c r="S129" s="124">
        <f t="shared" si="22"/>
        <v>-2.5466861320087162</v>
      </c>
      <c r="T129" s="143">
        <f t="shared" si="17"/>
        <v>0</v>
      </c>
      <c r="V129" s="12"/>
    </row>
    <row r="130" spans="1:22" x14ac:dyDescent="0.25">
      <c r="A130" s="49">
        <f>'A) Base RI'!A130</f>
        <v>5611</v>
      </c>
      <c r="B130" s="341" t="str">
        <f>'A) Base RI'!B130</f>
        <v>Savigny</v>
      </c>
      <c r="C130" s="489">
        <v>2374044.3780054618</v>
      </c>
      <c r="D130" s="489">
        <v>1160012.7950854916</v>
      </c>
      <c r="E130" s="490">
        <v>0</v>
      </c>
      <c r="F130" s="490">
        <v>0</v>
      </c>
      <c r="G130" s="490">
        <v>0</v>
      </c>
      <c r="H130" s="487">
        <f t="shared" si="15"/>
        <v>3534057.1730909534</v>
      </c>
      <c r="I130" s="490">
        <v>136715.33886473431</v>
      </c>
      <c r="J130" s="345">
        <f>'B) D RI'!U130</f>
        <v>140983.13330917869</v>
      </c>
      <c r="K130" s="62">
        <f t="shared" si="16"/>
        <v>25.849748846305662</v>
      </c>
      <c r="L130" s="33">
        <f>'B) D RI'!S130</f>
        <v>69</v>
      </c>
      <c r="M130" s="433">
        <f t="shared" si="18"/>
        <v>43.150251153694342</v>
      </c>
      <c r="N130" s="428">
        <f>+'J) Plafonnement effort'!H129+'J) Plafonnement effort'!I129-'K) Plafonnement aide'!I129</f>
        <v>16.175899344542692</v>
      </c>
      <c r="O130" s="144">
        <f t="shared" si="19"/>
        <v>59.326150498237034</v>
      </c>
      <c r="P130" s="47">
        <f t="shared" si="20"/>
        <v>0</v>
      </c>
      <c r="Q130" s="55">
        <f t="shared" si="23"/>
        <v>0</v>
      </c>
      <c r="R130" s="144">
        <f t="shared" si="21"/>
        <v>59.326150498237034</v>
      </c>
      <c r="S130" s="124">
        <f t="shared" si="22"/>
        <v>-9.673849501762966</v>
      </c>
      <c r="T130" s="143">
        <f t="shared" si="17"/>
        <v>0</v>
      </c>
      <c r="V130" s="12"/>
    </row>
    <row r="131" spans="1:22" x14ac:dyDescent="0.25">
      <c r="A131" s="49">
        <f>'A) Base RI'!A131</f>
        <v>5613</v>
      </c>
      <c r="B131" s="341" t="str">
        <f>'A) Base RI'!B131</f>
        <v>Bourg-en-Lavaux</v>
      </c>
      <c r="C131" s="489">
        <v>6755591.6653184881</v>
      </c>
      <c r="D131" s="489">
        <v>4547304.734862607</v>
      </c>
      <c r="E131" s="490">
        <v>0</v>
      </c>
      <c r="F131" s="490">
        <v>0</v>
      </c>
      <c r="G131" s="490">
        <v>0</v>
      </c>
      <c r="H131" s="487">
        <f t="shared" si="15"/>
        <v>11302896.400181096</v>
      </c>
      <c r="I131" s="490">
        <v>343828.17631999997</v>
      </c>
      <c r="J131" s="345">
        <f>'B) D RI'!U131</f>
        <v>357210.57141333341</v>
      </c>
      <c r="K131" s="62">
        <f t="shared" si="16"/>
        <v>32.873676966082968</v>
      </c>
      <c r="L131" s="33">
        <f>'B) D RI'!S131</f>
        <v>62.5</v>
      </c>
      <c r="M131" s="433">
        <f t="shared" si="18"/>
        <v>29.626323033917032</v>
      </c>
      <c r="N131" s="428">
        <f>+'J) Plafonnement effort'!H130+'J) Plafonnement effort'!I130-'K) Plafonnement aide'!I130</f>
        <v>29.346387429960181</v>
      </c>
      <c r="O131" s="144">
        <f t="shared" si="19"/>
        <v>58.972710463877213</v>
      </c>
      <c r="P131" s="47">
        <f t="shared" si="20"/>
        <v>0</v>
      </c>
      <c r="Q131" s="55">
        <f t="shared" si="23"/>
        <v>0</v>
      </c>
      <c r="R131" s="144">
        <f t="shared" si="21"/>
        <v>58.972710463877213</v>
      </c>
      <c r="S131" s="124">
        <f t="shared" si="22"/>
        <v>-3.5272895361227867</v>
      </c>
      <c r="T131" s="143">
        <f t="shared" si="17"/>
        <v>0</v>
      </c>
      <c r="V131" s="12"/>
    </row>
    <row r="132" spans="1:22" x14ac:dyDescent="0.25">
      <c r="A132" s="49">
        <f>'A) Base RI'!A132</f>
        <v>5621</v>
      </c>
      <c r="B132" s="341" t="str">
        <f>'A) Base RI'!B132</f>
        <v>Aclens</v>
      </c>
      <c r="C132" s="489">
        <v>682249.82172647421</v>
      </c>
      <c r="D132" s="489">
        <v>555674.48934232991</v>
      </c>
      <c r="E132" s="490">
        <v>0</v>
      </c>
      <c r="F132" s="490">
        <v>0</v>
      </c>
      <c r="G132" s="490">
        <v>0</v>
      </c>
      <c r="H132" s="487">
        <f t="shared" si="15"/>
        <v>1237924.311068804</v>
      </c>
      <c r="I132" s="490">
        <v>32411.912521994131</v>
      </c>
      <c r="J132" s="345">
        <f>'B) D RI'!U132</f>
        <v>32271.293782991204</v>
      </c>
      <c r="K132" s="62">
        <f t="shared" si="16"/>
        <v>38.193497845237339</v>
      </c>
      <c r="L132" s="33">
        <f>'B) D RI'!S132</f>
        <v>62</v>
      </c>
      <c r="M132" s="433">
        <f t="shared" si="18"/>
        <v>23.806502154762661</v>
      </c>
      <c r="N132" s="428">
        <f>+'J) Plafonnement effort'!H131+'J) Plafonnement effort'!I131-'K) Plafonnement aide'!I131</f>
        <v>30.957062768613902</v>
      </c>
      <c r="O132" s="144">
        <f t="shared" si="19"/>
        <v>54.763564923376563</v>
      </c>
      <c r="P132" s="47">
        <f t="shared" si="20"/>
        <v>0</v>
      </c>
      <c r="Q132" s="55">
        <f t="shared" si="23"/>
        <v>0</v>
      </c>
      <c r="R132" s="144">
        <f t="shared" si="21"/>
        <v>54.763564923376563</v>
      </c>
      <c r="S132" s="124">
        <f t="shared" si="22"/>
        <v>-7.2364350766234367</v>
      </c>
      <c r="T132" s="143">
        <f t="shared" si="17"/>
        <v>0</v>
      </c>
      <c r="V132" s="12"/>
    </row>
    <row r="133" spans="1:22" x14ac:dyDescent="0.25">
      <c r="A133" s="49">
        <f>'A) Base RI'!A133</f>
        <v>5622</v>
      </c>
      <c r="B133" s="341" t="str">
        <f>'A) Base RI'!B133</f>
        <v>Bremblens</v>
      </c>
      <c r="C133" s="489">
        <v>430724.91719349334</v>
      </c>
      <c r="D133" s="489">
        <v>455347.51351743046</v>
      </c>
      <c r="E133" s="490">
        <v>0</v>
      </c>
      <c r="F133" s="490">
        <v>0</v>
      </c>
      <c r="G133" s="490">
        <v>0</v>
      </c>
      <c r="H133" s="487">
        <f t="shared" si="15"/>
        <v>886072.43071092386</v>
      </c>
      <c r="I133" s="490">
        <v>27803.201911764703</v>
      </c>
      <c r="J133" s="345">
        <f>'B) D RI'!U133</f>
        <v>28643.938676470589</v>
      </c>
      <c r="K133" s="62">
        <f t="shared" si="16"/>
        <v>31.869438402200338</v>
      </c>
      <c r="L133" s="33">
        <f>'B) D RI'!S133</f>
        <v>68</v>
      </c>
      <c r="M133" s="433">
        <f t="shared" si="18"/>
        <v>36.130561597799662</v>
      </c>
      <c r="N133" s="428">
        <f>+'J) Plafonnement effort'!H132+'J) Plafonnement effort'!I132-'K) Plafonnement aide'!I132</f>
        <v>27.387042129152405</v>
      </c>
      <c r="O133" s="144">
        <f t="shared" si="19"/>
        <v>63.517603726952068</v>
      </c>
      <c r="P133" s="47">
        <f t="shared" si="20"/>
        <v>0</v>
      </c>
      <c r="Q133" s="55">
        <f t="shared" si="23"/>
        <v>0</v>
      </c>
      <c r="R133" s="144">
        <f t="shared" si="21"/>
        <v>63.517603726952068</v>
      </c>
      <c r="S133" s="124">
        <f t="shared" si="22"/>
        <v>-4.4823962730479323</v>
      </c>
      <c r="T133" s="143">
        <f t="shared" si="17"/>
        <v>0</v>
      </c>
      <c r="V133" s="12"/>
    </row>
    <row r="134" spans="1:22" x14ac:dyDescent="0.25">
      <c r="A134" s="49">
        <f>'A) Base RI'!A134</f>
        <v>5623</v>
      </c>
      <c r="B134" s="341" t="str">
        <f>'A) Base RI'!B134</f>
        <v>Buchillon</v>
      </c>
      <c r="C134" s="489">
        <v>2703523.9792142785</v>
      </c>
      <c r="D134" s="489">
        <v>1723911.1009749363</v>
      </c>
      <c r="E134" s="490">
        <v>0</v>
      </c>
      <c r="F134" s="490">
        <v>0</v>
      </c>
      <c r="G134" s="490">
        <v>0</v>
      </c>
      <c r="H134" s="487">
        <f t="shared" si="15"/>
        <v>4427435.080189215</v>
      </c>
      <c r="I134" s="490">
        <v>94394.012307692305</v>
      </c>
      <c r="J134" s="345">
        <f>'B) D RI'!U134</f>
        <v>89231.951153846152</v>
      </c>
      <c r="K134" s="62">
        <f t="shared" si="16"/>
        <v>46.903770397610451</v>
      </c>
      <c r="L134" s="33">
        <f>'B) D RI'!S134</f>
        <v>52</v>
      </c>
      <c r="M134" s="433">
        <f t="shared" si="18"/>
        <v>5.096229602389549</v>
      </c>
      <c r="N134" s="428">
        <f>+'J) Plafonnement effort'!H133+'J) Plafonnement effort'!I133-'K) Plafonnement aide'!I133</f>
        <v>43.27615740979445</v>
      </c>
      <c r="O134" s="144">
        <f t="shared" si="19"/>
        <v>48.372387012183999</v>
      </c>
      <c r="P134" s="47">
        <f t="shared" si="20"/>
        <v>0</v>
      </c>
      <c r="Q134" s="55">
        <f t="shared" si="23"/>
        <v>0</v>
      </c>
      <c r="R134" s="144">
        <f t="shared" si="21"/>
        <v>48.372387012183999</v>
      </c>
      <c r="S134" s="124">
        <f t="shared" si="22"/>
        <v>-3.6276129878160006</v>
      </c>
      <c r="T134" s="143">
        <f t="shared" si="17"/>
        <v>0</v>
      </c>
      <c r="V134" s="12"/>
    </row>
    <row r="135" spans="1:22" x14ac:dyDescent="0.25">
      <c r="A135" s="49">
        <f>'A) Base RI'!A135</f>
        <v>5624</v>
      </c>
      <c r="B135" s="341" t="str">
        <f>'A) Base RI'!B135</f>
        <v>Bussigny</v>
      </c>
      <c r="C135" s="489">
        <v>6454225.0695142252</v>
      </c>
      <c r="D135" s="489">
        <v>291563.67591784243</v>
      </c>
      <c r="E135" s="490">
        <v>0</v>
      </c>
      <c r="F135" s="490">
        <v>0</v>
      </c>
      <c r="G135" s="490">
        <v>0</v>
      </c>
      <c r="H135" s="487">
        <f t="shared" ref="H135:H198" si="24">SUM(C135:G135)</f>
        <v>6745788.7454320677</v>
      </c>
      <c r="I135" s="490">
        <v>351876.09247999993</v>
      </c>
      <c r="J135" s="345">
        <f>'B) D RI'!U135</f>
        <v>441979.60352000006</v>
      </c>
      <c r="K135" s="62">
        <f t="shared" ref="K135:K198" si="25">H135/I135</f>
        <v>19.170920928126105</v>
      </c>
      <c r="L135" s="33">
        <f>'B) D RI'!S135</f>
        <v>62.5</v>
      </c>
      <c r="M135" s="433">
        <f t="shared" si="18"/>
        <v>43.329079071873892</v>
      </c>
      <c r="N135" s="428">
        <f>+'J) Plafonnement effort'!H134+'J) Plafonnement effort'!I134-'K) Plafonnement aide'!I134</f>
        <v>13.853167746705923</v>
      </c>
      <c r="O135" s="144">
        <f t="shared" si="19"/>
        <v>57.182246818579813</v>
      </c>
      <c r="P135" s="47">
        <f t="shared" si="20"/>
        <v>0</v>
      </c>
      <c r="Q135" s="55">
        <f t="shared" si="23"/>
        <v>0</v>
      </c>
      <c r="R135" s="144">
        <f t="shared" si="21"/>
        <v>57.182246818579813</v>
      </c>
      <c r="S135" s="124">
        <f t="shared" si="22"/>
        <v>-5.317753181420187</v>
      </c>
      <c r="T135" s="143">
        <f t="shared" ref="T135:T198" si="26">+C135+D135+E135+F135+G135-H135</f>
        <v>0</v>
      </c>
      <c r="V135" s="12"/>
    </row>
    <row r="136" spans="1:22" x14ac:dyDescent="0.25">
      <c r="A136" s="49">
        <f>'A) Base RI'!A136</f>
        <v>5625</v>
      </c>
      <c r="B136" s="341" t="str">
        <f>'A) Base RI'!B136</f>
        <v>Bussy-Chardonney</v>
      </c>
      <c r="C136" s="489">
        <v>333797.10993771115</v>
      </c>
      <c r="D136" s="489">
        <v>248973.12958758726</v>
      </c>
      <c r="E136" s="490">
        <v>0</v>
      </c>
      <c r="F136" s="490">
        <v>0</v>
      </c>
      <c r="G136" s="490">
        <v>0</v>
      </c>
      <c r="H136" s="487">
        <f t="shared" si="24"/>
        <v>582770.23952529836</v>
      </c>
      <c r="I136" s="490">
        <v>17740.486103896103</v>
      </c>
      <c r="J136" s="345">
        <f>'B) D RI'!U136</f>
        <v>21108.495740740738</v>
      </c>
      <c r="K136" s="62">
        <f t="shared" si="25"/>
        <v>32.849733435281259</v>
      </c>
      <c r="L136" s="33">
        <f>'B) D RI'!S136</f>
        <v>72</v>
      </c>
      <c r="M136" s="433">
        <f t="shared" si="18"/>
        <v>39.150266564718741</v>
      </c>
      <c r="N136" s="428">
        <f>+'J) Plafonnement effort'!H135+'J) Plafonnement effort'!I135-'K) Plafonnement aide'!I135</f>
        <v>17.633556603119125</v>
      </c>
      <c r="O136" s="144">
        <f t="shared" si="19"/>
        <v>56.783823167837866</v>
      </c>
      <c r="P136" s="47">
        <f t="shared" si="20"/>
        <v>0</v>
      </c>
      <c r="Q136" s="55">
        <f t="shared" si="23"/>
        <v>0</v>
      </c>
      <c r="R136" s="144">
        <f t="shared" si="21"/>
        <v>56.783823167837866</v>
      </c>
      <c r="S136" s="124">
        <f t="shared" si="22"/>
        <v>-15.216176832162134</v>
      </c>
      <c r="T136" s="143">
        <f t="shared" si="26"/>
        <v>0</v>
      </c>
      <c r="V136" s="12"/>
    </row>
    <row r="137" spans="1:22" x14ac:dyDescent="0.25">
      <c r="A137" s="49">
        <f>'A) Base RI'!A137</f>
        <v>5627</v>
      </c>
      <c r="B137" s="341" t="str">
        <f>'A) Base RI'!B137</f>
        <v>Chavannes-près-Renens</v>
      </c>
      <c r="C137" s="489">
        <v>2702170.6701104902</v>
      </c>
      <c r="D137" s="489">
        <v>-6732896.7903827829</v>
      </c>
      <c r="E137" s="490">
        <v>2735512.5061647659</v>
      </c>
      <c r="F137" s="490">
        <v>0</v>
      </c>
      <c r="G137" s="490">
        <v>0</v>
      </c>
      <c r="H137" s="487">
        <f t="shared" si="24"/>
        <v>-1295213.6141075268</v>
      </c>
      <c r="I137" s="490">
        <v>161901.70176344088</v>
      </c>
      <c r="J137" s="345">
        <f>'B) D RI'!U137</f>
        <v>194072.91458064516</v>
      </c>
      <c r="K137" s="62">
        <f t="shared" si="25"/>
        <v>-7.9999999999999982</v>
      </c>
      <c r="L137" s="33">
        <f>'B) D RI'!S137</f>
        <v>77.5</v>
      </c>
      <c r="M137" s="433">
        <f t="shared" si="18"/>
        <v>85.5</v>
      </c>
      <c r="N137" s="428">
        <f>+'J) Plafonnement effort'!H136+'J) Plafonnement effort'!I136-'K) Plafonnement aide'!I136</f>
        <v>-23.257789289734514</v>
      </c>
      <c r="O137" s="144">
        <f t="shared" si="19"/>
        <v>62.242210710265482</v>
      </c>
      <c r="P137" s="47">
        <f t="shared" si="20"/>
        <v>0</v>
      </c>
      <c r="Q137" s="55">
        <f t="shared" si="23"/>
        <v>0</v>
      </c>
      <c r="R137" s="144">
        <f t="shared" si="21"/>
        <v>62.242210710265482</v>
      </c>
      <c r="S137" s="124">
        <f t="shared" si="22"/>
        <v>-15.257789289734518</v>
      </c>
      <c r="T137" s="143">
        <f t="shared" si="26"/>
        <v>0</v>
      </c>
      <c r="V137" s="12"/>
    </row>
    <row r="138" spans="1:22" x14ac:dyDescent="0.25">
      <c r="A138" s="49">
        <f>'A) Base RI'!A138</f>
        <v>5628</v>
      </c>
      <c r="B138" s="341" t="str">
        <f>'A) Base RI'!B138</f>
        <v>Chigny</v>
      </c>
      <c r="C138" s="489">
        <v>477016.25190432847</v>
      </c>
      <c r="D138" s="489">
        <v>422803.95807461668</v>
      </c>
      <c r="E138" s="490">
        <v>0</v>
      </c>
      <c r="F138" s="490">
        <v>0</v>
      </c>
      <c r="G138" s="490">
        <v>0</v>
      </c>
      <c r="H138" s="487">
        <f t="shared" si="24"/>
        <v>899820.20997894509</v>
      </c>
      <c r="I138" s="490">
        <v>24624.530161290324</v>
      </c>
      <c r="J138" s="345">
        <f>'B) D RI'!U138</f>
        <v>25790.901129032256</v>
      </c>
      <c r="K138" s="62">
        <f t="shared" si="25"/>
        <v>36.541619437412024</v>
      </c>
      <c r="L138" s="33">
        <f>'B) D RI'!S138</f>
        <v>62</v>
      </c>
      <c r="M138" s="433">
        <f t="shared" si="18"/>
        <v>25.458380562587976</v>
      </c>
      <c r="N138" s="428">
        <f>+'J) Plafonnement effort'!H137+'J) Plafonnement effort'!I137-'K) Plafonnement aide'!I137</f>
        <v>32.416378277294953</v>
      </c>
      <c r="O138" s="144">
        <f t="shared" si="19"/>
        <v>57.874758839882929</v>
      </c>
      <c r="P138" s="47">
        <f t="shared" si="20"/>
        <v>0</v>
      </c>
      <c r="Q138" s="55">
        <f t="shared" si="23"/>
        <v>0</v>
      </c>
      <c r="R138" s="144">
        <f t="shared" si="21"/>
        <v>57.874758839882929</v>
      </c>
      <c r="S138" s="124">
        <f t="shared" si="22"/>
        <v>-4.1252411601170706</v>
      </c>
      <c r="T138" s="143">
        <f t="shared" si="26"/>
        <v>0</v>
      </c>
      <c r="V138" s="12"/>
    </row>
    <row r="139" spans="1:22" x14ac:dyDescent="0.25">
      <c r="A139" s="49">
        <f>'A) Base RI'!A139</f>
        <v>5629</v>
      </c>
      <c r="B139" s="341" t="str">
        <f>'A) Base RI'!B139</f>
        <v>Clarmont</v>
      </c>
      <c r="C139" s="489">
        <v>117158.06023827582</v>
      </c>
      <c r="D139" s="489">
        <v>113220.17435216857</v>
      </c>
      <c r="E139" s="490">
        <v>0</v>
      </c>
      <c r="F139" s="490">
        <v>0</v>
      </c>
      <c r="G139" s="490">
        <v>0</v>
      </c>
      <c r="H139" s="487">
        <f t="shared" si="24"/>
        <v>230378.23459044439</v>
      </c>
      <c r="I139" s="490">
        <v>8521.2598639455773</v>
      </c>
      <c r="J139" s="345">
        <f>'B) D RI'!U139</f>
        <v>9948.0614965986406</v>
      </c>
      <c r="K139" s="62">
        <f t="shared" si="25"/>
        <v>27.035701089835435</v>
      </c>
      <c r="L139" s="33">
        <f>'B) D RI'!S139</f>
        <v>73.5</v>
      </c>
      <c r="M139" s="433">
        <f t="shared" si="18"/>
        <v>46.464298910164565</v>
      </c>
      <c r="N139" s="428">
        <f>+'J) Plafonnement effort'!H138+'J) Plafonnement effort'!I138-'K) Plafonnement aide'!I138</f>
        <v>22.72656178736224</v>
      </c>
      <c r="O139" s="144">
        <f t="shared" si="19"/>
        <v>69.190860697526801</v>
      </c>
      <c r="P139" s="47">
        <f t="shared" si="20"/>
        <v>0</v>
      </c>
      <c r="Q139" s="55">
        <f t="shared" si="23"/>
        <v>0</v>
      </c>
      <c r="R139" s="144">
        <f t="shared" si="21"/>
        <v>69.190860697526801</v>
      </c>
      <c r="S139" s="124">
        <f t="shared" si="22"/>
        <v>-4.3091393024731985</v>
      </c>
      <c r="T139" s="143">
        <f t="shared" si="26"/>
        <v>0</v>
      </c>
      <c r="V139" s="12"/>
    </row>
    <row r="140" spans="1:22" x14ac:dyDescent="0.25">
      <c r="A140" s="49">
        <f>'A) Base RI'!A140</f>
        <v>5631</v>
      </c>
      <c r="B140" s="341" t="str">
        <f>'A) Base RI'!B140</f>
        <v>Denens</v>
      </c>
      <c r="C140" s="489">
        <v>886394.91332080564</v>
      </c>
      <c r="D140" s="489">
        <v>740772.71820228873</v>
      </c>
      <c r="E140" s="490">
        <v>0</v>
      </c>
      <c r="F140" s="490">
        <v>0</v>
      </c>
      <c r="G140" s="490">
        <v>0</v>
      </c>
      <c r="H140" s="487">
        <f t="shared" si="24"/>
        <v>1627167.6315230944</v>
      </c>
      <c r="I140" s="490">
        <v>43455.14235294117</v>
      </c>
      <c r="J140" s="345">
        <f>'B) D RI'!U140</f>
        <v>43290.229264705871</v>
      </c>
      <c r="K140" s="62">
        <f t="shared" si="25"/>
        <v>37.444765876206205</v>
      </c>
      <c r="L140" s="33">
        <f>'B) D RI'!S140</f>
        <v>68</v>
      </c>
      <c r="M140" s="433">
        <f t="shared" si="18"/>
        <v>30.555234123793795</v>
      </c>
      <c r="N140" s="428">
        <f>+'J) Plafonnement effort'!H139+'J) Plafonnement effort'!I139-'K) Plafonnement aide'!I139</f>
        <v>31.310099306135992</v>
      </c>
      <c r="O140" s="144">
        <f t="shared" si="19"/>
        <v>61.865333429929791</v>
      </c>
      <c r="P140" s="47">
        <f t="shared" si="20"/>
        <v>0</v>
      </c>
      <c r="Q140" s="55">
        <f t="shared" si="23"/>
        <v>0</v>
      </c>
      <c r="R140" s="144">
        <f t="shared" si="21"/>
        <v>61.865333429929791</v>
      </c>
      <c r="S140" s="124">
        <f t="shared" si="22"/>
        <v>-6.134666570070209</v>
      </c>
      <c r="T140" s="143">
        <f t="shared" si="26"/>
        <v>0</v>
      </c>
      <c r="V140" s="12"/>
    </row>
    <row r="141" spans="1:22" x14ac:dyDescent="0.25">
      <c r="A141" s="49">
        <f>'A) Base RI'!A141</f>
        <v>5632</v>
      </c>
      <c r="B141" s="341" t="str">
        <f>'A) Base RI'!B141</f>
        <v>Denges</v>
      </c>
      <c r="C141" s="489">
        <v>1245757.0991123724</v>
      </c>
      <c r="D141" s="489">
        <v>982538.51927672478</v>
      </c>
      <c r="E141" s="490">
        <v>0</v>
      </c>
      <c r="F141" s="490">
        <v>0</v>
      </c>
      <c r="G141" s="490">
        <v>0</v>
      </c>
      <c r="H141" s="487">
        <f t="shared" si="24"/>
        <v>2228295.618389097</v>
      </c>
      <c r="I141" s="490">
        <v>76479.966774193541</v>
      </c>
      <c r="J141" s="345">
        <f>'B) D RI'!U141</f>
        <v>80521.21435483871</v>
      </c>
      <c r="K141" s="62">
        <f t="shared" si="25"/>
        <v>29.135677124025449</v>
      </c>
      <c r="L141" s="33">
        <f>'B) D RI'!S141</f>
        <v>62</v>
      </c>
      <c r="M141" s="433">
        <f t="shared" si="18"/>
        <v>32.864322875974551</v>
      </c>
      <c r="N141" s="428">
        <f>+'J) Plafonnement effort'!H140+'J) Plafonnement effort'!I140-'K) Plafonnement aide'!I140</f>
        <v>24.02870405164888</v>
      </c>
      <c r="O141" s="144">
        <f t="shared" si="19"/>
        <v>56.893026927623431</v>
      </c>
      <c r="P141" s="47">
        <f t="shared" si="20"/>
        <v>0</v>
      </c>
      <c r="Q141" s="55">
        <f t="shared" si="23"/>
        <v>0</v>
      </c>
      <c r="R141" s="144">
        <f t="shared" si="21"/>
        <v>56.893026927623431</v>
      </c>
      <c r="S141" s="124">
        <f t="shared" si="22"/>
        <v>-5.1069730723765687</v>
      </c>
      <c r="T141" s="143">
        <f t="shared" si="26"/>
        <v>0</v>
      </c>
      <c r="V141" s="12"/>
    </row>
    <row r="142" spans="1:22" x14ac:dyDescent="0.25">
      <c r="A142" s="49">
        <f>'A) Base RI'!A142</f>
        <v>5633</v>
      </c>
      <c r="B142" s="341" t="str">
        <f>'A) Base RI'!B142</f>
        <v>Echandens</v>
      </c>
      <c r="C142" s="489">
        <v>2988302.4791140342</v>
      </c>
      <c r="D142" s="489">
        <v>2116534.274565699</v>
      </c>
      <c r="E142" s="490">
        <v>0</v>
      </c>
      <c r="F142" s="490">
        <v>0</v>
      </c>
      <c r="G142" s="490">
        <v>0</v>
      </c>
      <c r="H142" s="487">
        <f t="shared" si="24"/>
        <v>5104836.7536797337</v>
      </c>
      <c r="I142" s="490">
        <v>148489.97685950415</v>
      </c>
      <c r="J142" s="345">
        <f>'B) D RI'!U142</f>
        <v>168845.50793388431</v>
      </c>
      <c r="K142" s="62">
        <f t="shared" si="25"/>
        <v>34.378325471151129</v>
      </c>
      <c r="L142" s="33">
        <f>'B) D RI'!S142</f>
        <v>60.5</v>
      </c>
      <c r="M142" s="433">
        <f t="shared" si="18"/>
        <v>26.121674528848871</v>
      </c>
      <c r="N142" s="428">
        <f>+'J) Plafonnement effort'!H141+'J) Plafonnement effort'!I141-'K) Plafonnement aide'!I141</f>
        <v>25.61915539871373</v>
      </c>
      <c r="O142" s="144">
        <f t="shared" si="19"/>
        <v>51.740829927562601</v>
      </c>
      <c r="P142" s="47">
        <f t="shared" si="20"/>
        <v>0</v>
      </c>
      <c r="Q142" s="55">
        <f t="shared" si="23"/>
        <v>0</v>
      </c>
      <c r="R142" s="144">
        <f t="shared" si="21"/>
        <v>51.740829927562601</v>
      </c>
      <c r="S142" s="124">
        <f t="shared" si="22"/>
        <v>-8.7591700724373993</v>
      </c>
      <c r="T142" s="143">
        <f t="shared" si="26"/>
        <v>0</v>
      </c>
      <c r="V142" s="12"/>
    </row>
    <row r="143" spans="1:22" x14ac:dyDescent="0.25">
      <c r="A143" s="49">
        <f>'A) Base RI'!A143</f>
        <v>5634</v>
      </c>
      <c r="B143" s="341" t="str">
        <f>'A) Base RI'!B143</f>
        <v>Echichens</v>
      </c>
      <c r="C143" s="489">
        <v>2822825.6311324951</v>
      </c>
      <c r="D143" s="489">
        <v>2264957.5424116943</v>
      </c>
      <c r="E143" s="490">
        <v>0</v>
      </c>
      <c r="F143" s="490">
        <v>0</v>
      </c>
      <c r="G143" s="490">
        <v>0</v>
      </c>
      <c r="H143" s="487">
        <f t="shared" si="24"/>
        <v>5087783.173544189</v>
      </c>
      <c r="I143" s="490">
        <v>164177.5981818182</v>
      </c>
      <c r="J143" s="345">
        <f>'B) D RI'!U143</f>
        <v>152568.89227272727</v>
      </c>
      <c r="K143" s="62">
        <f t="shared" si="25"/>
        <v>30.989509104096722</v>
      </c>
      <c r="L143" s="33">
        <f>'B) D RI'!S143</f>
        <v>66</v>
      </c>
      <c r="M143" s="433">
        <f t="shared" si="18"/>
        <v>35.010490895903274</v>
      </c>
      <c r="N143" s="428">
        <f>+'J) Plafonnement effort'!H142+'J) Plafonnement effort'!I142-'K) Plafonnement aide'!I142</f>
        <v>24.213964174522285</v>
      </c>
      <c r="O143" s="144">
        <f t="shared" si="19"/>
        <v>59.224455070425563</v>
      </c>
      <c r="P143" s="47">
        <f t="shared" si="20"/>
        <v>0</v>
      </c>
      <c r="Q143" s="55">
        <f t="shared" si="23"/>
        <v>0</v>
      </c>
      <c r="R143" s="144">
        <f t="shared" si="21"/>
        <v>59.224455070425563</v>
      </c>
      <c r="S143" s="124">
        <f t="shared" si="22"/>
        <v>-6.775544929574437</v>
      </c>
      <c r="T143" s="143">
        <f t="shared" si="26"/>
        <v>0</v>
      </c>
      <c r="V143" s="12"/>
    </row>
    <row r="144" spans="1:22" x14ac:dyDescent="0.25">
      <c r="A144" s="49">
        <f>'A) Base RI'!A144</f>
        <v>5635</v>
      </c>
      <c r="B144" s="341" t="str">
        <f>'A) Base RI'!B144</f>
        <v>Ecublens</v>
      </c>
      <c r="C144" s="489">
        <v>12008536.787417224</v>
      </c>
      <c r="D144" s="489">
        <v>5189778.7724901419</v>
      </c>
      <c r="E144" s="490">
        <v>0</v>
      </c>
      <c r="F144" s="490">
        <v>0</v>
      </c>
      <c r="G144" s="490">
        <v>0</v>
      </c>
      <c r="H144" s="487">
        <f t="shared" si="24"/>
        <v>17198315.559907366</v>
      </c>
      <c r="I144" s="490">
        <v>681739.39309333346</v>
      </c>
      <c r="J144" s="345">
        <f>'B) D RI'!U144</f>
        <v>872367.07997333352</v>
      </c>
      <c r="K144" s="62">
        <f t="shared" si="25"/>
        <v>25.227111318698334</v>
      </c>
      <c r="L144" s="33">
        <f>'B) D RI'!S144</f>
        <v>62.5</v>
      </c>
      <c r="M144" s="433">
        <f t="shared" si="18"/>
        <v>37.272888681301666</v>
      </c>
      <c r="N144" s="428">
        <f>+'J) Plafonnement effort'!H143+'J) Plafonnement effort'!I143-'K) Plafonnement aide'!I143</f>
        <v>24.355956012149733</v>
      </c>
      <c r="O144" s="144">
        <f t="shared" si="19"/>
        <v>61.628844693451398</v>
      </c>
      <c r="P144" s="47">
        <f t="shared" si="20"/>
        <v>0</v>
      </c>
      <c r="Q144" s="55">
        <f t="shared" si="23"/>
        <v>0</v>
      </c>
      <c r="R144" s="144">
        <f t="shared" si="21"/>
        <v>61.628844693451398</v>
      </c>
      <c r="S144" s="124">
        <f t="shared" si="22"/>
        <v>-0.87115530654860152</v>
      </c>
      <c r="T144" s="143">
        <f t="shared" si="26"/>
        <v>0</v>
      </c>
      <c r="V144" s="12"/>
    </row>
    <row r="145" spans="1:22" x14ac:dyDescent="0.25">
      <c r="A145" s="49">
        <f>'A) Base RI'!A145</f>
        <v>5636</v>
      </c>
      <c r="B145" s="341" t="str">
        <f>'A) Base RI'!B145</f>
        <v>Etoy</v>
      </c>
      <c r="C145" s="489">
        <v>3363910.1128994189</v>
      </c>
      <c r="D145" s="489">
        <v>2484832.0255770329</v>
      </c>
      <c r="E145" s="490">
        <v>0</v>
      </c>
      <c r="F145" s="490">
        <v>0</v>
      </c>
      <c r="G145" s="490">
        <v>0</v>
      </c>
      <c r="H145" s="487">
        <f t="shared" si="24"/>
        <v>5848742.1384764519</v>
      </c>
      <c r="I145" s="490">
        <v>170715.46099999998</v>
      </c>
      <c r="J145" s="345">
        <f>'B) D RI'!U145</f>
        <v>187063.54000000004</v>
      </c>
      <c r="K145" s="62">
        <f t="shared" si="25"/>
        <v>34.260178335437658</v>
      </c>
      <c r="L145" s="33">
        <f>'B) D RI'!S145</f>
        <v>60</v>
      </c>
      <c r="M145" s="433">
        <f t="shared" si="18"/>
        <v>25.739821664562342</v>
      </c>
      <c r="N145" s="428">
        <f>+'J) Plafonnement effort'!H144+'J) Plafonnement effort'!I144-'K) Plafonnement aide'!I144</f>
        <v>30.110193759376987</v>
      </c>
      <c r="O145" s="144">
        <f t="shared" si="19"/>
        <v>55.850015423939325</v>
      </c>
      <c r="P145" s="47">
        <f t="shared" si="20"/>
        <v>0</v>
      </c>
      <c r="Q145" s="55">
        <f t="shared" si="23"/>
        <v>0</v>
      </c>
      <c r="R145" s="144">
        <f t="shared" si="21"/>
        <v>55.850015423939325</v>
      </c>
      <c r="S145" s="124">
        <f t="shared" si="22"/>
        <v>-4.1499845760606746</v>
      </c>
      <c r="T145" s="143">
        <f t="shared" si="26"/>
        <v>0</v>
      </c>
      <c r="V145" s="12"/>
    </row>
    <row r="146" spans="1:22" x14ac:dyDescent="0.25">
      <c r="A146" s="49">
        <f>'A) Base RI'!A146</f>
        <v>5637</v>
      </c>
      <c r="B146" s="341" t="str">
        <f>'A) Base RI'!B146</f>
        <v>Lavigny</v>
      </c>
      <c r="C146" s="489">
        <v>735403.05191350612</v>
      </c>
      <c r="D146" s="489">
        <v>505325.56833552255</v>
      </c>
      <c r="E146" s="490">
        <v>0</v>
      </c>
      <c r="F146" s="490">
        <v>0</v>
      </c>
      <c r="G146" s="490">
        <v>0</v>
      </c>
      <c r="H146" s="487">
        <f t="shared" si="24"/>
        <v>1240728.6202490288</v>
      </c>
      <c r="I146" s="490">
        <v>41194.659315068493</v>
      </c>
      <c r="J146" s="345">
        <f>'B) D RI'!U146</f>
        <v>37900.997397260275</v>
      </c>
      <c r="K146" s="62">
        <f t="shared" si="25"/>
        <v>30.1186765682314</v>
      </c>
      <c r="L146" s="33">
        <f>'B) D RI'!S146</f>
        <v>73</v>
      </c>
      <c r="M146" s="433">
        <f t="shared" si="18"/>
        <v>42.8813234317686</v>
      </c>
      <c r="N146" s="428">
        <f>+'J) Plafonnement effort'!H145+'J) Plafonnement effort'!I145-'K) Plafonnement aide'!I145</f>
        <v>17.700548430198445</v>
      </c>
      <c r="O146" s="144">
        <f t="shared" si="19"/>
        <v>60.581871861967045</v>
      </c>
      <c r="P146" s="47">
        <f t="shared" si="20"/>
        <v>0</v>
      </c>
      <c r="Q146" s="55">
        <f t="shared" si="23"/>
        <v>0</v>
      </c>
      <c r="R146" s="144">
        <f t="shared" si="21"/>
        <v>60.581871861967045</v>
      </c>
      <c r="S146" s="124">
        <f t="shared" si="22"/>
        <v>-12.418128138032955</v>
      </c>
      <c r="T146" s="143">
        <f t="shared" si="26"/>
        <v>0</v>
      </c>
      <c r="V146" s="12"/>
    </row>
    <row r="147" spans="1:22" x14ac:dyDescent="0.25">
      <c r="A147" s="49">
        <f>'A) Base RI'!A147</f>
        <v>5638</v>
      </c>
      <c r="B147" s="341" t="str">
        <f>'A) Base RI'!B147</f>
        <v>Lonay</v>
      </c>
      <c r="C147" s="489">
        <v>3294376.0662645623</v>
      </c>
      <c r="D147" s="489">
        <v>2081262.6855699676</v>
      </c>
      <c r="E147" s="490">
        <v>0</v>
      </c>
      <c r="F147" s="490">
        <v>0</v>
      </c>
      <c r="G147" s="490">
        <v>0</v>
      </c>
      <c r="H147" s="487">
        <f t="shared" si="24"/>
        <v>5375638.7518345304</v>
      </c>
      <c r="I147" s="490">
        <v>145490.01981818181</v>
      </c>
      <c r="J147" s="345">
        <f>'B) D RI'!U147</f>
        <v>174162.36418181815</v>
      </c>
      <c r="K147" s="62">
        <f t="shared" si="25"/>
        <v>36.948505186489356</v>
      </c>
      <c r="L147" s="33">
        <f>'B) D RI'!S147</f>
        <v>55</v>
      </c>
      <c r="M147" s="433">
        <f t="shared" si="18"/>
        <v>18.051494813510644</v>
      </c>
      <c r="N147" s="428">
        <f>+'J) Plafonnement effort'!H146+'J) Plafonnement effort'!I146-'K) Plafonnement aide'!I146</f>
        <v>27.552723848925062</v>
      </c>
      <c r="O147" s="144">
        <f t="shared" si="19"/>
        <v>45.604218662435706</v>
      </c>
      <c r="P147" s="47">
        <f t="shared" si="20"/>
        <v>0</v>
      </c>
      <c r="Q147" s="55">
        <f t="shared" si="23"/>
        <v>0</v>
      </c>
      <c r="R147" s="144">
        <f t="shared" si="21"/>
        <v>45.604218662435706</v>
      </c>
      <c r="S147" s="124">
        <f t="shared" si="22"/>
        <v>-9.3957813375642942</v>
      </c>
      <c r="T147" s="143">
        <f t="shared" si="26"/>
        <v>0</v>
      </c>
      <c r="V147" s="12"/>
    </row>
    <row r="148" spans="1:22" x14ac:dyDescent="0.25">
      <c r="A148" s="49">
        <f>'A) Base RI'!A148</f>
        <v>5639</v>
      </c>
      <c r="B148" s="341" t="str">
        <f>'A) Base RI'!B148</f>
        <v>Lully</v>
      </c>
      <c r="C148" s="489">
        <v>768982.02563257376</v>
      </c>
      <c r="D148" s="489">
        <v>772027.94395391282</v>
      </c>
      <c r="E148" s="490">
        <v>0</v>
      </c>
      <c r="F148" s="490">
        <v>0</v>
      </c>
      <c r="G148" s="490">
        <v>0</v>
      </c>
      <c r="H148" s="487">
        <f t="shared" si="24"/>
        <v>1541009.9695864865</v>
      </c>
      <c r="I148" s="490">
        <v>45623.094262295082</v>
      </c>
      <c r="J148" s="345">
        <f>'B) D RI'!U148</f>
        <v>53711.269344262299</v>
      </c>
      <c r="K148" s="62">
        <f t="shared" si="25"/>
        <v>33.776971827622056</v>
      </c>
      <c r="L148" s="33">
        <f>'B) D RI'!S148</f>
        <v>61</v>
      </c>
      <c r="M148" s="433">
        <f t="shared" si="18"/>
        <v>27.223028172377944</v>
      </c>
      <c r="N148" s="428">
        <f>+'J) Plafonnement effort'!H147+'J) Plafonnement effort'!I147-'K) Plafonnement aide'!I147</f>
        <v>32.666897351810782</v>
      </c>
      <c r="O148" s="144">
        <f t="shared" si="19"/>
        <v>59.889925524188726</v>
      </c>
      <c r="P148" s="47">
        <f t="shared" si="20"/>
        <v>0</v>
      </c>
      <c r="Q148" s="55">
        <f t="shared" si="23"/>
        <v>0</v>
      </c>
      <c r="R148" s="144">
        <f t="shared" si="21"/>
        <v>59.889925524188726</v>
      </c>
      <c r="S148" s="124">
        <f t="shared" si="22"/>
        <v>-1.1100744758112739</v>
      </c>
      <c r="T148" s="143">
        <f t="shared" si="26"/>
        <v>0</v>
      </c>
      <c r="V148" s="12"/>
    </row>
    <row r="149" spans="1:22" x14ac:dyDescent="0.25">
      <c r="A149" s="49">
        <f>'A) Base RI'!A149</f>
        <v>5640</v>
      </c>
      <c r="B149" s="341" t="str">
        <f>'A) Base RI'!B149</f>
        <v>Lussy-sur-Morges</v>
      </c>
      <c r="C149" s="489">
        <v>1373333.9867743717</v>
      </c>
      <c r="D149" s="489">
        <v>1003431.1276830628</v>
      </c>
      <c r="E149" s="490">
        <v>0</v>
      </c>
      <c r="F149" s="490">
        <v>0</v>
      </c>
      <c r="G149" s="490">
        <v>0</v>
      </c>
      <c r="H149" s="487">
        <f t="shared" si="24"/>
        <v>2376765.1144574345</v>
      </c>
      <c r="I149" s="490">
        <v>57031.532424242418</v>
      </c>
      <c r="J149" s="345">
        <f>'B) D RI'!U149</f>
        <v>70527.814108527149</v>
      </c>
      <c r="K149" s="62">
        <f t="shared" si="25"/>
        <v>41.674579192039069</v>
      </c>
      <c r="L149" s="33">
        <f>'B) D RI'!S149</f>
        <v>64.5</v>
      </c>
      <c r="M149" s="433">
        <f t="shared" si="18"/>
        <v>22.825420807960931</v>
      </c>
      <c r="N149" s="428">
        <f>+'J) Plafonnement effort'!H148+'J) Plafonnement effort'!I148-'K) Plafonnement aide'!I148</f>
        <v>39.950806193764592</v>
      </c>
      <c r="O149" s="144">
        <f t="shared" si="19"/>
        <v>62.776227001725523</v>
      </c>
      <c r="P149" s="47">
        <f t="shared" si="20"/>
        <v>0</v>
      </c>
      <c r="Q149" s="55">
        <f t="shared" si="23"/>
        <v>0</v>
      </c>
      <c r="R149" s="144">
        <f t="shared" si="21"/>
        <v>62.776227001725523</v>
      </c>
      <c r="S149" s="124">
        <f t="shared" si="22"/>
        <v>-1.7237729982744767</v>
      </c>
      <c r="T149" s="143">
        <f t="shared" si="26"/>
        <v>0</v>
      </c>
      <c r="V149" s="12"/>
    </row>
    <row r="150" spans="1:22" x14ac:dyDescent="0.25">
      <c r="A150" s="49">
        <f>'A) Base RI'!A150</f>
        <v>5642</v>
      </c>
      <c r="B150" s="341" t="str">
        <f>'A) Base RI'!B150</f>
        <v>Morges</v>
      </c>
      <c r="C150" s="489">
        <v>13917012.989499314</v>
      </c>
      <c r="D150" s="489">
        <v>4255111.145142924</v>
      </c>
      <c r="E150" s="490">
        <v>0</v>
      </c>
      <c r="F150" s="490">
        <v>0</v>
      </c>
      <c r="G150" s="490">
        <v>0</v>
      </c>
      <c r="H150" s="487">
        <f t="shared" si="24"/>
        <v>18172124.134642236</v>
      </c>
      <c r="I150" s="490">
        <v>787513.11402985093</v>
      </c>
      <c r="J150" s="345">
        <f>'B) D RI'!U150</f>
        <v>999726.82119402988</v>
      </c>
      <c r="K150" s="62">
        <f t="shared" si="25"/>
        <v>23.075328919479322</v>
      </c>
      <c r="L150" s="33">
        <f>'B) D RI'!S150</f>
        <v>67</v>
      </c>
      <c r="M150" s="433">
        <f t="shared" si="18"/>
        <v>43.924671080520682</v>
      </c>
      <c r="N150" s="428">
        <f>+'J) Plafonnement effort'!H149+'J) Plafonnement effort'!I149-'K) Plafonnement aide'!I149</f>
        <v>21.694953838872113</v>
      </c>
      <c r="O150" s="144">
        <f t="shared" si="19"/>
        <v>65.619624919392791</v>
      </c>
      <c r="P150" s="47">
        <f t="shared" si="20"/>
        <v>0</v>
      </c>
      <c r="Q150" s="55">
        <f t="shared" si="23"/>
        <v>0</v>
      </c>
      <c r="R150" s="144">
        <f t="shared" si="21"/>
        <v>65.619624919392791</v>
      </c>
      <c r="S150" s="124">
        <f t="shared" si="22"/>
        <v>-1.3803750806072088</v>
      </c>
      <c r="T150" s="143">
        <f t="shared" si="26"/>
        <v>0</v>
      </c>
      <c r="V150" s="12"/>
    </row>
    <row r="151" spans="1:22" x14ac:dyDescent="0.25">
      <c r="A151" s="49">
        <f>'A) Base RI'!A151</f>
        <v>5643</v>
      </c>
      <c r="B151" s="341" t="str">
        <f>'A) Base RI'!B151</f>
        <v>Préverenges</v>
      </c>
      <c r="C151" s="489">
        <v>4136413.5929758837</v>
      </c>
      <c r="D151" s="489">
        <v>3073696.7199277328</v>
      </c>
      <c r="E151" s="490">
        <v>0</v>
      </c>
      <c r="F151" s="490">
        <v>0</v>
      </c>
      <c r="G151" s="490">
        <v>0</v>
      </c>
      <c r="H151" s="487">
        <f t="shared" si="24"/>
        <v>7210110.3129036166</v>
      </c>
      <c r="I151" s="490">
        <v>262337.37167999998</v>
      </c>
      <c r="J151" s="345">
        <f>'B) D RI'!U151</f>
        <v>257752.82112000001</v>
      </c>
      <c r="K151" s="62">
        <f t="shared" si="25"/>
        <v>27.484114317111224</v>
      </c>
      <c r="L151" s="33">
        <f>'B) D RI'!S151</f>
        <v>62.5</v>
      </c>
      <c r="M151" s="433">
        <f t="shared" si="18"/>
        <v>35.015885682888779</v>
      </c>
      <c r="N151" s="428">
        <f>+'J) Plafonnement effort'!H150+'J) Plafonnement effort'!I150-'K) Plafonnement aide'!I150</f>
        <v>23.580062684023339</v>
      </c>
      <c r="O151" s="144">
        <f t="shared" si="19"/>
        <v>58.595948366912118</v>
      </c>
      <c r="P151" s="47">
        <f t="shared" si="20"/>
        <v>0</v>
      </c>
      <c r="Q151" s="55">
        <f t="shared" si="23"/>
        <v>0</v>
      </c>
      <c r="R151" s="144">
        <f t="shared" si="21"/>
        <v>58.595948366912118</v>
      </c>
      <c r="S151" s="124">
        <f t="shared" si="22"/>
        <v>-3.9040516330878816</v>
      </c>
      <c r="T151" s="143">
        <f t="shared" si="26"/>
        <v>0</v>
      </c>
      <c r="V151" s="12"/>
    </row>
    <row r="152" spans="1:22" x14ac:dyDescent="0.25">
      <c r="A152" s="49">
        <f>'A) Base RI'!A152</f>
        <v>5644</v>
      </c>
      <c r="B152" s="341" t="str">
        <f>'A) Base RI'!B152</f>
        <v>Reverolle</v>
      </c>
      <c r="C152" s="489">
        <v>230874.04181697263</v>
      </c>
      <c r="D152" s="489">
        <v>177812.45915806526</v>
      </c>
      <c r="E152" s="490">
        <v>0</v>
      </c>
      <c r="F152" s="490">
        <v>0</v>
      </c>
      <c r="G152" s="490">
        <v>0</v>
      </c>
      <c r="H152" s="487">
        <f t="shared" si="24"/>
        <v>408686.50097503792</v>
      </c>
      <c r="I152" s="490">
        <v>16020.747027027028</v>
      </c>
      <c r="J152" s="345">
        <f>'B) D RI'!U152</f>
        <v>16363.457972972968</v>
      </c>
      <c r="K152" s="62">
        <f t="shared" si="25"/>
        <v>25.509827992763576</v>
      </c>
      <c r="L152" s="33">
        <f>'B) D RI'!S152</f>
        <v>74</v>
      </c>
      <c r="M152" s="433">
        <f t="shared" si="18"/>
        <v>48.490172007236424</v>
      </c>
      <c r="N152" s="428">
        <f>+'J) Plafonnement effort'!H151+'J) Plafonnement effort'!I151-'K) Plafonnement aide'!I151</f>
        <v>3.8340966883772825</v>
      </c>
      <c r="O152" s="144">
        <f t="shared" si="19"/>
        <v>52.324268695613704</v>
      </c>
      <c r="P152" s="47">
        <f t="shared" si="20"/>
        <v>0</v>
      </c>
      <c r="Q152" s="55">
        <f t="shared" si="23"/>
        <v>0</v>
      </c>
      <c r="R152" s="144">
        <f t="shared" si="21"/>
        <v>52.324268695613704</v>
      </c>
      <c r="S152" s="124">
        <f t="shared" si="22"/>
        <v>-21.675731304386296</v>
      </c>
      <c r="T152" s="143">
        <f t="shared" si="26"/>
        <v>0</v>
      </c>
      <c r="V152" s="12"/>
    </row>
    <row r="153" spans="1:22" x14ac:dyDescent="0.25">
      <c r="A153" s="49">
        <f>'A) Base RI'!A153</f>
        <v>5645</v>
      </c>
      <c r="B153" s="341" t="str">
        <f>'A) Base RI'!B153</f>
        <v>Romanel-sur-Morges</v>
      </c>
      <c r="C153" s="489">
        <v>527711.09225883393</v>
      </c>
      <c r="D153" s="489">
        <v>466645.4407504361</v>
      </c>
      <c r="E153" s="490">
        <v>0</v>
      </c>
      <c r="F153" s="490">
        <v>0</v>
      </c>
      <c r="G153" s="490">
        <v>0</v>
      </c>
      <c r="H153" s="487">
        <f t="shared" si="24"/>
        <v>994356.53300926997</v>
      </c>
      <c r="I153" s="490">
        <v>27365.134464285718</v>
      </c>
      <c r="J153" s="345">
        <f>'B) D RI'!U153</f>
        <v>26586.021785714285</v>
      </c>
      <c r="K153" s="62">
        <f t="shared" si="25"/>
        <v>36.336621488449339</v>
      </c>
      <c r="L153" s="33">
        <f>'B) D RI'!S153</f>
        <v>56</v>
      </c>
      <c r="M153" s="433">
        <f t="shared" si="18"/>
        <v>19.663378511550661</v>
      </c>
      <c r="N153" s="428">
        <f>+'J) Plafonnement effort'!H152+'J) Plafonnement effort'!I152-'K) Plafonnement aide'!I152</f>
        <v>30.356045626526491</v>
      </c>
      <c r="O153" s="144">
        <f t="shared" si="19"/>
        <v>50.019424138077156</v>
      </c>
      <c r="P153" s="47">
        <f t="shared" si="20"/>
        <v>0</v>
      </c>
      <c r="Q153" s="55">
        <f t="shared" si="23"/>
        <v>0</v>
      </c>
      <c r="R153" s="144">
        <f t="shared" si="21"/>
        <v>50.019424138077156</v>
      </c>
      <c r="S153" s="124">
        <f t="shared" si="22"/>
        <v>-5.9805758619228442</v>
      </c>
      <c r="T153" s="143">
        <f t="shared" si="26"/>
        <v>0</v>
      </c>
      <c r="V153" s="12"/>
    </row>
    <row r="154" spans="1:22" x14ac:dyDescent="0.25">
      <c r="A154" s="49">
        <f>'A) Base RI'!A154</f>
        <v>5646</v>
      </c>
      <c r="B154" s="341" t="str">
        <f>'A) Base RI'!B154</f>
        <v>Saint-Prex</v>
      </c>
      <c r="C154" s="489">
        <v>13375686.068332639</v>
      </c>
      <c r="D154" s="489">
        <v>8044388.8778055096</v>
      </c>
      <c r="E154" s="490">
        <v>0</v>
      </c>
      <c r="F154" s="490">
        <v>0</v>
      </c>
      <c r="G154" s="490">
        <v>0</v>
      </c>
      <c r="H154" s="487">
        <f t="shared" si="24"/>
        <v>21420074.946138147</v>
      </c>
      <c r="I154" s="490">
        <v>541092.68090909091</v>
      </c>
      <c r="J154" s="345">
        <f>'B) D RI'!U154</f>
        <v>527982.74983050849</v>
      </c>
      <c r="K154" s="62">
        <f t="shared" si="25"/>
        <v>39.58670242988731</v>
      </c>
      <c r="L154" s="33">
        <f>'B) D RI'!S154</f>
        <v>59</v>
      </c>
      <c r="M154" s="433">
        <f t="shared" si="18"/>
        <v>19.41329757011269</v>
      </c>
      <c r="N154" s="428">
        <f>+'J) Plafonnement effort'!H153+'J) Plafonnement effort'!I153-'K) Plafonnement aide'!I153</f>
        <v>35.111281801415558</v>
      </c>
      <c r="O154" s="144">
        <f t="shared" si="19"/>
        <v>54.524579371528247</v>
      </c>
      <c r="P154" s="47">
        <f t="shared" si="20"/>
        <v>0</v>
      </c>
      <c r="Q154" s="55">
        <f t="shared" si="23"/>
        <v>0</v>
      </c>
      <c r="R154" s="144">
        <f t="shared" si="21"/>
        <v>54.524579371528247</v>
      </c>
      <c r="S154" s="124">
        <f t="shared" si="22"/>
        <v>-4.4754206284717526</v>
      </c>
      <c r="T154" s="143">
        <f t="shared" si="26"/>
        <v>0</v>
      </c>
      <c r="V154" s="12"/>
    </row>
    <row r="155" spans="1:22" x14ac:dyDescent="0.25">
      <c r="A155" s="49">
        <f>'A) Base RI'!A155</f>
        <v>5648</v>
      </c>
      <c r="B155" s="341" t="str">
        <f>'A) Base RI'!B155</f>
        <v>Saint-Sulpice</v>
      </c>
      <c r="C155" s="489">
        <v>8827102.0457805265</v>
      </c>
      <c r="D155" s="489">
        <v>5832991.1409827136</v>
      </c>
      <c r="E155" s="490">
        <v>0</v>
      </c>
      <c r="F155" s="490">
        <v>0</v>
      </c>
      <c r="G155" s="490">
        <v>0</v>
      </c>
      <c r="H155" s="487">
        <f t="shared" si="24"/>
        <v>14660093.18676324</v>
      </c>
      <c r="I155" s="490">
        <v>396480.48181818181</v>
      </c>
      <c r="J155" s="345">
        <f>'B) D RI'!U155</f>
        <v>394426.68886363629</v>
      </c>
      <c r="K155" s="62">
        <f t="shared" si="25"/>
        <v>36.975573474726737</v>
      </c>
      <c r="L155" s="33">
        <f>'B) D RI'!S155</f>
        <v>55</v>
      </c>
      <c r="M155" s="433">
        <f t="shared" si="18"/>
        <v>18.024426525273263</v>
      </c>
      <c r="N155" s="428">
        <f>+'J) Plafonnement effort'!H154+'J) Plafonnement effort'!I154-'K) Plafonnement aide'!I154</f>
        <v>32.678407814258158</v>
      </c>
      <c r="O155" s="144">
        <f t="shared" si="19"/>
        <v>50.702834339531421</v>
      </c>
      <c r="P155" s="47">
        <f t="shared" si="20"/>
        <v>0</v>
      </c>
      <c r="Q155" s="55">
        <f t="shared" si="23"/>
        <v>0</v>
      </c>
      <c r="R155" s="144">
        <f t="shared" si="21"/>
        <v>50.702834339531421</v>
      </c>
      <c r="S155" s="124">
        <f t="shared" si="22"/>
        <v>-4.2971656604685791</v>
      </c>
      <c r="T155" s="143">
        <f t="shared" si="26"/>
        <v>0</v>
      </c>
      <c r="V155" s="12"/>
    </row>
    <row r="156" spans="1:22" x14ac:dyDescent="0.25">
      <c r="A156" s="49">
        <f>'A) Base RI'!A156</f>
        <v>5649</v>
      </c>
      <c r="B156" s="341" t="str">
        <f>'A) Base RI'!B156</f>
        <v>Tolochenaz</v>
      </c>
      <c r="C156" s="489">
        <v>6311179.0340569997</v>
      </c>
      <c r="D156" s="489">
        <v>3698138.1396239004</v>
      </c>
      <c r="E156" s="490">
        <v>0</v>
      </c>
      <c r="F156" s="490">
        <v>0</v>
      </c>
      <c r="G156" s="490">
        <v>0</v>
      </c>
      <c r="H156" s="487">
        <f t="shared" si="24"/>
        <v>10009317.1736809</v>
      </c>
      <c r="I156" s="490">
        <v>215548.34569230766</v>
      </c>
      <c r="J156" s="345">
        <f>'B) D RI'!U156</f>
        <v>155778.42171874997</v>
      </c>
      <c r="K156" s="62">
        <f t="shared" si="25"/>
        <v>46.43652977958395</v>
      </c>
      <c r="L156" s="33">
        <f>'B) D RI'!S156</f>
        <v>64</v>
      </c>
      <c r="M156" s="433">
        <f t="shared" si="18"/>
        <v>17.56347022041605</v>
      </c>
      <c r="N156" s="428">
        <f>+'J) Plafonnement effort'!H155+'J) Plafonnement effort'!I155-'K) Plafonnement aide'!I155</f>
        <v>34.755759495452409</v>
      </c>
      <c r="O156" s="144">
        <f t="shared" si="19"/>
        <v>52.31922971586846</v>
      </c>
      <c r="P156" s="47">
        <f t="shared" si="20"/>
        <v>0</v>
      </c>
      <c r="Q156" s="55">
        <f t="shared" si="23"/>
        <v>0</v>
      </c>
      <c r="R156" s="144">
        <f t="shared" si="21"/>
        <v>52.31922971586846</v>
      </c>
      <c r="S156" s="124">
        <f t="shared" si="22"/>
        <v>-11.68077028413154</v>
      </c>
      <c r="T156" s="143">
        <f t="shared" si="26"/>
        <v>0</v>
      </c>
      <c r="V156" s="12"/>
    </row>
    <row r="157" spans="1:22" x14ac:dyDescent="0.25">
      <c r="A157" s="49">
        <f>'A) Base RI'!A157</f>
        <v>5650</v>
      </c>
      <c r="B157" s="341" t="str">
        <f>'A) Base RI'!B157</f>
        <v>Vaux-sur-Morges</v>
      </c>
      <c r="C157" s="489">
        <v>12989857.617240502</v>
      </c>
      <c r="D157" s="489">
        <v>1183326.4678820488</v>
      </c>
      <c r="E157" s="490">
        <v>0</v>
      </c>
      <c r="F157" s="490">
        <v>-619663.35440826486</v>
      </c>
      <c r="G157" s="490">
        <v>0</v>
      </c>
      <c r="H157" s="487">
        <f t="shared" si="24"/>
        <v>13553520.730714286</v>
      </c>
      <c r="I157" s="490">
        <v>63002.429285714286</v>
      </c>
      <c r="J157" s="345">
        <f>'B) D RI'!U157</f>
        <v>83125.71642857141</v>
      </c>
      <c r="K157" s="62">
        <f t="shared" si="25"/>
        <v>215.12695437900405</v>
      </c>
      <c r="L157" s="33">
        <f>'B) D RI'!S157</f>
        <v>56</v>
      </c>
      <c r="M157" s="433">
        <f t="shared" si="18"/>
        <v>-159.12695437900405</v>
      </c>
      <c r="N157" s="428">
        <f>+'J) Plafonnement effort'!H156+'J) Plafonnement effort'!I156-'K) Plafonnement aide'!I156</f>
        <v>48</v>
      </c>
      <c r="O157" s="144">
        <f t="shared" si="19"/>
        <v>-111.12695437900405</v>
      </c>
      <c r="P157" s="47">
        <f t="shared" si="20"/>
        <v>0</v>
      </c>
      <c r="Q157" s="55">
        <f t="shared" si="23"/>
        <v>0</v>
      </c>
      <c r="R157" s="144">
        <f t="shared" si="21"/>
        <v>-111.12695437900405</v>
      </c>
      <c r="S157" s="124">
        <f t="shared" si="22"/>
        <v>-167.12695437900405</v>
      </c>
      <c r="T157" s="143">
        <f t="shared" si="26"/>
        <v>0</v>
      </c>
      <c r="V157" s="12"/>
    </row>
    <row r="158" spans="1:22" x14ac:dyDescent="0.25">
      <c r="A158" s="49">
        <f>'A) Base RI'!A158</f>
        <v>5651</v>
      </c>
      <c r="B158" s="341" t="str">
        <f>'A) Base RI'!B158</f>
        <v>Villars-Sainte-Croix</v>
      </c>
      <c r="C158" s="489">
        <v>1079431.7399279783</v>
      </c>
      <c r="D158" s="489">
        <v>956230.19922465575</v>
      </c>
      <c r="E158" s="490">
        <v>0</v>
      </c>
      <c r="F158" s="490">
        <v>0</v>
      </c>
      <c r="G158" s="490">
        <v>0</v>
      </c>
      <c r="H158" s="487">
        <f t="shared" si="24"/>
        <v>2035661.939152634</v>
      </c>
      <c r="I158" s="490">
        <v>56095.490247933893</v>
      </c>
      <c r="J158" s="345">
        <f>'B) D RI'!U158</f>
        <v>57697.031735537188</v>
      </c>
      <c r="K158" s="62">
        <f t="shared" si="25"/>
        <v>36.289226284596225</v>
      </c>
      <c r="L158" s="33">
        <f>'B) D RI'!S158</f>
        <v>60.5</v>
      </c>
      <c r="M158" s="433">
        <f t="shared" si="18"/>
        <v>24.210773715403775</v>
      </c>
      <c r="N158" s="428">
        <f>+'J) Plafonnement effort'!H157+'J) Plafonnement effort'!I157-'K) Plafonnement aide'!I157</f>
        <v>31.374911077557531</v>
      </c>
      <c r="O158" s="144">
        <f t="shared" si="19"/>
        <v>55.585684792961302</v>
      </c>
      <c r="P158" s="47">
        <f t="shared" si="20"/>
        <v>0</v>
      </c>
      <c r="Q158" s="55">
        <f t="shared" si="23"/>
        <v>0</v>
      </c>
      <c r="R158" s="144">
        <f t="shared" si="21"/>
        <v>55.585684792961302</v>
      </c>
      <c r="S158" s="124">
        <f t="shared" si="22"/>
        <v>-4.9143152070386975</v>
      </c>
      <c r="T158" s="143">
        <f t="shared" si="26"/>
        <v>0</v>
      </c>
      <c r="V158" s="12"/>
    </row>
    <row r="159" spans="1:22" x14ac:dyDescent="0.25">
      <c r="A159" s="49">
        <f>'A) Base RI'!A159</f>
        <v>5652</v>
      </c>
      <c r="B159" s="341" t="str">
        <f>'A) Base RI'!B159</f>
        <v>Villars-sous-Yens</v>
      </c>
      <c r="C159" s="489">
        <v>431278.66688005638</v>
      </c>
      <c r="D159" s="489">
        <v>323726.10277722613</v>
      </c>
      <c r="E159" s="490">
        <v>0</v>
      </c>
      <c r="F159" s="490">
        <v>0</v>
      </c>
      <c r="G159" s="490">
        <v>0</v>
      </c>
      <c r="H159" s="487">
        <f t="shared" si="24"/>
        <v>755004.76965728251</v>
      </c>
      <c r="I159" s="490">
        <v>25662.281995614037</v>
      </c>
      <c r="J159" s="345">
        <f>'B) D RI'!U159</f>
        <v>25902.630833333329</v>
      </c>
      <c r="K159" s="62">
        <f t="shared" si="25"/>
        <v>29.420796240424799</v>
      </c>
      <c r="L159" s="33">
        <f>'B) D RI'!S159</f>
        <v>76</v>
      </c>
      <c r="M159" s="433">
        <f t="shared" si="18"/>
        <v>46.579203759575201</v>
      </c>
      <c r="N159" s="428">
        <f>+'J) Plafonnement effort'!H158+'J) Plafonnement effort'!I158-'K) Plafonnement aide'!I158</f>
        <v>22.916878418565783</v>
      </c>
      <c r="O159" s="144">
        <f t="shared" si="19"/>
        <v>69.496082178140981</v>
      </c>
      <c r="P159" s="47">
        <f t="shared" si="20"/>
        <v>0</v>
      </c>
      <c r="Q159" s="55">
        <f t="shared" si="23"/>
        <v>0</v>
      </c>
      <c r="R159" s="144">
        <f t="shared" si="21"/>
        <v>69.496082178140981</v>
      </c>
      <c r="S159" s="124">
        <f t="shared" si="22"/>
        <v>-6.5039178218590195</v>
      </c>
      <c r="T159" s="143">
        <f t="shared" si="26"/>
        <v>0</v>
      </c>
      <c r="V159" s="12"/>
    </row>
    <row r="160" spans="1:22" x14ac:dyDescent="0.25">
      <c r="A160" s="49">
        <f>'A) Base RI'!A160</f>
        <v>5653</v>
      </c>
      <c r="B160" s="341" t="str">
        <f>'A) Base RI'!B160</f>
        <v>Vufflens-le-Château</v>
      </c>
      <c r="C160" s="489">
        <v>1566833.4273874885</v>
      </c>
      <c r="D160" s="489">
        <v>1210343.8109818723</v>
      </c>
      <c r="E160" s="490">
        <v>0</v>
      </c>
      <c r="F160" s="490">
        <v>0</v>
      </c>
      <c r="G160" s="490">
        <v>0</v>
      </c>
      <c r="H160" s="487">
        <f t="shared" si="24"/>
        <v>2777177.2383693606</v>
      </c>
      <c r="I160" s="490">
        <v>68786.034529914527</v>
      </c>
      <c r="J160" s="345">
        <f>'B) D RI'!U160</f>
        <v>67687.367350427332</v>
      </c>
      <c r="K160" s="62">
        <f t="shared" si="25"/>
        <v>40.374143637566242</v>
      </c>
      <c r="L160" s="33">
        <f>'B) D RI'!S160</f>
        <v>58.5</v>
      </c>
      <c r="M160" s="433">
        <f t="shared" si="18"/>
        <v>18.125856362433758</v>
      </c>
      <c r="N160" s="428">
        <f>+'J) Plafonnement effort'!H159+'J) Plafonnement effort'!I159-'K) Plafonnement aide'!I159</f>
        <v>35.031043499808696</v>
      </c>
      <c r="O160" s="144">
        <f t="shared" si="19"/>
        <v>53.156899862242454</v>
      </c>
      <c r="P160" s="47">
        <f t="shared" si="20"/>
        <v>0</v>
      </c>
      <c r="Q160" s="55">
        <f t="shared" si="23"/>
        <v>0</v>
      </c>
      <c r="R160" s="144">
        <f t="shared" si="21"/>
        <v>53.156899862242454</v>
      </c>
      <c r="S160" s="124">
        <f t="shared" si="22"/>
        <v>-5.3431001377575456</v>
      </c>
      <c r="T160" s="143">
        <f t="shared" si="26"/>
        <v>0</v>
      </c>
      <c r="V160" s="12"/>
    </row>
    <row r="161" spans="1:22" x14ac:dyDescent="0.25">
      <c r="A161" s="49">
        <f>'A) Base RI'!A161</f>
        <v>5654</v>
      </c>
      <c r="B161" s="341" t="str">
        <f>'A) Base RI'!B161</f>
        <v>Vullierens</v>
      </c>
      <c r="C161" s="489">
        <v>341293.38951403101</v>
      </c>
      <c r="D161" s="489">
        <v>143456.75130748667</v>
      </c>
      <c r="E161" s="490">
        <v>0</v>
      </c>
      <c r="F161" s="490">
        <v>0</v>
      </c>
      <c r="G161" s="490">
        <v>0</v>
      </c>
      <c r="H161" s="487">
        <f t="shared" si="24"/>
        <v>484750.14082151768</v>
      </c>
      <c r="I161" s="490">
        <v>19265.899342105262</v>
      </c>
      <c r="J161" s="345">
        <f>'B) D RI'!U161</f>
        <v>20665.692500000001</v>
      </c>
      <c r="K161" s="62">
        <f t="shared" si="25"/>
        <v>25.161043988333592</v>
      </c>
      <c r="L161" s="33">
        <f>'B) D RI'!S161</f>
        <v>76</v>
      </c>
      <c r="M161" s="433">
        <f t="shared" si="18"/>
        <v>50.838956011666411</v>
      </c>
      <c r="N161" s="428">
        <f>+'J) Plafonnement effort'!H160+'J) Plafonnement effort'!I160-'K) Plafonnement aide'!I160</f>
        <v>15.341232768354415</v>
      </c>
      <c r="O161" s="144">
        <f t="shared" si="19"/>
        <v>66.180188780020828</v>
      </c>
      <c r="P161" s="47">
        <f t="shared" si="20"/>
        <v>0</v>
      </c>
      <c r="Q161" s="55">
        <f t="shared" si="23"/>
        <v>0</v>
      </c>
      <c r="R161" s="144">
        <f t="shared" si="21"/>
        <v>66.180188780020828</v>
      </c>
      <c r="S161" s="124">
        <f t="shared" si="22"/>
        <v>-9.8198112199791723</v>
      </c>
      <c r="T161" s="143">
        <f t="shared" si="26"/>
        <v>0</v>
      </c>
      <c r="V161" s="12"/>
    </row>
    <row r="162" spans="1:22" x14ac:dyDescent="0.25">
      <c r="A162" s="49">
        <f>'A) Base RI'!A162</f>
        <v>5655</v>
      </c>
      <c r="B162" s="341" t="str">
        <f>'A) Base RI'!B162</f>
        <v>Yens</v>
      </c>
      <c r="C162" s="489">
        <v>1782540.5577110946</v>
      </c>
      <c r="D162" s="489">
        <v>1452042.7865031902</v>
      </c>
      <c r="E162" s="490">
        <v>0</v>
      </c>
      <c r="F162" s="490">
        <v>0</v>
      </c>
      <c r="G162" s="490">
        <v>0</v>
      </c>
      <c r="H162" s="487">
        <f t="shared" si="24"/>
        <v>3234583.3442142848</v>
      </c>
      <c r="I162" s="490">
        <v>90935.122097902116</v>
      </c>
      <c r="J162" s="345">
        <f>'B) D RI'!U162</f>
        <v>73454.856083916078</v>
      </c>
      <c r="K162" s="62">
        <f t="shared" si="25"/>
        <v>35.57023149682346</v>
      </c>
      <c r="L162" s="33">
        <f>'B) D RI'!S162</f>
        <v>71.5</v>
      </c>
      <c r="M162" s="433">
        <f t="shared" si="18"/>
        <v>35.92976850317654</v>
      </c>
      <c r="N162" s="428">
        <f>+'J) Plafonnement effort'!H161+'J) Plafonnement effort'!I161-'K) Plafonnement aide'!I161</f>
        <v>26.958871780481694</v>
      </c>
      <c r="O162" s="144">
        <f t="shared" si="19"/>
        <v>62.888640283658233</v>
      </c>
      <c r="P162" s="47">
        <f t="shared" si="20"/>
        <v>0</v>
      </c>
      <c r="Q162" s="55">
        <f t="shared" si="23"/>
        <v>0</v>
      </c>
      <c r="R162" s="144">
        <f t="shared" si="21"/>
        <v>62.888640283658233</v>
      </c>
      <c r="S162" s="124">
        <f t="shared" si="22"/>
        <v>-8.6113597163417666</v>
      </c>
      <c r="T162" s="143">
        <f t="shared" si="26"/>
        <v>0</v>
      </c>
      <c r="V162" s="12"/>
    </row>
    <row r="163" spans="1:22" x14ac:dyDescent="0.25">
      <c r="A163" s="49">
        <f>'A) Base RI'!A163</f>
        <v>5661</v>
      </c>
      <c r="B163" s="341" t="str">
        <f>'A) Base RI'!B163</f>
        <v>Boulens</v>
      </c>
      <c r="C163" s="489">
        <v>154515.82421717723</v>
      </c>
      <c r="D163" s="489">
        <v>-6913.1790662886924</v>
      </c>
      <c r="E163" s="490">
        <v>0</v>
      </c>
      <c r="F163" s="490">
        <v>0</v>
      </c>
      <c r="G163" s="490">
        <v>0</v>
      </c>
      <c r="H163" s="487">
        <f t="shared" si="24"/>
        <v>147602.64515088854</v>
      </c>
      <c r="I163" s="490">
        <v>10167.852447552446</v>
      </c>
      <c r="J163" s="345">
        <f>'B) D RI'!U163</f>
        <v>11226.588951048951</v>
      </c>
      <c r="K163" s="62">
        <f t="shared" si="25"/>
        <v>14.516599833863511</v>
      </c>
      <c r="L163" s="33">
        <f>'B) D RI'!S163</f>
        <v>71.5</v>
      </c>
      <c r="M163" s="433">
        <f t="shared" si="18"/>
        <v>56.983400166136491</v>
      </c>
      <c r="N163" s="428">
        <f>+'J) Plafonnement effort'!H162+'J) Plafonnement effort'!I162-'K) Plafonnement aide'!I162</f>
        <v>12.950606597831513</v>
      </c>
      <c r="O163" s="144">
        <f t="shared" si="19"/>
        <v>69.934006763968</v>
      </c>
      <c r="P163" s="47">
        <f t="shared" si="20"/>
        <v>0</v>
      </c>
      <c r="Q163" s="55">
        <f t="shared" si="23"/>
        <v>0</v>
      </c>
      <c r="R163" s="144">
        <f t="shared" si="21"/>
        <v>69.934006763968</v>
      </c>
      <c r="S163" s="124">
        <f t="shared" si="22"/>
        <v>-1.5659932360319999</v>
      </c>
      <c r="T163" s="143">
        <f t="shared" si="26"/>
        <v>0</v>
      </c>
      <c r="V163" s="12"/>
    </row>
    <row r="164" spans="1:22" x14ac:dyDescent="0.25">
      <c r="A164" s="49">
        <f>'A) Base RI'!A164</f>
        <v>5663</v>
      </c>
      <c r="B164" s="341" t="str">
        <f>'A) Base RI'!B164</f>
        <v>Bussy-sur-Moudon</v>
      </c>
      <c r="C164" s="489">
        <v>83667.040745368722</v>
      </c>
      <c r="D164" s="489">
        <v>-55517.963668418568</v>
      </c>
      <c r="E164" s="490">
        <v>0</v>
      </c>
      <c r="F164" s="490">
        <v>0</v>
      </c>
      <c r="G164" s="490">
        <v>0</v>
      </c>
      <c r="H164" s="487">
        <f t="shared" si="24"/>
        <v>28149.077076950154</v>
      </c>
      <c r="I164" s="490">
        <v>5408.1284999999998</v>
      </c>
      <c r="J164" s="345">
        <f>'B) D RI'!U164</f>
        <v>5263.6754140127387</v>
      </c>
      <c r="K164" s="62">
        <f t="shared" si="25"/>
        <v>5.2049571449624681</v>
      </c>
      <c r="L164" s="33">
        <f>'B) D RI'!S164</f>
        <v>78.5</v>
      </c>
      <c r="M164" s="433">
        <f t="shared" si="18"/>
        <v>73.295042855037536</v>
      </c>
      <c r="N164" s="428">
        <f>+'J) Plafonnement effort'!H163+'J) Plafonnement effort'!I163-'K) Plafonnement aide'!I163</f>
        <v>-5.6041529067847655</v>
      </c>
      <c r="O164" s="144">
        <f t="shared" si="19"/>
        <v>67.690889948252774</v>
      </c>
      <c r="P164" s="47">
        <f t="shared" si="20"/>
        <v>0</v>
      </c>
      <c r="Q164" s="55">
        <f t="shared" si="23"/>
        <v>0</v>
      </c>
      <c r="R164" s="144">
        <f t="shared" si="21"/>
        <v>67.690889948252774</v>
      </c>
      <c r="S164" s="124">
        <f t="shared" si="22"/>
        <v>-10.809110051747226</v>
      </c>
      <c r="T164" s="143">
        <f t="shared" si="26"/>
        <v>0</v>
      </c>
      <c r="V164" s="12"/>
    </row>
    <row r="165" spans="1:22" x14ac:dyDescent="0.25">
      <c r="A165" s="49">
        <f>'A) Base RI'!A165</f>
        <v>5665</v>
      </c>
      <c r="B165" s="341" t="str">
        <f>'A) Base RI'!B165</f>
        <v>Chavannes-sur-Moudon</v>
      </c>
      <c r="C165" s="489">
        <v>118809.73548497618</v>
      </c>
      <c r="D165" s="489">
        <v>19800.977675279442</v>
      </c>
      <c r="E165" s="490">
        <v>0</v>
      </c>
      <c r="F165" s="490">
        <v>0</v>
      </c>
      <c r="G165" s="490">
        <v>0</v>
      </c>
      <c r="H165" s="487">
        <f t="shared" si="24"/>
        <v>138610.71316025563</v>
      </c>
      <c r="I165" s="490">
        <v>6834.8221917808223</v>
      </c>
      <c r="J165" s="345">
        <f>'B) D RI'!U165</f>
        <v>4920.86942857143</v>
      </c>
      <c r="K165" s="62">
        <f t="shared" si="25"/>
        <v>20.280075950906401</v>
      </c>
      <c r="L165" s="33">
        <f>'B) D RI'!S165</f>
        <v>70</v>
      </c>
      <c r="M165" s="433">
        <f t="shared" si="18"/>
        <v>49.719924049093599</v>
      </c>
      <c r="N165" s="428">
        <f>+'J) Plafonnement effort'!H164+'J) Plafonnement effort'!I164-'K) Plafonnement aide'!I164</f>
        <v>1.5497099789627766</v>
      </c>
      <c r="O165" s="144">
        <f t="shared" si="19"/>
        <v>51.269634028056373</v>
      </c>
      <c r="P165" s="47">
        <f t="shared" si="20"/>
        <v>0</v>
      </c>
      <c r="Q165" s="55">
        <f t="shared" si="23"/>
        <v>0</v>
      </c>
      <c r="R165" s="144">
        <f t="shared" si="21"/>
        <v>51.269634028056373</v>
      </c>
      <c r="S165" s="124">
        <f t="shared" si="22"/>
        <v>-18.730365971943627</v>
      </c>
      <c r="T165" s="143">
        <f t="shared" si="26"/>
        <v>0</v>
      </c>
      <c r="V165" s="12"/>
    </row>
    <row r="166" spans="1:22" x14ac:dyDescent="0.25">
      <c r="A166" s="49">
        <f>'A) Base RI'!A166</f>
        <v>5669</v>
      </c>
      <c r="B166" s="341" t="str">
        <f>'A) Base RI'!B166</f>
        <v>Curtilles</v>
      </c>
      <c r="C166" s="489">
        <v>155136.31552199807</v>
      </c>
      <c r="D166" s="489">
        <v>69759.576646810223</v>
      </c>
      <c r="E166" s="490">
        <v>0</v>
      </c>
      <c r="F166" s="490">
        <v>0</v>
      </c>
      <c r="G166" s="490">
        <v>0</v>
      </c>
      <c r="H166" s="487">
        <f t="shared" si="24"/>
        <v>224895.89216880829</v>
      </c>
      <c r="I166" s="490">
        <v>10286.853972602739</v>
      </c>
      <c r="J166" s="345">
        <f>'B) D RI'!U166</f>
        <v>9338.3773972602739</v>
      </c>
      <c r="K166" s="62">
        <f t="shared" si="25"/>
        <v>21.862455981953246</v>
      </c>
      <c r="L166" s="33">
        <f>'B) D RI'!S166</f>
        <v>73</v>
      </c>
      <c r="M166" s="433">
        <f t="shared" si="18"/>
        <v>51.137544018046754</v>
      </c>
      <c r="N166" s="428">
        <f>+'J) Plafonnement effort'!H165+'J) Plafonnement effort'!I165-'K) Plafonnement aide'!I165</f>
        <v>15.529987832785626</v>
      </c>
      <c r="O166" s="144">
        <f t="shared" si="19"/>
        <v>66.667531850832376</v>
      </c>
      <c r="P166" s="47">
        <f t="shared" si="20"/>
        <v>0</v>
      </c>
      <c r="Q166" s="55">
        <f t="shared" si="23"/>
        <v>0</v>
      </c>
      <c r="R166" s="144">
        <f t="shared" si="21"/>
        <v>66.667531850832376</v>
      </c>
      <c r="S166" s="124">
        <f t="shared" si="22"/>
        <v>-6.3324681491676245</v>
      </c>
      <c r="T166" s="143">
        <f t="shared" si="26"/>
        <v>0</v>
      </c>
      <c r="V166" s="12"/>
    </row>
    <row r="167" spans="1:22" x14ac:dyDescent="0.25">
      <c r="A167" s="49">
        <f>'A) Base RI'!A167</f>
        <v>5671</v>
      </c>
      <c r="B167" s="341" t="str">
        <f>'A) Base RI'!B167</f>
        <v>Dompierre</v>
      </c>
      <c r="C167" s="489">
        <v>110672.61733831752</v>
      </c>
      <c r="D167" s="489">
        <v>-55520.160931044971</v>
      </c>
      <c r="E167" s="490">
        <v>0</v>
      </c>
      <c r="F167" s="490">
        <v>0</v>
      </c>
      <c r="G167" s="490">
        <v>0</v>
      </c>
      <c r="H167" s="487">
        <f t="shared" si="24"/>
        <v>55152.456407272548</v>
      </c>
      <c r="I167" s="490">
        <v>6034.0657692307695</v>
      </c>
      <c r="J167" s="345">
        <f>'B) D RI'!U167</f>
        <v>6463.9784615384606</v>
      </c>
      <c r="K167" s="62">
        <f t="shared" si="25"/>
        <v>9.1401815155063275</v>
      </c>
      <c r="L167" s="33">
        <f>'B) D RI'!S167</f>
        <v>78</v>
      </c>
      <c r="M167" s="433">
        <f t="shared" ref="M167:M218" si="27">L167-K167</f>
        <v>68.859818484493672</v>
      </c>
      <c r="N167" s="428">
        <f>+'J) Plafonnement effort'!H166+'J) Plafonnement effort'!I166-'K) Plafonnement aide'!I166</f>
        <v>5.65500535531935</v>
      </c>
      <c r="O167" s="144">
        <f t="shared" ref="O167:O218" si="28">M167+N167</f>
        <v>74.514823839813019</v>
      </c>
      <c r="P167" s="47">
        <f t="shared" ref="P167:P218" si="29">IF(O167&gt;$P$6,$P$6-O167,0)</f>
        <v>0</v>
      </c>
      <c r="Q167" s="55">
        <f t="shared" si="23"/>
        <v>0</v>
      </c>
      <c r="R167" s="144">
        <f t="shared" ref="R167:R218" si="30">O167+P167</f>
        <v>74.514823839813019</v>
      </c>
      <c r="S167" s="124">
        <f t="shared" ref="S167:S218" si="31">R167-L167</f>
        <v>-3.4851761601869811</v>
      </c>
      <c r="T167" s="143">
        <f t="shared" si="26"/>
        <v>0</v>
      </c>
      <c r="V167" s="12"/>
    </row>
    <row r="168" spans="1:22" x14ac:dyDescent="0.25">
      <c r="A168" s="49">
        <f>'A) Base RI'!A168</f>
        <v>5673</v>
      </c>
      <c r="B168" s="341" t="str">
        <f>'A) Base RI'!B168</f>
        <v>Hermenches</v>
      </c>
      <c r="C168" s="489">
        <v>157821.18486359189</v>
      </c>
      <c r="D168" s="489">
        <v>-14054.063852440217</v>
      </c>
      <c r="E168" s="490">
        <v>0</v>
      </c>
      <c r="F168" s="490">
        <v>0</v>
      </c>
      <c r="G168" s="490">
        <v>0</v>
      </c>
      <c r="H168" s="487">
        <f t="shared" si="24"/>
        <v>143767.12101115167</v>
      </c>
      <c r="I168" s="490">
        <v>10638.728435374151</v>
      </c>
      <c r="J168" s="345">
        <f>'B) D RI'!U168</f>
        <v>10227.295238095237</v>
      </c>
      <c r="K168" s="62">
        <f t="shared" si="25"/>
        <v>13.513562441646775</v>
      </c>
      <c r="L168" s="33">
        <f>'B) D RI'!S168</f>
        <v>73.5</v>
      </c>
      <c r="M168" s="433">
        <f t="shared" si="27"/>
        <v>59.986437558353224</v>
      </c>
      <c r="N168" s="428">
        <f>+'J) Plafonnement effort'!H167+'J) Plafonnement effort'!I167-'K) Plafonnement aide'!I167</f>
        <v>-11.333548729028156</v>
      </c>
      <c r="O168" s="144">
        <f t="shared" si="28"/>
        <v>48.652888829325065</v>
      </c>
      <c r="P168" s="47">
        <f t="shared" si="29"/>
        <v>0</v>
      </c>
      <c r="Q168" s="55">
        <f t="shared" ref="Q168:Q221" si="32">P168*J168</f>
        <v>0</v>
      </c>
      <c r="R168" s="144">
        <f t="shared" si="30"/>
        <v>48.652888829325065</v>
      </c>
      <c r="S168" s="124">
        <f t="shared" si="31"/>
        <v>-24.847111170674935</v>
      </c>
      <c r="T168" s="143">
        <f t="shared" si="26"/>
        <v>0</v>
      </c>
      <c r="V168" s="12"/>
    </row>
    <row r="169" spans="1:22" x14ac:dyDescent="0.25">
      <c r="A169" s="49">
        <f>'A) Base RI'!A169</f>
        <v>5674</v>
      </c>
      <c r="B169" s="341" t="str">
        <f>'A) Base RI'!B169</f>
        <v>Lovatens</v>
      </c>
      <c r="C169" s="489">
        <v>84114.698331179039</v>
      </c>
      <c r="D169" s="489">
        <v>-28800.641810924455</v>
      </c>
      <c r="E169" s="490">
        <v>0</v>
      </c>
      <c r="F169" s="490">
        <v>0</v>
      </c>
      <c r="G169" s="490">
        <v>0</v>
      </c>
      <c r="H169" s="487">
        <f t="shared" si="24"/>
        <v>55314.056520254584</v>
      </c>
      <c r="I169" s="490">
        <v>3430.742038095239</v>
      </c>
      <c r="J169" s="345">
        <f>'B) D RI'!U169</f>
        <v>4222.7234666666664</v>
      </c>
      <c r="K169" s="62">
        <f t="shared" si="25"/>
        <v>16.123059065952145</v>
      </c>
      <c r="L169" s="33">
        <f>'B) D RI'!S169</f>
        <v>75</v>
      </c>
      <c r="M169" s="433">
        <f t="shared" si="27"/>
        <v>58.876940934047852</v>
      </c>
      <c r="N169" s="428">
        <f>+'J) Plafonnement effort'!H168+'J) Plafonnement effort'!I168-'K) Plafonnement aide'!I168</f>
        <v>5.3303112331700158</v>
      </c>
      <c r="O169" s="144">
        <f t="shared" si="28"/>
        <v>64.207252167217874</v>
      </c>
      <c r="P169" s="47">
        <f t="shared" si="29"/>
        <v>0</v>
      </c>
      <c r="Q169" s="55">
        <f t="shared" si="32"/>
        <v>0</v>
      </c>
      <c r="R169" s="144">
        <f t="shared" si="30"/>
        <v>64.207252167217874</v>
      </c>
      <c r="S169" s="124">
        <f t="shared" si="31"/>
        <v>-10.792747832782126</v>
      </c>
      <c r="T169" s="143">
        <f t="shared" si="26"/>
        <v>0</v>
      </c>
      <c r="V169" s="12"/>
    </row>
    <row r="170" spans="1:22" x14ac:dyDescent="0.25">
      <c r="A170" s="49">
        <f>'A) Base RI'!A170</f>
        <v>5675</v>
      </c>
      <c r="B170" s="341" t="str">
        <f>'A) Base RI'!B170</f>
        <v>Lucens</v>
      </c>
      <c r="C170" s="489">
        <v>1572416.1674650915</v>
      </c>
      <c r="D170" s="489">
        <v>-1623961.3985867461</v>
      </c>
      <c r="E170" s="490">
        <v>0</v>
      </c>
      <c r="F170" s="490">
        <v>0</v>
      </c>
      <c r="G170" s="490">
        <v>0</v>
      </c>
      <c r="H170" s="487">
        <f t="shared" si="24"/>
        <v>-51545.231121654622</v>
      </c>
      <c r="I170" s="490">
        <v>97154.219717171698</v>
      </c>
      <c r="J170" s="345">
        <f>'B) D RI'!U170</f>
        <v>105170.58216835017</v>
      </c>
      <c r="K170" s="62">
        <f t="shared" si="25"/>
        <v>-0.53055061603818499</v>
      </c>
      <c r="L170" s="33">
        <f>'B) D RI'!S170</f>
        <v>67.5</v>
      </c>
      <c r="M170" s="433">
        <f t="shared" ref="M170" si="33">L170-K170</f>
        <v>68.030550616038184</v>
      </c>
      <c r="N170" s="428">
        <f>+'J) Plafonnement effort'!H169+'J) Plafonnement effort'!I169-'K) Plafonnement aide'!I169</f>
        <v>-6.9241256958077688</v>
      </c>
      <c r="O170" s="144">
        <f t="shared" ref="O170" si="34">M170+N170</f>
        <v>61.106424920230417</v>
      </c>
      <c r="P170" s="47">
        <f t="shared" ref="P170" si="35">IF(O170&gt;$P$6,$P$6-O170,0)</f>
        <v>0</v>
      </c>
      <c r="Q170" s="55">
        <f t="shared" ref="Q170" si="36">P170*J170</f>
        <v>0</v>
      </c>
      <c r="R170" s="144">
        <f t="shared" ref="R170" si="37">O170+P170</f>
        <v>61.106424920230417</v>
      </c>
      <c r="S170" s="124">
        <f t="shared" ref="S170" si="38">R170-L170</f>
        <v>-6.3935750797695832</v>
      </c>
      <c r="T170" s="143">
        <f t="shared" si="26"/>
        <v>0</v>
      </c>
      <c r="V170" s="12"/>
    </row>
    <row r="171" spans="1:22" x14ac:dyDescent="0.25">
      <c r="A171" s="49">
        <f>'A) Base RI'!A171</f>
        <v>5678</v>
      </c>
      <c r="B171" s="341" t="str">
        <f>'A) Base RI'!B171</f>
        <v>Moudon</v>
      </c>
      <c r="C171" s="489">
        <v>2346705.2817523354</v>
      </c>
      <c r="D171" s="489">
        <v>-3645789.8807779234</v>
      </c>
      <c r="E171" s="490">
        <v>299361.25006007089</v>
      </c>
      <c r="F171" s="490">
        <v>0</v>
      </c>
      <c r="G171" s="490">
        <v>0</v>
      </c>
      <c r="H171" s="487">
        <f t="shared" si="24"/>
        <v>-999723.34896551713</v>
      </c>
      <c r="I171" s="490">
        <v>124965.41862068966</v>
      </c>
      <c r="J171" s="345">
        <f>'B) D RI'!U171</f>
        <v>124836.852</v>
      </c>
      <c r="K171" s="62">
        <f t="shared" si="25"/>
        <v>-7.9999999999999991</v>
      </c>
      <c r="L171" s="33">
        <f>'B) D RI'!S171</f>
        <v>72.5</v>
      </c>
      <c r="M171" s="433">
        <f t="shared" si="27"/>
        <v>80.5</v>
      </c>
      <c r="N171" s="428">
        <f>+'J) Plafonnement effort'!H170+'J) Plafonnement effort'!I170-'K) Plafonnement aide'!I170</f>
        <v>-26.187993742424712</v>
      </c>
      <c r="O171" s="144">
        <f t="shared" si="28"/>
        <v>54.312006257575291</v>
      </c>
      <c r="P171" s="47">
        <f t="shared" si="29"/>
        <v>0</v>
      </c>
      <c r="Q171" s="55">
        <f t="shared" si="32"/>
        <v>0</v>
      </c>
      <c r="R171" s="144">
        <f t="shared" si="30"/>
        <v>54.312006257575291</v>
      </c>
      <c r="S171" s="124">
        <f t="shared" si="31"/>
        <v>-18.187993742424709</v>
      </c>
      <c r="T171" s="143">
        <f t="shared" si="26"/>
        <v>0</v>
      </c>
      <c r="V171" s="12"/>
    </row>
    <row r="172" spans="1:22" x14ac:dyDescent="0.25">
      <c r="A172" s="49">
        <f>'A) Base RI'!A172</f>
        <v>5680</v>
      </c>
      <c r="B172" s="341" t="str">
        <f>'A) Base RI'!B172</f>
        <v>Ogens</v>
      </c>
      <c r="C172" s="489">
        <v>168656.99811826195</v>
      </c>
      <c r="D172" s="489">
        <v>-13230.337099781376</v>
      </c>
      <c r="E172" s="490">
        <v>0</v>
      </c>
      <c r="F172" s="490">
        <v>0</v>
      </c>
      <c r="G172" s="490">
        <v>0</v>
      </c>
      <c r="H172" s="487">
        <f t="shared" si="24"/>
        <v>155426.66101848058</v>
      </c>
      <c r="I172" s="490">
        <v>8675.0652136752142</v>
      </c>
      <c r="J172" s="345">
        <f>'B) D RI'!U172</f>
        <v>8501.5391880341886</v>
      </c>
      <c r="K172" s="62">
        <f t="shared" si="25"/>
        <v>17.916483298992247</v>
      </c>
      <c r="L172" s="33">
        <f>'B) D RI'!S172</f>
        <v>78</v>
      </c>
      <c r="M172" s="433">
        <f t="shared" si="27"/>
        <v>60.083516701007753</v>
      </c>
      <c r="N172" s="428">
        <f>+'J) Plafonnement effort'!H171+'J) Plafonnement effort'!I171-'K) Plafonnement aide'!I171</f>
        <v>3.8800831734237482</v>
      </c>
      <c r="O172" s="144">
        <f t="shared" si="28"/>
        <v>63.963599874431502</v>
      </c>
      <c r="P172" s="47">
        <f t="shared" si="29"/>
        <v>0</v>
      </c>
      <c r="Q172" s="55">
        <f t="shared" si="32"/>
        <v>0</v>
      </c>
      <c r="R172" s="144">
        <f t="shared" si="30"/>
        <v>63.963599874431502</v>
      </c>
      <c r="S172" s="124">
        <f t="shared" si="31"/>
        <v>-14.036400125568498</v>
      </c>
      <c r="T172" s="143">
        <f t="shared" si="26"/>
        <v>0</v>
      </c>
      <c r="V172" s="12"/>
    </row>
    <row r="173" spans="1:22" x14ac:dyDescent="0.25">
      <c r="A173" s="49">
        <f>'A) Base RI'!A173</f>
        <v>5683</v>
      </c>
      <c r="B173" s="341" t="str">
        <f>'A) Base RI'!B173</f>
        <v>Prévonloup</v>
      </c>
      <c r="C173" s="489">
        <v>69816.704189291631</v>
      </c>
      <c r="D173" s="489">
        <v>-28736.051951591973</v>
      </c>
      <c r="E173" s="490">
        <v>0</v>
      </c>
      <c r="F173" s="490">
        <v>0</v>
      </c>
      <c r="G173" s="490">
        <v>0</v>
      </c>
      <c r="H173" s="487">
        <f t="shared" si="24"/>
        <v>41080.652237699658</v>
      </c>
      <c r="I173" s="490">
        <v>5006.0282758620697</v>
      </c>
      <c r="J173" s="345">
        <f>'B) D RI'!U173</f>
        <v>5386.44</v>
      </c>
      <c r="K173" s="62">
        <f t="shared" si="25"/>
        <v>8.2062365559901504</v>
      </c>
      <c r="L173" s="33">
        <f>'B) D RI'!S173</f>
        <v>72.5</v>
      </c>
      <c r="M173" s="433">
        <f t="shared" si="27"/>
        <v>64.293763444009855</v>
      </c>
      <c r="N173" s="428">
        <f>+'J) Plafonnement effort'!H172+'J) Plafonnement effort'!I172-'K) Plafonnement aide'!I172</f>
        <v>6.3178602989642183</v>
      </c>
      <c r="O173" s="144">
        <f t="shared" si="28"/>
        <v>70.611623742974075</v>
      </c>
      <c r="P173" s="47">
        <f t="shared" si="29"/>
        <v>0</v>
      </c>
      <c r="Q173" s="55">
        <f t="shared" si="32"/>
        <v>0</v>
      </c>
      <c r="R173" s="144">
        <f t="shared" si="30"/>
        <v>70.611623742974075</v>
      </c>
      <c r="S173" s="124">
        <f t="shared" si="31"/>
        <v>-1.888376257025925</v>
      </c>
      <c r="T173" s="143">
        <f t="shared" si="26"/>
        <v>0</v>
      </c>
      <c r="V173" s="12"/>
    </row>
    <row r="174" spans="1:22" x14ac:dyDescent="0.25">
      <c r="A174" s="49">
        <f>'A) Base RI'!A174</f>
        <v>5684</v>
      </c>
      <c r="B174" s="341" t="str">
        <f>'A) Base RI'!B174</f>
        <v>Rossenges</v>
      </c>
      <c r="C174" s="489">
        <v>62908.167625324408</v>
      </c>
      <c r="D174" s="489">
        <v>72666.833364051185</v>
      </c>
      <c r="E174" s="490">
        <v>0</v>
      </c>
      <c r="F174" s="490">
        <v>0</v>
      </c>
      <c r="G174" s="490">
        <v>0</v>
      </c>
      <c r="H174" s="487">
        <f t="shared" si="24"/>
        <v>135575.00098937558</v>
      </c>
      <c r="I174" s="490">
        <v>4335.3234000000011</v>
      </c>
      <c r="J174" s="345">
        <f>'B) D RI'!U174</f>
        <v>3253.4816666666666</v>
      </c>
      <c r="K174" s="62">
        <f t="shared" si="25"/>
        <v>31.272177062817399</v>
      </c>
      <c r="L174" s="33">
        <f>'B) D RI'!S174</f>
        <v>75</v>
      </c>
      <c r="M174" s="433">
        <f t="shared" si="27"/>
        <v>43.727822937182601</v>
      </c>
      <c r="N174" s="428">
        <f>+'J) Plafonnement effort'!H173+'J) Plafonnement effort'!I173-'K) Plafonnement aide'!I173</f>
        <v>18.676643175524024</v>
      </c>
      <c r="O174" s="144">
        <f t="shared" si="28"/>
        <v>62.404466112706629</v>
      </c>
      <c r="P174" s="47">
        <f t="shared" si="29"/>
        <v>0</v>
      </c>
      <c r="Q174" s="55">
        <f t="shared" si="32"/>
        <v>0</v>
      </c>
      <c r="R174" s="144">
        <f t="shared" si="30"/>
        <v>62.404466112706629</v>
      </c>
      <c r="S174" s="124">
        <f t="shared" si="31"/>
        <v>-12.595533887293371</v>
      </c>
      <c r="T174" s="143">
        <f t="shared" si="26"/>
        <v>0</v>
      </c>
      <c r="V174" s="12"/>
    </row>
    <row r="175" spans="1:22" x14ac:dyDescent="0.25">
      <c r="A175" s="49">
        <f>'A) Base RI'!A175</f>
        <v>5688</v>
      </c>
      <c r="B175" s="341" t="str">
        <f>'A) Base RI'!B175</f>
        <v>Syens</v>
      </c>
      <c r="C175" s="489">
        <v>68843.040204403122</v>
      </c>
      <c r="D175" s="489">
        <v>22780.898933697084</v>
      </c>
      <c r="E175" s="490">
        <v>0</v>
      </c>
      <c r="F175" s="490">
        <v>0</v>
      </c>
      <c r="G175" s="490">
        <v>-29396.217297415456</v>
      </c>
      <c r="H175" s="487">
        <f t="shared" si="24"/>
        <v>62227.721840684753</v>
      </c>
      <c r="I175" s="490">
        <v>5094.0764550264557</v>
      </c>
      <c r="J175" s="345">
        <f>'B) D RI'!U175</f>
        <v>6154.6576923076918</v>
      </c>
      <c r="K175" s="62">
        <f t="shared" si="25"/>
        <v>12.21570237315207</v>
      </c>
      <c r="L175" s="33">
        <f>'B) D RI'!S175</f>
        <v>65</v>
      </c>
      <c r="M175" s="433">
        <f t="shared" si="27"/>
        <v>52.78429762684793</v>
      </c>
      <c r="N175" s="428">
        <f>+'J) Plafonnement effort'!H174+'J) Plafonnement effort'!I174-'K) Plafonnement aide'!I174</f>
        <v>19.11953553498936</v>
      </c>
      <c r="O175" s="144">
        <f t="shared" si="28"/>
        <v>71.903833161837298</v>
      </c>
      <c r="P175" s="47">
        <f t="shared" si="29"/>
        <v>0</v>
      </c>
      <c r="Q175" s="55">
        <f t="shared" si="32"/>
        <v>0</v>
      </c>
      <c r="R175" s="144">
        <f t="shared" si="30"/>
        <v>71.903833161837298</v>
      </c>
      <c r="S175" s="124">
        <f t="shared" si="31"/>
        <v>6.9038331618372979</v>
      </c>
      <c r="T175" s="143">
        <f t="shared" si="26"/>
        <v>0</v>
      </c>
      <c r="V175" s="12"/>
    </row>
    <row r="176" spans="1:22" x14ac:dyDescent="0.25">
      <c r="A176" s="49">
        <f>'A) Base RI'!A176</f>
        <v>5690</v>
      </c>
      <c r="B176" s="341" t="str">
        <f>'A) Base RI'!B176</f>
        <v>Villars-le-Comte</v>
      </c>
      <c r="C176" s="489">
        <v>64844.243896383501</v>
      </c>
      <c r="D176" s="489">
        <v>6736.2117896009877</v>
      </c>
      <c r="E176" s="490">
        <v>0</v>
      </c>
      <c r="F176" s="490">
        <v>0</v>
      </c>
      <c r="G176" s="490">
        <v>0</v>
      </c>
      <c r="H176" s="487">
        <f t="shared" si="24"/>
        <v>71580.455685984489</v>
      </c>
      <c r="I176" s="490">
        <v>3483.7788571428573</v>
      </c>
      <c r="J176" s="345">
        <f>'B) D RI'!U176</f>
        <v>3510.0358095238093</v>
      </c>
      <c r="K176" s="62">
        <f t="shared" si="25"/>
        <v>20.546785149471166</v>
      </c>
      <c r="L176" s="33">
        <f>'B) D RI'!S176</f>
        <v>70</v>
      </c>
      <c r="M176" s="433">
        <f t="shared" si="27"/>
        <v>49.453214850528838</v>
      </c>
      <c r="N176" s="428">
        <f>+'J) Plafonnement effort'!H175+'J) Plafonnement effort'!I175-'K) Plafonnement aide'!I175</f>
        <v>3.8349662846819395</v>
      </c>
      <c r="O176" s="144">
        <f t="shared" si="28"/>
        <v>53.288181135210777</v>
      </c>
      <c r="P176" s="47">
        <f t="shared" si="29"/>
        <v>0</v>
      </c>
      <c r="Q176" s="55">
        <f t="shared" si="32"/>
        <v>0</v>
      </c>
      <c r="R176" s="144">
        <f t="shared" si="30"/>
        <v>53.288181135210777</v>
      </c>
      <c r="S176" s="124">
        <f t="shared" si="31"/>
        <v>-16.711818864789223</v>
      </c>
      <c r="T176" s="143">
        <f t="shared" si="26"/>
        <v>0</v>
      </c>
      <c r="V176" s="12"/>
    </row>
    <row r="177" spans="1:22" x14ac:dyDescent="0.25">
      <c r="A177" s="49">
        <f>'A) Base RI'!A177</f>
        <v>5692</v>
      </c>
      <c r="B177" s="341" t="str">
        <f>'A) Base RI'!B177</f>
        <v>Vucherens</v>
      </c>
      <c r="C177" s="489">
        <v>298488.78182712855</v>
      </c>
      <c r="D177" s="489">
        <v>-6719.8888191436999</v>
      </c>
      <c r="E177" s="490">
        <v>0</v>
      </c>
      <c r="F177" s="490">
        <v>0</v>
      </c>
      <c r="G177" s="490">
        <v>0</v>
      </c>
      <c r="H177" s="487">
        <f t="shared" si="24"/>
        <v>291768.89300798485</v>
      </c>
      <c r="I177" s="490">
        <v>18084.556363636369</v>
      </c>
      <c r="J177" s="345">
        <f>'B) D RI'!U177</f>
        <v>18793.189090909087</v>
      </c>
      <c r="K177" s="62">
        <f t="shared" si="25"/>
        <v>16.133594164060387</v>
      </c>
      <c r="L177" s="33">
        <f>'B) D RI'!S177</f>
        <v>77</v>
      </c>
      <c r="M177" s="433">
        <f t="shared" si="27"/>
        <v>60.866405835939617</v>
      </c>
      <c r="N177" s="428">
        <f>+'J) Plafonnement effort'!H176+'J) Plafonnement effort'!I176-'K) Plafonnement aide'!I176</f>
        <v>8.146776448844026</v>
      </c>
      <c r="O177" s="144">
        <f t="shared" si="28"/>
        <v>69.013182284783639</v>
      </c>
      <c r="P177" s="47">
        <f t="shared" si="29"/>
        <v>0</v>
      </c>
      <c r="Q177" s="55">
        <f t="shared" si="32"/>
        <v>0</v>
      </c>
      <c r="R177" s="144">
        <f t="shared" si="30"/>
        <v>69.013182284783639</v>
      </c>
      <c r="S177" s="124">
        <f t="shared" si="31"/>
        <v>-7.9868177152163611</v>
      </c>
      <c r="T177" s="143">
        <f t="shared" si="26"/>
        <v>0</v>
      </c>
      <c r="V177" s="12"/>
    </row>
    <row r="178" spans="1:22" x14ac:dyDescent="0.25">
      <c r="A178" s="49">
        <f>'A) Base RI'!A178</f>
        <v>5693</v>
      </c>
      <c r="B178" s="341" t="str">
        <f>'A) Base RI'!B178</f>
        <v>Montanaire</v>
      </c>
      <c r="C178" s="489">
        <v>1218889.6696645399</v>
      </c>
      <c r="D178" s="489">
        <v>-687660.75519837881</v>
      </c>
      <c r="E178" s="490">
        <v>0</v>
      </c>
      <c r="F178" s="490">
        <v>0</v>
      </c>
      <c r="G178" s="490">
        <v>0</v>
      </c>
      <c r="H178" s="487">
        <f t="shared" si="24"/>
        <v>531228.91446616105</v>
      </c>
      <c r="I178" s="490">
        <v>71120.535138888881</v>
      </c>
      <c r="J178" s="345">
        <f>'B) D RI'!U178</f>
        <v>75692.909285714297</v>
      </c>
      <c r="K178" s="62">
        <f t="shared" si="25"/>
        <v>7.4694167223115251</v>
      </c>
      <c r="L178" s="33">
        <f>'B) D RI'!S178</f>
        <v>70</v>
      </c>
      <c r="M178" s="433">
        <f>L178-K178</f>
        <v>62.530583277688478</v>
      </c>
      <c r="N178" s="428">
        <f>+'J) Plafonnement effort'!H177+'J) Plafonnement effort'!I177-'K) Plafonnement aide'!I177</f>
        <v>-0.53686699095749635</v>
      </c>
      <c r="O178" s="144">
        <f>M178+N178</f>
        <v>61.993716286730979</v>
      </c>
      <c r="P178" s="47">
        <f t="shared" si="29"/>
        <v>0</v>
      </c>
      <c r="Q178" s="55">
        <f>P178*J178</f>
        <v>0</v>
      </c>
      <c r="R178" s="144">
        <f>O178+P178</f>
        <v>61.993716286730979</v>
      </c>
      <c r="S178" s="124">
        <f>R178-L178</f>
        <v>-8.0062837132690206</v>
      </c>
      <c r="T178" s="143">
        <f t="shared" si="26"/>
        <v>0</v>
      </c>
      <c r="V178" s="12"/>
    </row>
    <row r="179" spans="1:22" x14ac:dyDescent="0.25">
      <c r="A179" s="49">
        <f>'A) Base RI'!A179</f>
        <v>5701</v>
      </c>
      <c r="B179" s="341" t="str">
        <f>'A) Base RI'!B179</f>
        <v>Arnex-sur-Nyon</v>
      </c>
      <c r="C179" s="489">
        <v>261697.76606511991</v>
      </c>
      <c r="D179" s="489">
        <v>211313.4589915468</v>
      </c>
      <c r="E179" s="490">
        <v>0</v>
      </c>
      <c r="F179" s="490">
        <v>0</v>
      </c>
      <c r="G179" s="490">
        <v>0</v>
      </c>
      <c r="H179" s="487">
        <f t="shared" si="24"/>
        <v>473011.22505666671</v>
      </c>
      <c r="I179" s="490">
        <v>12579.391714285715</v>
      </c>
      <c r="J179" s="345">
        <f>'B) D RI'!U179</f>
        <v>14488.714857142857</v>
      </c>
      <c r="K179" s="62">
        <f t="shared" si="25"/>
        <v>37.602074551784106</v>
      </c>
      <c r="L179" s="33">
        <f>'B) D RI'!S179</f>
        <v>70</v>
      </c>
      <c r="M179" s="433">
        <f>L179-K179</f>
        <v>32.397925448215894</v>
      </c>
      <c r="N179" s="428">
        <f>+'J) Plafonnement effort'!H178+'J) Plafonnement effort'!I178-'K) Plafonnement aide'!I178</f>
        <v>32.997916489324467</v>
      </c>
      <c r="O179" s="144">
        <f>M179+N179</f>
        <v>65.395841937540354</v>
      </c>
      <c r="P179" s="47">
        <f t="shared" si="29"/>
        <v>0</v>
      </c>
      <c r="Q179" s="55">
        <f>P179*J179</f>
        <v>0</v>
      </c>
      <c r="R179" s="144">
        <f>O179+P179</f>
        <v>65.395841937540354</v>
      </c>
      <c r="S179" s="124">
        <f>R179-L179</f>
        <v>-4.6041580624596463</v>
      </c>
      <c r="T179" s="143">
        <f t="shared" si="26"/>
        <v>0</v>
      </c>
      <c r="V179" s="12"/>
    </row>
    <row r="180" spans="1:22" x14ac:dyDescent="0.25">
      <c r="A180" s="49">
        <f>'A) Base RI'!A180</f>
        <v>5702</v>
      </c>
      <c r="B180" s="341" t="str">
        <f>'A) Base RI'!B180</f>
        <v>Arzier-Le Muids</v>
      </c>
      <c r="C180" s="489">
        <v>3111629.4105793475</v>
      </c>
      <c r="D180" s="489">
        <v>2426981.6614446696</v>
      </c>
      <c r="E180" s="490">
        <v>0</v>
      </c>
      <c r="F180" s="490">
        <v>0</v>
      </c>
      <c r="G180" s="490">
        <v>0</v>
      </c>
      <c r="H180" s="487">
        <f t="shared" si="24"/>
        <v>5538611.0720240176</v>
      </c>
      <c r="I180" s="490">
        <v>167751.11713541666</v>
      </c>
      <c r="J180" s="345">
        <f>'B) D RI'!U180</f>
        <v>174862.96255208339</v>
      </c>
      <c r="K180" s="62">
        <f t="shared" si="25"/>
        <v>33.016835694471041</v>
      </c>
      <c r="L180" s="33">
        <f>'B) D RI'!S180</f>
        <v>64</v>
      </c>
      <c r="M180" s="433">
        <f t="shared" si="27"/>
        <v>30.983164305528959</v>
      </c>
      <c r="N180" s="428">
        <f>+'J) Plafonnement effort'!H179+'J) Plafonnement effort'!I179-'K) Plafonnement aide'!I179</f>
        <v>26.068755891931339</v>
      </c>
      <c r="O180" s="144">
        <f t="shared" si="28"/>
        <v>57.051920197460298</v>
      </c>
      <c r="P180" s="47">
        <f t="shared" si="29"/>
        <v>0</v>
      </c>
      <c r="Q180" s="55">
        <f t="shared" si="32"/>
        <v>0</v>
      </c>
      <c r="R180" s="144">
        <f t="shared" si="30"/>
        <v>57.051920197460298</v>
      </c>
      <c r="S180" s="124">
        <f t="shared" si="31"/>
        <v>-6.9480798025397021</v>
      </c>
      <c r="T180" s="143">
        <f t="shared" si="26"/>
        <v>0</v>
      </c>
      <c r="V180" s="12"/>
    </row>
    <row r="181" spans="1:22" x14ac:dyDescent="0.25">
      <c r="A181" s="49">
        <f>'A) Base RI'!A181</f>
        <v>5703</v>
      </c>
      <c r="B181" s="341" t="str">
        <f>'A) Base RI'!B181</f>
        <v>Bassins</v>
      </c>
      <c r="C181" s="489">
        <v>1167079.7700135177</v>
      </c>
      <c r="D181" s="489">
        <v>905832.02854243456</v>
      </c>
      <c r="E181" s="490">
        <v>0</v>
      </c>
      <c r="F181" s="490">
        <v>0</v>
      </c>
      <c r="G181" s="490">
        <v>0</v>
      </c>
      <c r="H181" s="487">
        <f t="shared" si="24"/>
        <v>2072911.7985559523</v>
      </c>
      <c r="I181" s="490">
        <v>66904.36396059113</v>
      </c>
      <c r="J181" s="345">
        <f>'B) D RI'!U181</f>
        <v>66800.247822660094</v>
      </c>
      <c r="K181" s="62">
        <f t="shared" si="25"/>
        <v>30.983207609251998</v>
      </c>
      <c r="L181" s="33">
        <f>'B) D RI'!S181</f>
        <v>72.5</v>
      </c>
      <c r="M181" s="433">
        <f t="shared" si="27"/>
        <v>41.516792390748002</v>
      </c>
      <c r="N181" s="428">
        <f>+'J) Plafonnement effort'!H180+'J) Plafonnement effort'!I180-'K) Plafonnement aide'!I180</f>
        <v>24.81736067408449</v>
      </c>
      <c r="O181" s="144">
        <f t="shared" si="28"/>
        <v>66.334153064832492</v>
      </c>
      <c r="P181" s="47">
        <f t="shared" si="29"/>
        <v>0</v>
      </c>
      <c r="Q181" s="55">
        <f t="shared" si="32"/>
        <v>0</v>
      </c>
      <c r="R181" s="144">
        <f t="shared" si="30"/>
        <v>66.334153064832492</v>
      </c>
      <c r="S181" s="124">
        <f t="shared" si="31"/>
        <v>-6.165846935167508</v>
      </c>
      <c r="T181" s="143">
        <f t="shared" si="26"/>
        <v>0</v>
      </c>
      <c r="V181" s="12"/>
    </row>
    <row r="182" spans="1:22" x14ac:dyDescent="0.25">
      <c r="A182" s="49">
        <f>'A) Base RI'!A182</f>
        <v>5704</v>
      </c>
      <c r="B182" s="341" t="str">
        <f>'A) Base RI'!B182</f>
        <v>Begnins</v>
      </c>
      <c r="C182" s="489">
        <v>2938556.8511514338</v>
      </c>
      <c r="D182" s="489">
        <v>2266275.7438854752</v>
      </c>
      <c r="E182" s="490">
        <v>0</v>
      </c>
      <c r="F182" s="490">
        <v>0</v>
      </c>
      <c r="G182" s="490">
        <v>0</v>
      </c>
      <c r="H182" s="487">
        <f t="shared" si="24"/>
        <v>5204832.595036909</v>
      </c>
      <c r="I182" s="490">
        <v>141538.79477333333</v>
      </c>
      <c r="J182" s="345">
        <f>'B) D RI'!U182</f>
        <v>202343.35360000003</v>
      </c>
      <c r="K182" s="62">
        <f t="shared" si="25"/>
        <v>36.773187191343297</v>
      </c>
      <c r="L182" s="33">
        <f>'B) D RI'!S182</f>
        <v>62.5</v>
      </c>
      <c r="M182" s="433">
        <f t="shared" si="27"/>
        <v>25.726812808656703</v>
      </c>
      <c r="N182" s="428">
        <f>+'J) Plafonnement effort'!H181+'J) Plafonnement effort'!I181-'K) Plafonnement aide'!I181</f>
        <v>40.422784337461025</v>
      </c>
      <c r="O182" s="144">
        <f t="shared" si="28"/>
        <v>66.149597146117728</v>
      </c>
      <c r="P182" s="47">
        <f t="shared" si="29"/>
        <v>0</v>
      </c>
      <c r="Q182" s="55">
        <f t="shared" si="32"/>
        <v>0</v>
      </c>
      <c r="R182" s="144">
        <f t="shared" si="30"/>
        <v>66.149597146117728</v>
      </c>
      <c r="S182" s="124">
        <f t="shared" si="31"/>
        <v>3.6495971461177277</v>
      </c>
      <c r="T182" s="143">
        <f t="shared" si="26"/>
        <v>0</v>
      </c>
      <c r="V182" s="12"/>
    </row>
    <row r="183" spans="1:22" x14ac:dyDescent="0.25">
      <c r="A183" s="49">
        <f>'A) Base RI'!A183</f>
        <v>5705</v>
      </c>
      <c r="B183" s="341" t="str">
        <f>'A) Base RI'!B183</f>
        <v>Bogis-Bossey</v>
      </c>
      <c r="C183" s="489">
        <v>1261174.8148226461</v>
      </c>
      <c r="D183" s="489">
        <v>972505.92448608042</v>
      </c>
      <c r="E183" s="490">
        <v>0</v>
      </c>
      <c r="F183" s="490">
        <v>0</v>
      </c>
      <c r="G183" s="490">
        <v>0</v>
      </c>
      <c r="H183" s="487">
        <f t="shared" si="24"/>
        <v>2233680.7393087265</v>
      </c>
      <c r="I183" s="490">
        <v>56148.948053691274</v>
      </c>
      <c r="J183" s="345">
        <f>'B) D RI'!U183</f>
        <v>51953.338389261742</v>
      </c>
      <c r="K183" s="62">
        <f t="shared" si="25"/>
        <v>39.781346164719153</v>
      </c>
      <c r="L183" s="33">
        <f>'B) D RI'!S183</f>
        <v>74.5</v>
      </c>
      <c r="M183" s="433">
        <f t="shared" si="27"/>
        <v>34.718653835280847</v>
      </c>
      <c r="N183" s="428">
        <f>+'J) Plafonnement effort'!H182+'J) Plafonnement effort'!I182-'K) Plafonnement aide'!I182</f>
        <v>31.351349142717602</v>
      </c>
      <c r="O183" s="144">
        <f t="shared" si="28"/>
        <v>66.070002977998456</v>
      </c>
      <c r="P183" s="47">
        <f t="shared" si="29"/>
        <v>0</v>
      </c>
      <c r="Q183" s="55">
        <f t="shared" si="32"/>
        <v>0</v>
      </c>
      <c r="R183" s="144">
        <f t="shared" si="30"/>
        <v>66.070002977998456</v>
      </c>
      <c r="S183" s="124">
        <f t="shared" si="31"/>
        <v>-8.4299970220015439</v>
      </c>
      <c r="T183" s="143">
        <f t="shared" si="26"/>
        <v>0</v>
      </c>
      <c r="V183" s="12"/>
    </row>
    <row r="184" spans="1:22" x14ac:dyDescent="0.25">
      <c r="A184" s="49">
        <f>'A) Base RI'!A184</f>
        <v>5706</v>
      </c>
      <c r="B184" s="341" t="str">
        <f>'A) Base RI'!B184</f>
        <v>Borex</v>
      </c>
      <c r="C184" s="489">
        <v>1690158.331890923</v>
      </c>
      <c r="D184" s="489">
        <v>1432383.8420637292</v>
      </c>
      <c r="E184" s="490">
        <v>0</v>
      </c>
      <c r="F184" s="490">
        <v>0</v>
      </c>
      <c r="G184" s="490">
        <v>0</v>
      </c>
      <c r="H184" s="487">
        <f t="shared" si="24"/>
        <v>3122542.1739546522</v>
      </c>
      <c r="I184" s="490">
        <v>84057.706842105254</v>
      </c>
      <c r="J184" s="345">
        <f>'B) D RI'!U184</f>
        <v>71207.99596491229</v>
      </c>
      <c r="K184" s="62">
        <f t="shared" si="25"/>
        <v>37.147601228523442</v>
      </c>
      <c r="L184" s="33">
        <f>'B) D RI'!S184</f>
        <v>57</v>
      </c>
      <c r="M184" s="433">
        <f t="shared" si="27"/>
        <v>19.852398771476558</v>
      </c>
      <c r="N184" s="428">
        <f>+'J) Plafonnement effort'!H183+'J) Plafonnement effort'!I183-'K) Plafonnement aide'!I183</f>
        <v>30.94968380779342</v>
      </c>
      <c r="O184" s="144">
        <f t="shared" si="28"/>
        <v>50.802082579269978</v>
      </c>
      <c r="P184" s="47">
        <f t="shared" si="29"/>
        <v>0</v>
      </c>
      <c r="Q184" s="55">
        <f t="shared" si="32"/>
        <v>0</v>
      </c>
      <c r="R184" s="144">
        <f t="shared" si="30"/>
        <v>50.802082579269978</v>
      </c>
      <c r="S184" s="124">
        <f t="shared" si="31"/>
        <v>-6.1979174207300218</v>
      </c>
      <c r="T184" s="143">
        <f t="shared" si="26"/>
        <v>0</v>
      </c>
      <c r="V184" s="12"/>
    </row>
    <row r="185" spans="1:22" x14ac:dyDescent="0.25">
      <c r="A185" s="49">
        <f>'A) Base RI'!A185</f>
        <v>5707</v>
      </c>
      <c r="B185" s="341" t="str">
        <f>'A) Base RI'!B185</f>
        <v>Chavannes-de-Bogis</v>
      </c>
      <c r="C185" s="489">
        <v>1762136.8882629981</v>
      </c>
      <c r="D185" s="489">
        <v>1330078.439751057</v>
      </c>
      <c r="E185" s="490">
        <v>0</v>
      </c>
      <c r="F185" s="490">
        <v>0</v>
      </c>
      <c r="G185" s="490">
        <v>0</v>
      </c>
      <c r="H185" s="487">
        <f t="shared" si="24"/>
        <v>3092215.3280140553</v>
      </c>
      <c r="I185" s="490">
        <v>81835.320459770097</v>
      </c>
      <c r="J185" s="345">
        <f>'B) D RI'!U185</f>
        <v>88021.415574712664</v>
      </c>
      <c r="K185" s="62">
        <f t="shared" si="25"/>
        <v>37.785827814215935</v>
      </c>
      <c r="L185" s="33">
        <f>'B) D RI'!S185</f>
        <v>58</v>
      </c>
      <c r="M185" s="433">
        <f t="shared" si="27"/>
        <v>20.214172185784065</v>
      </c>
      <c r="N185" s="428">
        <f>+'J) Plafonnement effort'!H184+'J) Plafonnement effort'!I184-'K) Plafonnement aide'!I184</f>
        <v>31.953930542812945</v>
      </c>
      <c r="O185" s="144">
        <f t="shared" si="28"/>
        <v>52.168102728597006</v>
      </c>
      <c r="P185" s="47">
        <f t="shared" si="29"/>
        <v>0</v>
      </c>
      <c r="Q185" s="55">
        <f t="shared" si="32"/>
        <v>0</v>
      </c>
      <c r="R185" s="144">
        <f t="shared" si="30"/>
        <v>52.168102728597006</v>
      </c>
      <c r="S185" s="124">
        <f t="shared" si="31"/>
        <v>-5.831897271402994</v>
      </c>
      <c r="T185" s="143">
        <f t="shared" si="26"/>
        <v>0</v>
      </c>
      <c r="V185" s="12"/>
    </row>
    <row r="186" spans="1:22" x14ac:dyDescent="0.25">
      <c r="A186" s="49">
        <f>'A) Base RI'!A186</f>
        <v>5708</v>
      </c>
      <c r="B186" s="341" t="str">
        <f>'A) Base RI'!B186</f>
        <v>Chavannes-des-Bois</v>
      </c>
      <c r="C186" s="489">
        <v>1373029.8512153095</v>
      </c>
      <c r="D186" s="489">
        <v>1160391.7286775715</v>
      </c>
      <c r="E186" s="490">
        <v>0</v>
      </c>
      <c r="F186" s="490">
        <v>0</v>
      </c>
      <c r="G186" s="490">
        <v>0</v>
      </c>
      <c r="H186" s="487">
        <f t="shared" si="24"/>
        <v>2533421.5798928812</v>
      </c>
      <c r="I186" s="490">
        <v>67256.112794117653</v>
      </c>
      <c r="J186" s="345">
        <f>'B) D RI'!U186</f>
        <v>67001.640000000014</v>
      </c>
      <c r="K186" s="62">
        <f t="shared" si="25"/>
        <v>37.668272438642319</v>
      </c>
      <c r="L186" s="33">
        <f>'B) D RI'!S186</f>
        <v>68</v>
      </c>
      <c r="M186" s="433">
        <f t="shared" si="27"/>
        <v>30.331727561357681</v>
      </c>
      <c r="N186" s="428">
        <f>+'J) Plafonnement effort'!H185+'J) Plafonnement effort'!I185-'K) Plafonnement aide'!I185</f>
        <v>33.56930142890549</v>
      </c>
      <c r="O186" s="144">
        <f t="shared" si="28"/>
        <v>63.901028990263171</v>
      </c>
      <c r="P186" s="47">
        <f t="shared" si="29"/>
        <v>0</v>
      </c>
      <c r="Q186" s="55">
        <f t="shared" si="32"/>
        <v>0</v>
      </c>
      <c r="R186" s="144">
        <f t="shared" si="30"/>
        <v>63.901028990263171</v>
      </c>
      <c r="S186" s="124">
        <f t="shared" si="31"/>
        <v>-4.0989710097368288</v>
      </c>
      <c r="T186" s="143">
        <f t="shared" si="26"/>
        <v>0</v>
      </c>
      <c r="V186" s="12"/>
    </row>
    <row r="187" spans="1:22" x14ac:dyDescent="0.25">
      <c r="A187" s="49">
        <f>'A) Base RI'!A187</f>
        <v>5709</v>
      </c>
      <c r="B187" s="341" t="str">
        <f>'A) Base RI'!B187</f>
        <v>Chéserex</v>
      </c>
      <c r="C187" s="489">
        <v>2162117.3568649846</v>
      </c>
      <c r="D187" s="489">
        <v>1655870.4883459634</v>
      </c>
      <c r="E187" s="490">
        <v>0</v>
      </c>
      <c r="F187" s="490">
        <v>0</v>
      </c>
      <c r="G187" s="490">
        <v>0</v>
      </c>
      <c r="H187" s="487">
        <f t="shared" si="24"/>
        <v>3817987.845210948</v>
      </c>
      <c r="I187" s="490">
        <v>97368.06631578946</v>
      </c>
      <c r="J187" s="345">
        <f>'B) D RI'!U187</f>
        <v>88342.385614035084</v>
      </c>
      <c r="K187" s="62">
        <f t="shared" si="25"/>
        <v>39.21190991744912</v>
      </c>
      <c r="L187" s="33">
        <f>'B) D RI'!S187</f>
        <v>57</v>
      </c>
      <c r="M187" s="433">
        <f t="shared" si="27"/>
        <v>17.78809008255088</v>
      </c>
      <c r="N187" s="428">
        <f>+'J) Plafonnement effort'!H186+'J) Plafonnement effort'!I186-'K) Plafonnement aide'!I186</f>
        <v>32.880538137603345</v>
      </c>
      <c r="O187" s="144">
        <f t="shared" si="28"/>
        <v>50.668628220154226</v>
      </c>
      <c r="P187" s="47">
        <f t="shared" si="29"/>
        <v>0</v>
      </c>
      <c r="Q187" s="55">
        <f t="shared" si="32"/>
        <v>0</v>
      </c>
      <c r="R187" s="144">
        <f t="shared" si="30"/>
        <v>50.668628220154226</v>
      </c>
      <c r="S187" s="124">
        <f t="shared" si="31"/>
        <v>-6.3313717798457745</v>
      </c>
      <c r="T187" s="143">
        <f t="shared" si="26"/>
        <v>0</v>
      </c>
      <c r="V187" s="12"/>
    </row>
    <row r="188" spans="1:22" x14ac:dyDescent="0.25">
      <c r="A188" s="49">
        <f>'A) Base RI'!A188</f>
        <v>5710</v>
      </c>
      <c r="B188" s="341" t="str">
        <f>'A) Base RI'!B188</f>
        <v>Coinsins</v>
      </c>
      <c r="C188" s="489">
        <v>850424.65817788569</v>
      </c>
      <c r="D188" s="489">
        <v>724701.07249682595</v>
      </c>
      <c r="E188" s="490">
        <v>0</v>
      </c>
      <c r="F188" s="490">
        <v>0</v>
      </c>
      <c r="G188" s="490">
        <v>0</v>
      </c>
      <c r="H188" s="487">
        <f t="shared" si="24"/>
        <v>1575125.7306747115</v>
      </c>
      <c r="I188" s="490">
        <v>41108.965294117646</v>
      </c>
      <c r="J188" s="345">
        <f>'B) D RI'!U188</f>
        <v>43412.265098039228</v>
      </c>
      <c r="K188" s="62">
        <f t="shared" si="25"/>
        <v>38.315869042320536</v>
      </c>
      <c r="L188" s="33">
        <f>'B) D RI'!S188</f>
        <v>51</v>
      </c>
      <c r="M188" s="433">
        <f t="shared" si="27"/>
        <v>12.684130957679464</v>
      </c>
      <c r="N188" s="428">
        <f>+'J) Plafonnement effort'!H187+'J) Plafonnement effort'!I187-'K) Plafonnement aide'!I187</f>
        <v>36.218506905666679</v>
      </c>
      <c r="O188" s="144">
        <f t="shared" si="28"/>
        <v>48.902637863346143</v>
      </c>
      <c r="P188" s="47">
        <f t="shared" si="29"/>
        <v>0</v>
      </c>
      <c r="Q188" s="55">
        <f t="shared" si="32"/>
        <v>0</v>
      </c>
      <c r="R188" s="144">
        <f t="shared" si="30"/>
        <v>48.902637863346143</v>
      </c>
      <c r="S188" s="124">
        <f t="shared" si="31"/>
        <v>-2.0973621366538566</v>
      </c>
      <c r="T188" s="143">
        <f t="shared" si="26"/>
        <v>0</v>
      </c>
      <c r="V188" s="12"/>
    </row>
    <row r="189" spans="1:22" x14ac:dyDescent="0.25">
      <c r="A189" s="49">
        <f>'A) Base RI'!A189</f>
        <v>5711</v>
      </c>
      <c r="B189" s="341" t="str">
        <f>'A) Base RI'!B189</f>
        <v>Commugny</v>
      </c>
      <c r="C189" s="489">
        <v>5902899.3225434162</v>
      </c>
      <c r="D189" s="489">
        <v>4026827.8942220341</v>
      </c>
      <c r="E189" s="490">
        <v>0</v>
      </c>
      <c r="F189" s="490">
        <v>0</v>
      </c>
      <c r="G189" s="490">
        <v>0</v>
      </c>
      <c r="H189" s="487">
        <f t="shared" si="24"/>
        <v>9929727.2167654503</v>
      </c>
      <c r="I189" s="490">
        <v>252772.67295911297</v>
      </c>
      <c r="J189" s="345">
        <f>'B) D RI'!U189</f>
        <v>286273.03470547468</v>
      </c>
      <c r="K189" s="62">
        <f t="shared" si="25"/>
        <v>39.283230661455342</v>
      </c>
      <c r="L189" s="33">
        <f>'B) D RI'!S189</f>
        <v>55.5</v>
      </c>
      <c r="M189" s="433">
        <f t="shared" si="27"/>
        <v>16.216769338544658</v>
      </c>
      <c r="N189" s="428">
        <f>+'J) Plafonnement effort'!H188+'J) Plafonnement effort'!I188-'K) Plafonnement aide'!I188</f>
        <v>36.941233153765907</v>
      </c>
      <c r="O189" s="144">
        <f t="shared" si="28"/>
        <v>53.158002492310565</v>
      </c>
      <c r="P189" s="47">
        <f t="shared" si="29"/>
        <v>0</v>
      </c>
      <c r="Q189" s="55">
        <f t="shared" si="32"/>
        <v>0</v>
      </c>
      <c r="R189" s="144">
        <f t="shared" si="30"/>
        <v>53.158002492310565</v>
      </c>
      <c r="S189" s="124">
        <f t="shared" si="31"/>
        <v>-2.3419975076894346</v>
      </c>
      <c r="T189" s="143">
        <f t="shared" si="26"/>
        <v>0</v>
      </c>
      <c r="V189" s="12"/>
    </row>
    <row r="190" spans="1:22" x14ac:dyDescent="0.25">
      <c r="A190" s="49">
        <f>'A) Base RI'!A190</f>
        <v>5712</v>
      </c>
      <c r="B190" s="341" t="str">
        <f>'A) Base RI'!B190</f>
        <v>Coppet</v>
      </c>
      <c r="C190" s="489">
        <v>10575797.966616083</v>
      </c>
      <c r="D190" s="489">
        <v>6379876.6840076772</v>
      </c>
      <c r="E190" s="490">
        <v>0</v>
      </c>
      <c r="F190" s="490">
        <v>0</v>
      </c>
      <c r="G190" s="490">
        <v>0</v>
      </c>
      <c r="H190" s="487">
        <f t="shared" si="24"/>
        <v>16955674.650623761</v>
      </c>
      <c r="I190" s="490">
        <v>382004.08345911955</v>
      </c>
      <c r="J190" s="345">
        <f>'B) D RI'!U190</f>
        <v>333754.3945283019</v>
      </c>
      <c r="K190" s="62">
        <f t="shared" si="25"/>
        <v>44.386108381583007</v>
      </c>
      <c r="L190" s="33">
        <f>'B) D RI'!S190</f>
        <v>53</v>
      </c>
      <c r="M190" s="433">
        <f t="shared" si="27"/>
        <v>8.6138916184169929</v>
      </c>
      <c r="N190" s="428">
        <f>+'J) Plafonnement effort'!H189+'J) Plafonnement effort'!I189-'K) Plafonnement aide'!I189</f>
        <v>38.037232224813991</v>
      </c>
      <c r="O190" s="144">
        <f t="shared" si="28"/>
        <v>46.651123843230984</v>
      </c>
      <c r="P190" s="47">
        <f t="shared" si="29"/>
        <v>0</v>
      </c>
      <c r="Q190" s="55">
        <f t="shared" si="32"/>
        <v>0</v>
      </c>
      <c r="R190" s="144">
        <f t="shared" si="30"/>
        <v>46.651123843230984</v>
      </c>
      <c r="S190" s="124">
        <f t="shared" si="31"/>
        <v>-6.3488761567690162</v>
      </c>
      <c r="T190" s="143">
        <f t="shared" si="26"/>
        <v>0</v>
      </c>
      <c r="V190" s="12"/>
    </row>
    <row r="191" spans="1:22" x14ac:dyDescent="0.25">
      <c r="A191" s="49">
        <f>'A) Base RI'!A191</f>
        <v>5713</v>
      </c>
      <c r="B191" s="341" t="str">
        <f>'A) Base RI'!B191</f>
        <v>Crans</v>
      </c>
      <c r="C191" s="489">
        <v>9570225.205622267</v>
      </c>
      <c r="D191" s="489">
        <v>5326123.579691981</v>
      </c>
      <c r="E191" s="490">
        <v>0</v>
      </c>
      <c r="F191" s="490">
        <v>0</v>
      </c>
      <c r="G191" s="490">
        <v>0</v>
      </c>
      <c r="H191" s="487">
        <f t="shared" si="24"/>
        <v>14896348.785314247</v>
      </c>
      <c r="I191" s="490">
        <v>308668.8301785714</v>
      </c>
      <c r="J191" s="345">
        <f>'B) D RI'!U191</f>
        <v>302504.79982142855</v>
      </c>
      <c r="K191" s="62">
        <f t="shared" si="25"/>
        <v>48.259970975029766</v>
      </c>
      <c r="L191" s="33">
        <f>'B) D RI'!S191</f>
        <v>56</v>
      </c>
      <c r="M191" s="433">
        <f t="shared" si="27"/>
        <v>7.7400290249702337</v>
      </c>
      <c r="N191" s="428">
        <f>+'J) Plafonnement effort'!H190+'J) Plafonnement effort'!I190-'K) Plafonnement aide'!I190</f>
        <v>42.611100485799966</v>
      </c>
      <c r="O191" s="144">
        <f t="shared" si="28"/>
        <v>50.3511295107702</v>
      </c>
      <c r="P191" s="47">
        <f t="shared" si="29"/>
        <v>0</v>
      </c>
      <c r="Q191" s="55">
        <f t="shared" si="32"/>
        <v>0</v>
      </c>
      <c r="R191" s="144">
        <f t="shared" si="30"/>
        <v>50.3511295107702</v>
      </c>
      <c r="S191" s="124">
        <f t="shared" si="31"/>
        <v>-5.6488704892298003</v>
      </c>
      <c r="T191" s="143">
        <f t="shared" si="26"/>
        <v>0</v>
      </c>
      <c r="V191" s="12"/>
    </row>
    <row r="192" spans="1:22" x14ac:dyDescent="0.25">
      <c r="A192" s="49">
        <f>'A) Base RI'!A192</f>
        <v>5714</v>
      </c>
      <c r="B192" s="341" t="str">
        <f>'A) Base RI'!B192</f>
        <v>Crassier</v>
      </c>
      <c r="C192" s="489">
        <v>885237.3179974485</v>
      </c>
      <c r="D192" s="489">
        <v>781622.8637622993</v>
      </c>
      <c r="E192" s="490">
        <v>0</v>
      </c>
      <c r="F192" s="490">
        <v>0</v>
      </c>
      <c r="G192" s="490">
        <v>0</v>
      </c>
      <c r="H192" s="487">
        <f t="shared" si="24"/>
        <v>1666860.1817597477</v>
      </c>
      <c r="I192" s="490">
        <v>53429.691617647055</v>
      </c>
      <c r="J192" s="345">
        <f>'B) D RI'!U192</f>
        <v>62136.029852941167</v>
      </c>
      <c r="K192" s="62">
        <f t="shared" si="25"/>
        <v>31.197263755293843</v>
      </c>
      <c r="L192" s="33">
        <f>'B) D RI'!S192</f>
        <v>68</v>
      </c>
      <c r="M192" s="433">
        <f t="shared" si="27"/>
        <v>36.802736244706153</v>
      </c>
      <c r="N192" s="428">
        <f>+'J) Plafonnement effort'!H191+'J) Plafonnement effort'!I191-'K) Plafonnement aide'!I191</f>
        <v>28.155699452486136</v>
      </c>
      <c r="O192" s="144">
        <f t="shared" si="28"/>
        <v>64.958435697192286</v>
      </c>
      <c r="P192" s="47">
        <f t="shared" si="29"/>
        <v>0</v>
      </c>
      <c r="Q192" s="55">
        <f t="shared" si="32"/>
        <v>0</v>
      </c>
      <c r="R192" s="144">
        <f t="shared" si="30"/>
        <v>64.958435697192286</v>
      </c>
      <c r="S192" s="124">
        <f t="shared" si="31"/>
        <v>-3.0415643028077142</v>
      </c>
      <c r="T192" s="143">
        <f t="shared" si="26"/>
        <v>0</v>
      </c>
      <c r="V192" s="12"/>
    </row>
    <row r="193" spans="1:22" x14ac:dyDescent="0.25">
      <c r="A193" s="49">
        <f>'A) Base RI'!A193</f>
        <v>5715</v>
      </c>
      <c r="B193" s="341" t="str">
        <f>'A) Base RI'!B193</f>
        <v>Duillier</v>
      </c>
      <c r="C193" s="489">
        <v>1165456.2676095408</v>
      </c>
      <c r="D193" s="489">
        <v>1011567.9391825885</v>
      </c>
      <c r="E193" s="490">
        <v>0</v>
      </c>
      <c r="F193" s="490">
        <v>0</v>
      </c>
      <c r="G193" s="490">
        <v>0</v>
      </c>
      <c r="H193" s="487">
        <f t="shared" si="24"/>
        <v>2177024.2067921292</v>
      </c>
      <c r="I193" s="490">
        <v>61573.714242424234</v>
      </c>
      <c r="J193" s="345">
        <f>'B) D RI'!U193</f>
        <v>70395.129393939395</v>
      </c>
      <c r="K193" s="62">
        <f t="shared" si="25"/>
        <v>35.356389225130769</v>
      </c>
      <c r="L193" s="33">
        <f>'B) D RI'!S193</f>
        <v>66</v>
      </c>
      <c r="M193" s="433">
        <f t="shared" si="27"/>
        <v>30.643610774869231</v>
      </c>
      <c r="N193" s="428">
        <f>+'J) Plafonnement effort'!H192+'J) Plafonnement effort'!I192-'K) Plafonnement aide'!I192</f>
        <v>31.517191779927611</v>
      </c>
      <c r="O193" s="144">
        <f t="shared" si="28"/>
        <v>62.160802554796845</v>
      </c>
      <c r="P193" s="47">
        <f t="shared" si="29"/>
        <v>0</v>
      </c>
      <c r="Q193" s="55">
        <f t="shared" si="32"/>
        <v>0</v>
      </c>
      <c r="R193" s="144">
        <f t="shared" si="30"/>
        <v>62.160802554796845</v>
      </c>
      <c r="S193" s="124">
        <f t="shared" si="31"/>
        <v>-3.8391974452031548</v>
      </c>
      <c r="T193" s="143">
        <f t="shared" si="26"/>
        <v>0</v>
      </c>
      <c r="V193" s="12"/>
    </row>
    <row r="194" spans="1:22" x14ac:dyDescent="0.25">
      <c r="A194" s="49">
        <f>'A) Base RI'!A194</f>
        <v>5716</v>
      </c>
      <c r="B194" s="341" t="str">
        <f>'A) Base RI'!B194</f>
        <v>Eysins</v>
      </c>
      <c r="C194" s="489">
        <v>11332849.905141495</v>
      </c>
      <c r="D194" s="489">
        <v>5588678.9757166272</v>
      </c>
      <c r="E194" s="490">
        <v>0</v>
      </c>
      <c r="F194" s="490">
        <v>-1128335.8500598031</v>
      </c>
      <c r="G194" s="490">
        <v>0</v>
      </c>
      <c r="H194" s="487">
        <f t="shared" si="24"/>
        <v>15793193.03079832</v>
      </c>
      <c r="I194" s="490">
        <v>311499.41949579836</v>
      </c>
      <c r="J194" s="345">
        <f>'B) D RI'!U194</f>
        <v>203854.36605042018</v>
      </c>
      <c r="K194" s="62">
        <f t="shared" si="25"/>
        <v>50.700553652272042</v>
      </c>
      <c r="L194" s="33">
        <f>'B) D RI'!S194</f>
        <v>59.5</v>
      </c>
      <c r="M194" s="433">
        <f t="shared" si="27"/>
        <v>8.7994463477279581</v>
      </c>
      <c r="N194" s="428">
        <f>+'J) Plafonnement effort'!H193+'J) Plafonnement effort'!I193-'K) Plafonnement aide'!I193</f>
        <v>42.300609849685742</v>
      </c>
      <c r="O194" s="144">
        <f t="shared" si="28"/>
        <v>51.1000561974137</v>
      </c>
      <c r="P194" s="47">
        <f t="shared" si="29"/>
        <v>0</v>
      </c>
      <c r="Q194" s="55">
        <f t="shared" si="32"/>
        <v>0</v>
      </c>
      <c r="R194" s="144">
        <f t="shared" si="30"/>
        <v>51.1000561974137</v>
      </c>
      <c r="S194" s="124">
        <f t="shared" si="31"/>
        <v>-8.3999438025863</v>
      </c>
      <c r="T194" s="143">
        <f t="shared" si="26"/>
        <v>0</v>
      </c>
      <c r="V194" s="12"/>
    </row>
    <row r="195" spans="1:22" x14ac:dyDescent="0.25">
      <c r="A195" s="49">
        <f>'A) Base RI'!A195</f>
        <v>5717</v>
      </c>
      <c r="B195" s="341" t="str">
        <f>'A) Base RI'!B195</f>
        <v>Founex</v>
      </c>
      <c r="C195" s="489">
        <v>10352672.843415614</v>
      </c>
      <c r="D195" s="489">
        <v>6180678.7165428149</v>
      </c>
      <c r="E195" s="490">
        <v>0</v>
      </c>
      <c r="F195" s="490">
        <v>0</v>
      </c>
      <c r="G195" s="490">
        <v>0</v>
      </c>
      <c r="H195" s="487">
        <f t="shared" si="24"/>
        <v>16533351.559958428</v>
      </c>
      <c r="I195" s="490">
        <v>386801.60228070174</v>
      </c>
      <c r="J195" s="345">
        <f>'B) D RI'!U195</f>
        <v>390728.72</v>
      </c>
      <c r="K195" s="62">
        <f t="shared" si="25"/>
        <v>42.743751480016314</v>
      </c>
      <c r="L195" s="33">
        <f>'B) D RI'!S195</f>
        <v>57</v>
      </c>
      <c r="M195" s="433">
        <f t="shared" si="27"/>
        <v>14.256248519983686</v>
      </c>
      <c r="N195" s="428">
        <f>+'J) Plafonnement effort'!H194+'J) Plafonnement effort'!I194-'K) Plafonnement aide'!I194</f>
        <v>38.117729228444745</v>
      </c>
      <c r="O195" s="144">
        <f t="shared" si="28"/>
        <v>52.37397774842843</v>
      </c>
      <c r="P195" s="47">
        <f t="shared" si="29"/>
        <v>0</v>
      </c>
      <c r="Q195" s="55">
        <f t="shared" si="32"/>
        <v>0</v>
      </c>
      <c r="R195" s="144">
        <f t="shared" si="30"/>
        <v>52.37397774842843</v>
      </c>
      <c r="S195" s="124">
        <f t="shared" si="31"/>
        <v>-4.6260222515715697</v>
      </c>
      <c r="T195" s="143">
        <f t="shared" si="26"/>
        <v>0</v>
      </c>
      <c r="V195" s="12"/>
    </row>
    <row r="196" spans="1:22" x14ac:dyDescent="0.25">
      <c r="A196" s="49">
        <f>'A) Base RI'!A196</f>
        <v>5718</v>
      </c>
      <c r="B196" s="341" t="str">
        <f>'A) Base RI'!B196</f>
        <v>Genolier</v>
      </c>
      <c r="C196" s="489">
        <v>7000968.9285618495</v>
      </c>
      <c r="D196" s="489">
        <v>4226979.1366009703</v>
      </c>
      <c r="E196" s="490">
        <v>0</v>
      </c>
      <c r="F196" s="490">
        <v>0</v>
      </c>
      <c r="G196" s="490">
        <v>0</v>
      </c>
      <c r="H196" s="487">
        <f t="shared" si="24"/>
        <v>11227948.065162819</v>
      </c>
      <c r="I196" s="490">
        <v>245082.27927272729</v>
      </c>
      <c r="J196" s="345">
        <f>'B) D RI'!U196</f>
        <v>192274.57272727272</v>
      </c>
      <c r="K196" s="62">
        <f t="shared" si="25"/>
        <v>45.812973906074909</v>
      </c>
      <c r="L196" s="33">
        <f>'B) D RI'!S196</f>
        <v>55</v>
      </c>
      <c r="M196" s="433">
        <f t="shared" si="27"/>
        <v>9.1870260939250912</v>
      </c>
      <c r="N196" s="428">
        <f>+'J) Plafonnement effort'!H195+'J) Plafonnement effort'!I195-'K) Plafonnement aide'!I195</f>
        <v>37.191282319079285</v>
      </c>
      <c r="O196" s="144">
        <f t="shared" si="28"/>
        <v>46.378308413004376</v>
      </c>
      <c r="P196" s="47">
        <f t="shared" si="29"/>
        <v>0</v>
      </c>
      <c r="Q196" s="55">
        <f t="shared" si="32"/>
        <v>0</v>
      </c>
      <c r="R196" s="144">
        <f t="shared" si="30"/>
        <v>46.378308413004376</v>
      </c>
      <c r="S196" s="124">
        <f t="shared" si="31"/>
        <v>-8.6216915869956239</v>
      </c>
      <c r="T196" s="143">
        <f t="shared" si="26"/>
        <v>0</v>
      </c>
      <c r="V196" s="12"/>
    </row>
    <row r="197" spans="1:22" x14ac:dyDescent="0.25">
      <c r="A197" s="49">
        <f>'A) Base RI'!A197</f>
        <v>5719</v>
      </c>
      <c r="B197" s="341" t="str">
        <f>'A) Base RI'!B197</f>
        <v>Gingins</v>
      </c>
      <c r="C197" s="489">
        <v>4033313.1245107539</v>
      </c>
      <c r="D197" s="489">
        <v>2580158.1004556417</v>
      </c>
      <c r="E197" s="490">
        <v>0</v>
      </c>
      <c r="F197" s="490">
        <v>0</v>
      </c>
      <c r="G197" s="490">
        <v>0</v>
      </c>
      <c r="H197" s="487">
        <f t="shared" si="24"/>
        <v>6613471.2249663956</v>
      </c>
      <c r="I197" s="490">
        <v>145761.41602339179</v>
      </c>
      <c r="J197" s="345">
        <f>'B) D RI'!U197</f>
        <v>151294.23883333337</v>
      </c>
      <c r="K197" s="62">
        <f t="shared" si="25"/>
        <v>45.371891995787593</v>
      </c>
      <c r="L197" s="33">
        <f>'B) D RI'!S197</f>
        <v>60</v>
      </c>
      <c r="M197" s="433">
        <f t="shared" si="27"/>
        <v>14.628108004212407</v>
      </c>
      <c r="N197" s="428">
        <f>+'J) Plafonnement effort'!H196+'J) Plafonnement effort'!I196-'K) Plafonnement aide'!I196</f>
        <v>43.150176058436685</v>
      </c>
      <c r="O197" s="144">
        <f t="shared" si="28"/>
        <v>57.778284062649092</v>
      </c>
      <c r="P197" s="47">
        <f t="shared" si="29"/>
        <v>0</v>
      </c>
      <c r="Q197" s="55">
        <f t="shared" si="32"/>
        <v>0</v>
      </c>
      <c r="R197" s="144">
        <f t="shared" si="30"/>
        <v>57.778284062649092</v>
      </c>
      <c r="S197" s="124">
        <f t="shared" si="31"/>
        <v>-2.2217159373509077</v>
      </c>
      <c r="T197" s="143">
        <f t="shared" si="26"/>
        <v>0</v>
      </c>
      <c r="V197" s="12"/>
    </row>
    <row r="198" spans="1:22" x14ac:dyDescent="0.25">
      <c r="A198" s="49">
        <f>'A) Base RI'!A198</f>
        <v>5720</v>
      </c>
      <c r="B198" s="341" t="str">
        <f>'A) Base RI'!B198</f>
        <v>Givrins</v>
      </c>
      <c r="C198" s="489">
        <v>2112238.3496926464</v>
      </c>
      <c r="D198" s="489">
        <v>1478324.1096297628</v>
      </c>
      <c r="E198" s="490">
        <v>0</v>
      </c>
      <c r="F198" s="490">
        <v>0</v>
      </c>
      <c r="G198" s="490">
        <v>0</v>
      </c>
      <c r="H198" s="487">
        <f t="shared" si="24"/>
        <v>3590562.4593224092</v>
      </c>
      <c r="I198" s="490">
        <v>84172.254543946925</v>
      </c>
      <c r="J198" s="345">
        <f>'B) D RI'!U198</f>
        <v>74789.829883913771</v>
      </c>
      <c r="K198" s="62">
        <f t="shared" si="25"/>
        <v>42.65731598584842</v>
      </c>
      <c r="L198" s="33">
        <f>'B) D RI'!S198</f>
        <v>67</v>
      </c>
      <c r="M198" s="433">
        <f t="shared" si="27"/>
        <v>24.34268401415158</v>
      </c>
      <c r="N198" s="428">
        <f>+'J) Plafonnement effort'!H197+'J) Plafonnement effort'!I197-'K) Plafonnement aide'!I197</f>
        <v>34.746326251310059</v>
      </c>
      <c r="O198" s="144">
        <f t="shared" si="28"/>
        <v>59.089010265461638</v>
      </c>
      <c r="P198" s="47">
        <f t="shared" si="29"/>
        <v>0</v>
      </c>
      <c r="Q198" s="55">
        <f t="shared" si="32"/>
        <v>0</v>
      </c>
      <c r="R198" s="144">
        <f t="shared" si="30"/>
        <v>59.089010265461638</v>
      </c>
      <c r="S198" s="124">
        <f t="shared" si="31"/>
        <v>-7.9109897345383615</v>
      </c>
      <c r="T198" s="143">
        <f t="shared" si="26"/>
        <v>0</v>
      </c>
      <c r="V198" s="12"/>
    </row>
    <row r="199" spans="1:22" x14ac:dyDescent="0.25">
      <c r="A199" s="49">
        <f>'A) Base RI'!A199</f>
        <v>5721</v>
      </c>
      <c r="B199" s="341" t="str">
        <f>'A) Base RI'!B199</f>
        <v>Gland</v>
      </c>
      <c r="C199" s="489">
        <v>11163542.999764217</v>
      </c>
      <c r="D199" s="489">
        <v>4524374.8489265889</v>
      </c>
      <c r="E199" s="490">
        <v>0</v>
      </c>
      <c r="F199" s="490">
        <v>0</v>
      </c>
      <c r="G199" s="490">
        <v>0</v>
      </c>
      <c r="H199" s="487">
        <f t="shared" ref="H199:H262" si="39">SUM(C199:G199)</f>
        <v>15687917.848690806</v>
      </c>
      <c r="I199" s="490">
        <v>651107.04049180343</v>
      </c>
      <c r="J199" s="345">
        <f>'B) D RI'!U199</f>
        <v>723023.81196721317</v>
      </c>
      <c r="K199" s="62">
        <f t="shared" ref="K199:K262" si="40">H199/I199</f>
        <v>24.094222413631382</v>
      </c>
      <c r="L199" s="33">
        <f>'B) D RI'!S199</f>
        <v>61</v>
      </c>
      <c r="M199" s="433">
        <f t="shared" si="27"/>
        <v>36.905777586368615</v>
      </c>
      <c r="N199" s="428">
        <f>+'J) Plafonnement effort'!H198+'J) Plafonnement effort'!I198-'K) Plafonnement aide'!I198</f>
        <v>21.032440887060336</v>
      </c>
      <c r="O199" s="144">
        <f t="shared" si="28"/>
        <v>57.938218473428947</v>
      </c>
      <c r="P199" s="47">
        <f t="shared" si="29"/>
        <v>0</v>
      </c>
      <c r="Q199" s="55">
        <f t="shared" si="32"/>
        <v>0</v>
      </c>
      <c r="R199" s="144">
        <f t="shared" si="30"/>
        <v>57.938218473428947</v>
      </c>
      <c r="S199" s="124">
        <f t="shared" si="31"/>
        <v>-3.0617815265710533</v>
      </c>
      <c r="T199" s="143">
        <f t="shared" ref="T199:T262" si="41">+C199+D199+E199+F199+G199-H199</f>
        <v>0</v>
      </c>
      <c r="V199" s="12"/>
    </row>
    <row r="200" spans="1:22" x14ac:dyDescent="0.25">
      <c r="A200" s="49">
        <f>'A) Base RI'!A200</f>
        <v>5722</v>
      </c>
      <c r="B200" s="341" t="str">
        <f>'A) Base RI'!B200</f>
        <v>Grens</v>
      </c>
      <c r="C200" s="489">
        <v>446518.73501746339</v>
      </c>
      <c r="D200" s="489">
        <v>438956.19109813147</v>
      </c>
      <c r="E200" s="490">
        <v>0</v>
      </c>
      <c r="F200" s="490">
        <v>0</v>
      </c>
      <c r="G200" s="490">
        <v>0</v>
      </c>
      <c r="H200" s="487">
        <f t="shared" si="39"/>
        <v>885474.9261155948</v>
      </c>
      <c r="I200" s="490">
        <v>25525.601935483872</v>
      </c>
      <c r="J200" s="345">
        <f>'B) D RI'!U200</f>
        <v>22316.761129032264</v>
      </c>
      <c r="K200" s="62">
        <f t="shared" si="40"/>
        <v>34.689678556989115</v>
      </c>
      <c r="L200" s="33">
        <f>'B) D RI'!S200</f>
        <v>62</v>
      </c>
      <c r="M200" s="433">
        <f t="shared" si="27"/>
        <v>27.310321443010885</v>
      </c>
      <c r="N200" s="428">
        <f>+'J) Plafonnement effort'!H199+'J) Plafonnement effort'!I199-'K) Plafonnement aide'!I199</f>
        <v>30.227805182480971</v>
      </c>
      <c r="O200" s="144">
        <f t="shared" si="28"/>
        <v>57.538126625491856</v>
      </c>
      <c r="P200" s="47">
        <f t="shared" si="29"/>
        <v>0</v>
      </c>
      <c r="Q200" s="55">
        <f t="shared" si="32"/>
        <v>0</v>
      </c>
      <c r="R200" s="144">
        <f t="shared" si="30"/>
        <v>57.538126625491856</v>
      </c>
      <c r="S200" s="124">
        <f t="shared" si="31"/>
        <v>-4.4618733745081443</v>
      </c>
      <c r="T200" s="143">
        <f t="shared" si="41"/>
        <v>0</v>
      </c>
      <c r="V200" s="12"/>
    </row>
    <row r="201" spans="1:22" x14ac:dyDescent="0.25">
      <c r="A201" s="49">
        <f>'A) Base RI'!A201</f>
        <v>5723</v>
      </c>
      <c r="B201" s="341" t="str">
        <f>'A) Base RI'!B201</f>
        <v>Mies</v>
      </c>
      <c r="C201" s="489">
        <v>4875071.0828816518</v>
      </c>
      <c r="D201" s="489">
        <v>3259854.4310330073</v>
      </c>
      <c r="E201" s="490">
        <v>0</v>
      </c>
      <c r="F201" s="490">
        <v>0</v>
      </c>
      <c r="G201" s="490">
        <v>0</v>
      </c>
      <c r="H201" s="487">
        <f t="shared" si="39"/>
        <v>8134925.5139146596</v>
      </c>
      <c r="I201" s="490">
        <v>197805.17519230774</v>
      </c>
      <c r="J201" s="345">
        <f>'B) D RI'!U201</f>
        <v>245974.84538461536</v>
      </c>
      <c r="K201" s="62">
        <f t="shared" si="40"/>
        <v>41.125948833269007</v>
      </c>
      <c r="L201" s="33">
        <f>'B) D RI'!S201</f>
        <v>52</v>
      </c>
      <c r="M201" s="433">
        <f t="shared" si="27"/>
        <v>10.874051166730993</v>
      </c>
      <c r="N201" s="428">
        <f>+'J) Plafonnement effort'!H200+'J) Plafonnement effort'!I200-'K) Plafonnement aide'!I200</f>
        <v>39.602707688370096</v>
      </c>
      <c r="O201" s="144">
        <f t="shared" si="28"/>
        <v>50.476758855101089</v>
      </c>
      <c r="P201" s="47">
        <f t="shared" si="29"/>
        <v>0</v>
      </c>
      <c r="Q201" s="55">
        <f t="shared" si="32"/>
        <v>0</v>
      </c>
      <c r="R201" s="144">
        <f t="shared" si="30"/>
        <v>50.476758855101089</v>
      </c>
      <c r="S201" s="124">
        <f t="shared" si="31"/>
        <v>-1.5232411448989112</v>
      </c>
      <c r="T201" s="143">
        <f t="shared" si="41"/>
        <v>0</v>
      </c>
      <c r="V201" s="12"/>
    </row>
    <row r="202" spans="1:22" x14ac:dyDescent="0.25">
      <c r="A202" s="49">
        <f>'A) Base RI'!A202</f>
        <v>5724</v>
      </c>
      <c r="B202" s="341" t="str">
        <f>'A) Base RI'!B202</f>
        <v>Nyon</v>
      </c>
      <c r="C202" s="489">
        <v>32603159.754050858</v>
      </c>
      <c r="D202" s="489">
        <v>10411629.424118673</v>
      </c>
      <c r="E202" s="490">
        <v>0</v>
      </c>
      <c r="F202" s="490">
        <v>0</v>
      </c>
      <c r="G202" s="490">
        <v>0</v>
      </c>
      <c r="H202" s="487">
        <f t="shared" si="39"/>
        <v>43014789.178169534</v>
      </c>
      <c r="I202" s="490">
        <v>1415730.6761202184</v>
      </c>
      <c r="J202" s="345">
        <f>'B) D RI'!U202</f>
        <v>1461873.0345355188</v>
      </c>
      <c r="K202" s="62">
        <f t="shared" si="40"/>
        <v>30.383454920995781</v>
      </c>
      <c r="L202" s="33">
        <f>'B) D RI'!S202</f>
        <v>61</v>
      </c>
      <c r="M202" s="433">
        <f t="shared" si="27"/>
        <v>30.616545079004219</v>
      </c>
      <c r="N202" s="428">
        <f>+'J) Plafonnement effort'!H201+'J) Plafonnement effort'!I201-'K) Plafonnement aide'!I201</f>
        <v>22.521049165243898</v>
      </c>
      <c r="O202" s="144">
        <f t="shared" si="28"/>
        <v>53.13759424424812</v>
      </c>
      <c r="P202" s="47">
        <f t="shared" si="29"/>
        <v>0</v>
      </c>
      <c r="Q202" s="55">
        <f t="shared" si="32"/>
        <v>0</v>
      </c>
      <c r="R202" s="144">
        <f t="shared" si="30"/>
        <v>53.13759424424812</v>
      </c>
      <c r="S202" s="124">
        <f t="shared" si="31"/>
        <v>-7.8624057557518796</v>
      </c>
      <c r="T202" s="143">
        <f t="shared" si="41"/>
        <v>0</v>
      </c>
      <c r="V202" s="12"/>
    </row>
    <row r="203" spans="1:22" x14ac:dyDescent="0.25">
      <c r="A203" s="49">
        <f>'A) Base RI'!A203</f>
        <v>5725</v>
      </c>
      <c r="B203" s="341" t="str">
        <f>'A) Base RI'!B203</f>
        <v>Prangins</v>
      </c>
      <c r="C203" s="489">
        <v>6904413.7253820188</v>
      </c>
      <c r="D203" s="489">
        <v>4630177.7922678497</v>
      </c>
      <c r="E203" s="490">
        <v>0</v>
      </c>
      <c r="F203" s="490">
        <v>0</v>
      </c>
      <c r="G203" s="490">
        <v>0</v>
      </c>
      <c r="H203" s="487">
        <f t="shared" si="39"/>
        <v>11534591.517649869</v>
      </c>
      <c r="I203" s="490">
        <v>312804.93402597401</v>
      </c>
      <c r="J203" s="345">
        <f>'B) D RI'!U203</f>
        <v>355082.58820779232</v>
      </c>
      <c r="K203" s="62">
        <f t="shared" si="40"/>
        <v>36.874710923492287</v>
      </c>
      <c r="L203" s="33">
        <f>'B) D RI'!S203</f>
        <v>55</v>
      </c>
      <c r="M203" s="433">
        <f t="shared" si="27"/>
        <v>18.125289076507713</v>
      </c>
      <c r="N203" s="428">
        <f>+'J) Plafonnement effort'!H202+'J) Plafonnement effort'!I202-'K) Plafonnement aide'!I202</f>
        <v>34.740421829830062</v>
      </c>
      <c r="O203" s="144">
        <f t="shared" si="28"/>
        <v>52.865710906337775</v>
      </c>
      <c r="P203" s="47">
        <f t="shared" si="29"/>
        <v>0</v>
      </c>
      <c r="Q203" s="55">
        <f t="shared" si="32"/>
        <v>0</v>
      </c>
      <c r="R203" s="144">
        <f t="shared" si="30"/>
        <v>52.865710906337775</v>
      </c>
      <c r="S203" s="124">
        <f t="shared" si="31"/>
        <v>-2.1342890936622254</v>
      </c>
      <c r="T203" s="143">
        <f t="shared" si="41"/>
        <v>0</v>
      </c>
      <c r="V203" s="12"/>
    </row>
    <row r="204" spans="1:22" x14ac:dyDescent="0.25">
      <c r="A204" s="49">
        <f>'A) Base RI'!A204</f>
        <v>5726</v>
      </c>
      <c r="B204" s="341" t="str">
        <f>'A) Base RI'!B204</f>
        <v>La Rippe</v>
      </c>
      <c r="C204" s="489">
        <v>1332233.8243394583</v>
      </c>
      <c r="D204" s="489">
        <v>1101575.7171669663</v>
      </c>
      <c r="E204" s="490">
        <v>0</v>
      </c>
      <c r="F204" s="490">
        <v>0</v>
      </c>
      <c r="G204" s="490">
        <v>0</v>
      </c>
      <c r="H204" s="487">
        <f t="shared" si="39"/>
        <v>2433809.5415064245</v>
      </c>
      <c r="I204" s="490">
        <v>66324.764153846147</v>
      </c>
      <c r="J204" s="345">
        <f>'B) D RI'!U204</f>
        <v>70366.469687500008</v>
      </c>
      <c r="K204" s="62">
        <f t="shared" si="40"/>
        <v>36.695336539169418</v>
      </c>
      <c r="L204" s="33">
        <f>'B) D RI'!S204</f>
        <v>64</v>
      </c>
      <c r="M204" s="433">
        <f t="shared" si="27"/>
        <v>27.304663460830582</v>
      </c>
      <c r="N204" s="428">
        <f>+'J) Plafonnement effort'!H203+'J) Plafonnement effort'!I203-'K) Plafonnement aide'!I203</f>
        <v>31.051857605946378</v>
      </c>
      <c r="O204" s="144">
        <f t="shared" si="28"/>
        <v>58.356521066776963</v>
      </c>
      <c r="P204" s="47">
        <f t="shared" si="29"/>
        <v>0</v>
      </c>
      <c r="Q204" s="55">
        <f t="shared" si="32"/>
        <v>0</v>
      </c>
      <c r="R204" s="144">
        <f t="shared" si="30"/>
        <v>58.356521066776963</v>
      </c>
      <c r="S204" s="124">
        <f t="shared" si="31"/>
        <v>-5.6434789332230366</v>
      </c>
      <c r="T204" s="143">
        <f t="shared" si="41"/>
        <v>0</v>
      </c>
      <c r="V204" s="12"/>
    </row>
    <row r="205" spans="1:22" x14ac:dyDescent="0.25">
      <c r="A205" s="49">
        <f>'A) Base RI'!A205</f>
        <v>5727</v>
      </c>
      <c r="B205" s="341" t="str">
        <f>'A) Base RI'!B205</f>
        <v>Saint-Cergue</v>
      </c>
      <c r="C205" s="489">
        <v>1802560.094907816</v>
      </c>
      <c r="D205" s="489">
        <v>895603.27957527246</v>
      </c>
      <c r="E205" s="490">
        <v>0</v>
      </c>
      <c r="F205" s="490">
        <v>0</v>
      </c>
      <c r="G205" s="490">
        <v>0</v>
      </c>
      <c r="H205" s="487">
        <f t="shared" si="39"/>
        <v>2698163.3744830885</v>
      </c>
      <c r="I205" s="490">
        <v>105125.05141414142</v>
      </c>
      <c r="J205" s="345">
        <f>'B) D RI'!U205</f>
        <v>106173.30404040407</v>
      </c>
      <c r="K205" s="62">
        <f t="shared" si="40"/>
        <v>25.666226443530011</v>
      </c>
      <c r="L205" s="33">
        <f>'B) D RI'!S205</f>
        <v>66</v>
      </c>
      <c r="M205" s="433">
        <f t="shared" si="27"/>
        <v>40.333773556469993</v>
      </c>
      <c r="N205" s="428">
        <f>+'J) Plafonnement effort'!H204+'J) Plafonnement effort'!I204-'K) Plafonnement aide'!I204</f>
        <v>15.016152739175158</v>
      </c>
      <c r="O205" s="144">
        <f t="shared" si="28"/>
        <v>55.349926295645147</v>
      </c>
      <c r="P205" s="47">
        <f t="shared" si="29"/>
        <v>0</v>
      </c>
      <c r="Q205" s="55">
        <f t="shared" si="32"/>
        <v>0</v>
      </c>
      <c r="R205" s="144">
        <f t="shared" si="30"/>
        <v>55.349926295645147</v>
      </c>
      <c r="S205" s="124">
        <f t="shared" si="31"/>
        <v>-10.650073704354853</v>
      </c>
      <c r="T205" s="143">
        <f t="shared" si="41"/>
        <v>0</v>
      </c>
      <c r="V205" s="12"/>
    </row>
    <row r="206" spans="1:22" x14ac:dyDescent="0.25">
      <c r="A206" s="49">
        <f>'A) Base RI'!A206</f>
        <v>5728</v>
      </c>
      <c r="B206" s="341" t="str">
        <f>'A) Base RI'!B206</f>
        <v>Signy-Avenex</v>
      </c>
      <c r="C206" s="489">
        <v>1167437.521693934</v>
      </c>
      <c r="D206" s="489">
        <v>872494.28712957015</v>
      </c>
      <c r="E206" s="490">
        <v>0</v>
      </c>
      <c r="F206" s="490">
        <v>0</v>
      </c>
      <c r="G206" s="490">
        <v>0</v>
      </c>
      <c r="H206" s="487">
        <f t="shared" si="39"/>
        <v>2039931.808823504</v>
      </c>
      <c r="I206" s="490">
        <v>49286.820862068969</v>
      </c>
      <c r="J206" s="345">
        <f>'B) D RI'!U206</f>
        <v>56477.02620689656</v>
      </c>
      <c r="K206" s="62">
        <f t="shared" si="40"/>
        <v>41.388991481766098</v>
      </c>
      <c r="L206" s="33">
        <f>'B) D RI'!S206</f>
        <v>58</v>
      </c>
      <c r="M206" s="433">
        <f t="shared" si="27"/>
        <v>16.611008518233902</v>
      </c>
      <c r="N206" s="428">
        <f>+'J) Plafonnement effort'!H205+'J) Plafonnement effort'!I205-'K) Plafonnement aide'!I205</f>
        <v>39.121042377372476</v>
      </c>
      <c r="O206" s="144">
        <f t="shared" si="28"/>
        <v>55.732050895606378</v>
      </c>
      <c r="P206" s="47">
        <f t="shared" si="29"/>
        <v>0</v>
      </c>
      <c r="Q206" s="55">
        <f t="shared" si="32"/>
        <v>0</v>
      </c>
      <c r="R206" s="144">
        <f t="shared" si="30"/>
        <v>55.732050895606378</v>
      </c>
      <c r="S206" s="124">
        <f t="shared" si="31"/>
        <v>-2.2679491043936224</v>
      </c>
      <c r="T206" s="143">
        <f t="shared" si="41"/>
        <v>0</v>
      </c>
      <c r="V206" s="12"/>
    </row>
    <row r="207" spans="1:22" x14ac:dyDescent="0.25">
      <c r="A207" s="49">
        <f>'A) Base RI'!A207</f>
        <v>5729</v>
      </c>
      <c r="B207" s="341" t="str">
        <f>'A) Base RI'!B207</f>
        <v>Tannay</v>
      </c>
      <c r="C207" s="489">
        <v>3258612.012721655</v>
      </c>
      <c r="D207" s="489">
        <v>2162365.5574305686</v>
      </c>
      <c r="E207" s="490">
        <v>0</v>
      </c>
      <c r="F207" s="490">
        <v>0</v>
      </c>
      <c r="G207" s="490">
        <v>0</v>
      </c>
      <c r="H207" s="487">
        <f t="shared" si="39"/>
        <v>5420977.5701522231</v>
      </c>
      <c r="I207" s="490">
        <v>130826.66865013774</v>
      </c>
      <c r="J207" s="345">
        <f>'B) D RI'!U207</f>
        <v>161688.04044077132</v>
      </c>
      <c r="K207" s="62">
        <f t="shared" si="40"/>
        <v>41.436334243511411</v>
      </c>
      <c r="L207" s="33">
        <f>'B) D RI'!S207</f>
        <v>60.5</v>
      </c>
      <c r="M207" s="433">
        <f t="shared" si="27"/>
        <v>19.063665756488589</v>
      </c>
      <c r="N207" s="428">
        <f>+'J) Plafonnement effort'!H206+'J) Plafonnement effort'!I206-'K) Plafonnement aide'!I206</f>
        <v>38.994866513266651</v>
      </c>
      <c r="O207" s="144">
        <f t="shared" si="28"/>
        <v>58.05853226975524</v>
      </c>
      <c r="P207" s="47">
        <f t="shared" si="29"/>
        <v>0</v>
      </c>
      <c r="Q207" s="55">
        <f t="shared" si="32"/>
        <v>0</v>
      </c>
      <c r="R207" s="144">
        <f t="shared" si="30"/>
        <v>58.05853226975524</v>
      </c>
      <c r="S207" s="124">
        <f t="shared" si="31"/>
        <v>-2.44146773024476</v>
      </c>
      <c r="T207" s="143">
        <f t="shared" si="41"/>
        <v>0</v>
      </c>
      <c r="V207" s="12"/>
    </row>
    <row r="208" spans="1:22" x14ac:dyDescent="0.25">
      <c r="A208" s="49">
        <f>'A) Base RI'!A208</f>
        <v>5730</v>
      </c>
      <c r="B208" s="341" t="str">
        <f>'A) Base RI'!B208</f>
        <v>Trélex</v>
      </c>
      <c r="C208" s="489">
        <v>2578342.1614541695</v>
      </c>
      <c r="D208" s="489">
        <v>1860714.8413331609</v>
      </c>
      <c r="E208" s="490">
        <v>0</v>
      </c>
      <c r="F208" s="490">
        <v>0</v>
      </c>
      <c r="G208" s="490">
        <v>0</v>
      </c>
      <c r="H208" s="487">
        <f t="shared" si="39"/>
        <v>4439057.0027873302</v>
      </c>
      <c r="I208" s="490">
        <v>111625.98756756757</v>
      </c>
      <c r="J208" s="345">
        <f>'B) D RI'!U208</f>
        <v>125085.64878878882</v>
      </c>
      <c r="K208" s="62">
        <f t="shared" si="40"/>
        <v>39.767236102617723</v>
      </c>
      <c r="L208" s="33">
        <f>'B) D RI'!S208</f>
        <v>55.5</v>
      </c>
      <c r="M208" s="433">
        <f t="shared" si="27"/>
        <v>15.732763897382277</v>
      </c>
      <c r="N208" s="428">
        <f>+'J) Plafonnement effort'!H207+'J) Plafonnement effort'!I207-'K) Plafonnement aide'!I207</f>
        <v>36.306995366624541</v>
      </c>
      <c r="O208" s="144">
        <f t="shared" si="28"/>
        <v>52.039759264006818</v>
      </c>
      <c r="P208" s="47">
        <f t="shared" si="29"/>
        <v>0</v>
      </c>
      <c r="Q208" s="55">
        <f t="shared" si="32"/>
        <v>0</v>
      </c>
      <c r="R208" s="144">
        <f t="shared" si="30"/>
        <v>52.039759264006818</v>
      </c>
      <c r="S208" s="124">
        <f t="shared" si="31"/>
        <v>-3.4602407359931817</v>
      </c>
      <c r="T208" s="143">
        <f t="shared" si="41"/>
        <v>0</v>
      </c>
      <c r="V208" s="12"/>
    </row>
    <row r="209" spans="1:22" x14ac:dyDescent="0.25">
      <c r="A209" s="49">
        <f>'A) Base RI'!A209</f>
        <v>5731</v>
      </c>
      <c r="B209" s="341" t="str">
        <f>'A) Base RI'!B209</f>
        <v>Le Vaud</v>
      </c>
      <c r="C209" s="489">
        <v>1016097.8406262205</v>
      </c>
      <c r="D209" s="489">
        <v>933527.17417994165</v>
      </c>
      <c r="E209" s="490">
        <v>0</v>
      </c>
      <c r="F209" s="490">
        <v>0</v>
      </c>
      <c r="G209" s="490">
        <v>0</v>
      </c>
      <c r="H209" s="487">
        <f t="shared" si="39"/>
        <v>1949625.0148061621</v>
      </c>
      <c r="I209" s="490">
        <v>63942.206576576558</v>
      </c>
      <c r="J209" s="345">
        <f>'B) D RI'!U209</f>
        <v>69596.613288288281</v>
      </c>
      <c r="K209" s="62">
        <f t="shared" si="40"/>
        <v>30.490424387705644</v>
      </c>
      <c r="L209" s="33">
        <f>'B) D RI'!S209</f>
        <v>74</v>
      </c>
      <c r="M209" s="433">
        <f t="shared" si="27"/>
        <v>43.509575612294356</v>
      </c>
      <c r="N209" s="428">
        <f>+'J) Plafonnement effort'!H208+'J) Plafonnement effort'!I208-'K) Plafonnement aide'!I208</f>
        <v>25.420906100534133</v>
      </c>
      <c r="O209" s="144">
        <f t="shared" si="28"/>
        <v>68.930481712828481</v>
      </c>
      <c r="P209" s="47">
        <f t="shared" si="29"/>
        <v>0</v>
      </c>
      <c r="Q209" s="55">
        <f t="shared" si="32"/>
        <v>0</v>
      </c>
      <c r="R209" s="144">
        <f t="shared" si="30"/>
        <v>68.930481712828481</v>
      </c>
      <c r="S209" s="124">
        <f t="shared" si="31"/>
        <v>-5.069518287171519</v>
      </c>
      <c r="T209" s="143">
        <f t="shared" si="41"/>
        <v>0</v>
      </c>
      <c r="V209" s="12"/>
    </row>
    <row r="210" spans="1:22" x14ac:dyDescent="0.25">
      <c r="A210" s="49">
        <f>'A) Base RI'!A210</f>
        <v>5732</v>
      </c>
      <c r="B210" s="341" t="str">
        <f>'A) Base RI'!B210</f>
        <v>Vich</v>
      </c>
      <c r="C210" s="489">
        <v>1479969.8915689634</v>
      </c>
      <c r="D210" s="489">
        <v>1182626.1819479405</v>
      </c>
      <c r="E210" s="490">
        <v>0</v>
      </c>
      <c r="F210" s="490">
        <v>0</v>
      </c>
      <c r="G210" s="490">
        <v>0</v>
      </c>
      <c r="H210" s="487">
        <f t="shared" si="39"/>
        <v>2662596.0735169039</v>
      </c>
      <c r="I210" s="490">
        <v>71006.972380952371</v>
      </c>
      <c r="J210" s="345">
        <f>'B) D RI'!U210</f>
        <v>86538.031587301579</v>
      </c>
      <c r="K210" s="62">
        <f t="shared" si="40"/>
        <v>37.497670781287184</v>
      </c>
      <c r="L210" s="33">
        <f>'B) D RI'!S210</f>
        <v>63</v>
      </c>
      <c r="M210" s="433">
        <f t="shared" si="27"/>
        <v>25.502329218712816</v>
      </c>
      <c r="N210" s="428">
        <f>+'J) Plafonnement effort'!H209+'J) Plafonnement effort'!I209-'K) Plafonnement aide'!I209</f>
        <v>34.819557375944846</v>
      </c>
      <c r="O210" s="144">
        <f t="shared" si="28"/>
        <v>60.321886594657663</v>
      </c>
      <c r="P210" s="47">
        <f t="shared" si="29"/>
        <v>0</v>
      </c>
      <c r="Q210" s="55">
        <f t="shared" si="32"/>
        <v>0</v>
      </c>
      <c r="R210" s="144">
        <f t="shared" si="30"/>
        <v>60.321886594657663</v>
      </c>
      <c r="S210" s="124">
        <f t="shared" si="31"/>
        <v>-2.6781134053423372</v>
      </c>
      <c r="T210" s="143">
        <f t="shared" si="41"/>
        <v>0</v>
      </c>
      <c r="V210" s="12"/>
    </row>
    <row r="211" spans="1:22" x14ac:dyDescent="0.25">
      <c r="A211" s="49">
        <f>'A) Base RI'!A211</f>
        <v>5741</v>
      </c>
      <c r="B211" s="341" t="str">
        <f>'A) Base RI'!B211</f>
        <v>L'Abergement</v>
      </c>
      <c r="C211" s="489">
        <v>124809.40103789062</v>
      </c>
      <c r="D211" s="489">
        <v>-21150.021970910195</v>
      </c>
      <c r="E211" s="490">
        <v>0</v>
      </c>
      <c r="F211" s="490">
        <v>0</v>
      </c>
      <c r="G211" s="490">
        <v>0</v>
      </c>
      <c r="H211" s="487">
        <f t="shared" si="39"/>
        <v>103659.37906698043</v>
      </c>
      <c r="I211" s="490">
        <v>7368.9297325102852</v>
      </c>
      <c r="J211" s="345">
        <f>'B) D RI'!U211</f>
        <v>8987.3782921810707</v>
      </c>
      <c r="K211" s="62">
        <f t="shared" si="40"/>
        <v>14.067087464500496</v>
      </c>
      <c r="L211" s="33">
        <f>'B) D RI'!S211</f>
        <v>81</v>
      </c>
      <c r="M211" s="433">
        <f t="shared" si="27"/>
        <v>66.932912535499497</v>
      </c>
      <c r="N211" s="428">
        <f>+'J) Plafonnement effort'!H210+'J) Plafonnement effort'!I210-'K) Plafonnement aide'!I210</f>
        <v>5.5941207560753927</v>
      </c>
      <c r="O211" s="144">
        <f t="shared" si="28"/>
        <v>72.527033291574895</v>
      </c>
      <c r="P211" s="47">
        <f t="shared" si="29"/>
        <v>0</v>
      </c>
      <c r="Q211" s="55">
        <f t="shared" si="32"/>
        <v>0</v>
      </c>
      <c r="R211" s="144">
        <f t="shared" si="30"/>
        <v>72.527033291574895</v>
      </c>
      <c r="S211" s="124">
        <f t="shared" si="31"/>
        <v>-8.4729667084251048</v>
      </c>
      <c r="T211" s="143">
        <f t="shared" si="41"/>
        <v>0</v>
      </c>
      <c r="V211" s="12"/>
    </row>
    <row r="212" spans="1:22" x14ac:dyDescent="0.25">
      <c r="A212" s="49">
        <f>'A) Base RI'!A212</f>
        <v>5742</v>
      </c>
      <c r="B212" s="341" t="str">
        <f>'A) Base RI'!B212</f>
        <v>Agiez</v>
      </c>
      <c r="C212" s="489">
        <v>137019.61154204703</v>
      </c>
      <c r="D212" s="489">
        <v>-88223.430418751232</v>
      </c>
      <c r="E212" s="490">
        <v>0</v>
      </c>
      <c r="F212" s="490">
        <v>0</v>
      </c>
      <c r="G212" s="490">
        <v>0</v>
      </c>
      <c r="H212" s="487">
        <f t="shared" si="39"/>
        <v>48796.181123295799</v>
      </c>
      <c r="I212" s="490">
        <v>8960.136710526318</v>
      </c>
      <c r="J212" s="345">
        <f>'B) D RI'!U212</f>
        <v>10160.069605263159</v>
      </c>
      <c r="K212" s="62">
        <f t="shared" si="40"/>
        <v>5.4459192643757683</v>
      </c>
      <c r="L212" s="33">
        <f>'B) D RI'!S212</f>
        <v>76</v>
      </c>
      <c r="M212" s="433">
        <f t="shared" si="27"/>
        <v>70.554080735624225</v>
      </c>
      <c r="N212" s="428">
        <f>+'J) Plafonnement effort'!H211+'J) Plafonnement effort'!I211-'K) Plafonnement aide'!I211</f>
        <v>3.0085910374001039</v>
      </c>
      <c r="O212" s="144">
        <f t="shared" si="28"/>
        <v>73.562671773024334</v>
      </c>
      <c r="P212" s="47">
        <f t="shared" si="29"/>
        <v>0</v>
      </c>
      <c r="Q212" s="55">
        <f t="shared" si="32"/>
        <v>0</v>
      </c>
      <c r="R212" s="144">
        <f t="shared" si="30"/>
        <v>73.562671773024334</v>
      </c>
      <c r="S212" s="124">
        <f t="shared" si="31"/>
        <v>-2.4373282269756658</v>
      </c>
      <c r="T212" s="143">
        <f t="shared" si="41"/>
        <v>0</v>
      </c>
      <c r="V212" s="12"/>
    </row>
    <row r="213" spans="1:22" x14ac:dyDescent="0.25">
      <c r="A213" s="49">
        <f>'A) Base RI'!A213</f>
        <v>5743</v>
      </c>
      <c r="B213" s="341" t="str">
        <f>'A) Base RI'!B213</f>
        <v>Arnex-sur-Orbe</v>
      </c>
      <c r="C213" s="489">
        <v>310678.15609504585</v>
      </c>
      <c r="D213" s="489">
        <v>109865.71600834216</v>
      </c>
      <c r="E213" s="490">
        <v>0</v>
      </c>
      <c r="F213" s="490">
        <v>0</v>
      </c>
      <c r="G213" s="490">
        <v>0</v>
      </c>
      <c r="H213" s="487">
        <f t="shared" si="39"/>
        <v>420543.87210338801</v>
      </c>
      <c r="I213" s="490">
        <v>20549.584577464786</v>
      </c>
      <c r="J213" s="345">
        <f>'B) D RI'!U213</f>
        <v>18533.117816901413</v>
      </c>
      <c r="K213" s="62">
        <f t="shared" si="40"/>
        <v>20.46483570108602</v>
      </c>
      <c r="L213" s="33">
        <f>'B) D RI'!S213</f>
        <v>71</v>
      </c>
      <c r="M213" s="433">
        <f t="shared" si="27"/>
        <v>50.535164298913983</v>
      </c>
      <c r="N213" s="428">
        <f>+'J) Plafonnement effort'!H212+'J) Plafonnement effort'!I212-'K) Plafonnement aide'!I212</f>
        <v>6.1306929774085663</v>
      </c>
      <c r="O213" s="144">
        <f t="shared" si="28"/>
        <v>56.665857276322548</v>
      </c>
      <c r="P213" s="47">
        <f t="shared" si="29"/>
        <v>0</v>
      </c>
      <c r="Q213" s="55">
        <f t="shared" si="32"/>
        <v>0</v>
      </c>
      <c r="R213" s="144">
        <f t="shared" si="30"/>
        <v>56.665857276322548</v>
      </c>
      <c r="S213" s="124">
        <f t="shared" si="31"/>
        <v>-14.334142723677452</v>
      </c>
      <c r="T213" s="143">
        <f t="shared" si="41"/>
        <v>0</v>
      </c>
      <c r="V213" s="12"/>
    </row>
    <row r="214" spans="1:22" x14ac:dyDescent="0.25">
      <c r="A214" s="49">
        <f>'A) Base RI'!A214</f>
        <v>5744</v>
      </c>
      <c r="B214" s="341" t="str">
        <f>'A) Base RI'!B214</f>
        <v>Ballaigues</v>
      </c>
      <c r="C214" s="489">
        <v>1007958.9079965748</v>
      </c>
      <c r="D214" s="489">
        <v>354054.35545440001</v>
      </c>
      <c r="E214" s="490">
        <v>0</v>
      </c>
      <c r="F214" s="490">
        <v>0</v>
      </c>
      <c r="G214" s="490">
        <v>0</v>
      </c>
      <c r="H214" s="487">
        <f t="shared" si="39"/>
        <v>1362013.2634509748</v>
      </c>
      <c r="I214" s="490">
        <v>40453.358769230777</v>
      </c>
      <c r="J214" s="345">
        <f>'B) D RI'!U214</f>
        <v>49245.2596923077</v>
      </c>
      <c r="K214" s="62">
        <f t="shared" si="40"/>
        <v>33.66873122255884</v>
      </c>
      <c r="L214" s="33">
        <f>'B) D RI'!S214</f>
        <v>65</v>
      </c>
      <c r="M214" s="433">
        <f t="shared" si="27"/>
        <v>31.33126877744116</v>
      </c>
      <c r="N214" s="428">
        <f>+'J) Plafonnement effort'!H213+'J) Plafonnement effort'!I213-'K) Plafonnement aide'!I213</f>
        <v>16.482478019860679</v>
      </c>
      <c r="O214" s="144">
        <f t="shared" si="28"/>
        <v>47.813746797301839</v>
      </c>
      <c r="P214" s="47">
        <f t="shared" si="29"/>
        <v>0</v>
      </c>
      <c r="Q214" s="55">
        <f t="shared" si="32"/>
        <v>0</v>
      </c>
      <c r="R214" s="144">
        <f t="shared" si="30"/>
        <v>47.813746797301839</v>
      </c>
      <c r="S214" s="124">
        <f t="shared" si="31"/>
        <v>-17.186253202698161</v>
      </c>
      <c r="T214" s="143">
        <f t="shared" si="41"/>
        <v>0</v>
      </c>
      <c r="V214" s="12"/>
    </row>
    <row r="215" spans="1:22" x14ac:dyDescent="0.25">
      <c r="A215" s="49">
        <f>'A) Base RI'!A215</f>
        <v>5745</v>
      </c>
      <c r="B215" s="341" t="str">
        <f>'A) Base RI'!B215</f>
        <v>Baulmes</v>
      </c>
      <c r="C215" s="489">
        <v>468319.12510337506</v>
      </c>
      <c r="D215" s="489">
        <v>-220347.64361498569</v>
      </c>
      <c r="E215" s="490">
        <v>0</v>
      </c>
      <c r="F215" s="490">
        <v>0</v>
      </c>
      <c r="G215" s="490">
        <v>0</v>
      </c>
      <c r="H215" s="487">
        <f t="shared" si="39"/>
        <v>247971.48148838937</v>
      </c>
      <c r="I215" s="490">
        <v>26827.589150326792</v>
      </c>
      <c r="J215" s="345">
        <f>'B) D RI'!U215</f>
        <v>28471.572156862745</v>
      </c>
      <c r="K215" s="62">
        <f t="shared" si="40"/>
        <v>9.2431518948234963</v>
      </c>
      <c r="L215" s="33">
        <f>'B) D RI'!S215</f>
        <v>76.5</v>
      </c>
      <c r="M215" s="433">
        <f t="shared" si="27"/>
        <v>67.256848105176502</v>
      </c>
      <c r="N215" s="428">
        <f>+'J) Plafonnement effort'!H214+'J) Plafonnement effort'!I214-'K) Plafonnement aide'!I214</f>
        <v>-11.779090388249358</v>
      </c>
      <c r="O215" s="144">
        <f t="shared" si="28"/>
        <v>55.477757716927144</v>
      </c>
      <c r="P215" s="47">
        <f t="shared" si="29"/>
        <v>0</v>
      </c>
      <c r="Q215" s="55">
        <f t="shared" si="32"/>
        <v>0</v>
      </c>
      <c r="R215" s="144">
        <f t="shared" si="30"/>
        <v>55.477757716927144</v>
      </c>
      <c r="S215" s="124">
        <f t="shared" si="31"/>
        <v>-21.022242283072856</v>
      </c>
      <c r="T215" s="143">
        <f t="shared" si="41"/>
        <v>0</v>
      </c>
      <c r="V215" s="12"/>
    </row>
    <row r="216" spans="1:22" x14ac:dyDescent="0.25">
      <c r="A216" s="49">
        <f>'A) Base RI'!A216</f>
        <v>5746</v>
      </c>
      <c r="B216" s="341" t="str">
        <f>'A) Base RI'!B216</f>
        <v>Bavois</v>
      </c>
      <c r="C216" s="489">
        <v>616652.67683811358</v>
      </c>
      <c r="D216" s="489">
        <v>88304.681709219469</v>
      </c>
      <c r="E216" s="490">
        <v>0</v>
      </c>
      <c r="F216" s="490">
        <v>0</v>
      </c>
      <c r="G216" s="490">
        <v>0</v>
      </c>
      <c r="H216" s="487">
        <f t="shared" si="39"/>
        <v>704957.35854733305</v>
      </c>
      <c r="I216" s="490">
        <v>30466.611141552505</v>
      </c>
      <c r="J216" s="345">
        <f>'B) D RI'!U216</f>
        <v>27408.124908675796</v>
      </c>
      <c r="K216" s="62">
        <f t="shared" si="40"/>
        <v>23.138686323595167</v>
      </c>
      <c r="L216" s="33">
        <f>'B) D RI'!S216</f>
        <v>73</v>
      </c>
      <c r="M216" s="433">
        <f t="shared" si="27"/>
        <v>49.861313676404833</v>
      </c>
      <c r="N216" s="428">
        <f>+'J) Plafonnement effort'!H215+'J) Plafonnement effort'!I215-'K) Plafonnement aide'!I215</f>
        <v>3.9805800528629414</v>
      </c>
      <c r="O216" s="144">
        <f t="shared" si="28"/>
        <v>53.841893729267774</v>
      </c>
      <c r="P216" s="47">
        <f t="shared" si="29"/>
        <v>0</v>
      </c>
      <c r="Q216" s="55">
        <f t="shared" si="32"/>
        <v>0</v>
      </c>
      <c r="R216" s="144">
        <f t="shared" si="30"/>
        <v>53.841893729267774</v>
      </c>
      <c r="S216" s="124">
        <f t="shared" si="31"/>
        <v>-19.158106270732226</v>
      </c>
      <c r="T216" s="143">
        <f t="shared" si="41"/>
        <v>0</v>
      </c>
      <c r="V216" s="12"/>
    </row>
    <row r="217" spans="1:22" x14ac:dyDescent="0.25">
      <c r="A217" s="49">
        <f>'A) Base RI'!A217</f>
        <v>5747</v>
      </c>
      <c r="B217" s="341" t="str">
        <f>'A) Base RI'!B217</f>
        <v>Bofflens</v>
      </c>
      <c r="C217" s="489">
        <v>100160.36851583535</v>
      </c>
      <c r="D217" s="489">
        <v>-461.16010328104312</v>
      </c>
      <c r="E217" s="490">
        <v>0</v>
      </c>
      <c r="F217" s="490">
        <v>0</v>
      </c>
      <c r="G217" s="490">
        <v>0</v>
      </c>
      <c r="H217" s="487">
        <f t="shared" si="39"/>
        <v>99699.208412554304</v>
      </c>
      <c r="I217" s="490">
        <v>5608.7786956521741</v>
      </c>
      <c r="J217" s="345">
        <f>'B) D RI'!U217</f>
        <v>5808.1759420289845</v>
      </c>
      <c r="K217" s="62">
        <f t="shared" si="40"/>
        <v>17.775564667908785</v>
      </c>
      <c r="L217" s="33">
        <f>'B) D RI'!S217</f>
        <v>69</v>
      </c>
      <c r="M217" s="433">
        <f t="shared" si="27"/>
        <v>51.224435332091218</v>
      </c>
      <c r="N217" s="428">
        <f>+'J) Plafonnement effort'!H216+'J) Plafonnement effort'!I216-'K) Plafonnement aide'!I216</f>
        <v>8.7708154277095502</v>
      </c>
      <c r="O217" s="144">
        <f t="shared" si="28"/>
        <v>59.995250759800768</v>
      </c>
      <c r="P217" s="47">
        <f t="shared" si="29"/>
        <v>0</v>
      </c>
      <c r="Q217" s="55">
        <f t="shared" si="32"/>
        <v>0</v>
      </c>
      <c r="R217" s="144">
        <f t="shared" si="30"/>
        <v>59.995250759800768</v>
      </c>
      <c r="S217" s="124">
        <f t="shared" si="31"/>
        <v>-9.0047492401992315</v>
      </c>
      <c r="T217" s="143">
        <f t="shared" si="41"/>
        <v>0</v>
      </c>
      <c r="V217" s="12"/>
    </row>
    <row r="218" spans="1:22" x14ac:dyDescent="0.25">
      <c r="A218" s="49">
        <f>'A) Base RI'!A218</f>
        <v>5748</v>
      </c>
      <c r="B218" s="341" t="str">
        <f>'A) Base RI'!B218</f>
        <v>Bretonnières</v>
      </c>
      <c r="C218" s="489">
        <v>92620.248816850915</v>
      </c>
      <c r="D218" s="489">
        <v>-64237.781532688939</v>
      </c>
      <c r="E218" s="490">
        <v>0</v>
      </c>
      <c r="F218" s="490">
        <v>0</v>
      </c>
      <c r="G218" s="490">
        <v>0</v>
      </c>
      <c r="H218" s="487">
        <f t="shared" si="39"/>
        <v>28382.467284161976</v>
      </c>
      <c r="I218" s="490">
        <v>5789.9884160756492</v>
      </c>
      <c r="J218" s="345">
        <f>'B) D RI'!U218</f>
        <v>6643.6153664302601</v>
      </c>
      <c r="K218" s="62">
        <f t="shared" si="40"/>
        <v>4.9019903399736169</v>
      </c>
      <c r="L218" s="33">
        <f>'B) D RI'!S218</f>
        <v>70.5</v>
      </c>
      <c r="M218" s="433">
        <f t="shared" si="27"/>
        <v>65.598009660026378</v>
      </c>
      <c r="N218" s="428">
        <f>+'J) Plafonnement effort'!H217+'J) Plafonnement effort'!I217-'K) Plafonnement aide'!I217</f>
        <v>-1.4293403634153456</v>
      </c>
      <c r="O218" s="144">
        <f t="shared" si="28"/>
        <v>64.168669296611029</v>
      </c>
      <c r="P218" s="47">
        <f t="shared" si="29"/>
        <v>0</v>
      </c>
      <c r="Q218" s="55">
        <f t="shared" si="32"/>
        <v>0</v>
      </c>
      <c r="R218" s="144">
        <f t="shared" si="30"/>
        <v>64.168669296611029</v>
      </c>
      <c r="S218" s="124">
        <f t="shared" si="31"/>
        <v>-6.3313307033889714</v>
      </c>
      <c r="T218" s="143">
        <f t="shared" si="41"/>
        <v>0</v>
      </c>
      <c r="V218" s="12"/>
    </row>
    <row r="219" spans="1:22" x14ac:dyDescent="0.25">
      <c r="A219" s="49">
        <f>'A) Base RI'!A219</f>
        <v>5749</v>
      </c>
      <c r="B219" s="341" t="str">
        <f>'A) Base RI'!B219</f>
        <v>Chavornay</v>
      </c>
      <c r="C219" s="489">
        <v>2487733.5405925326</v>
      </c>
      <c r="D219" s="489">
        <v>-1464997.5906404178</v>
      </c>
      <c r="E219" s="490">
        <v>0</v>
      </c>
      <c r="F219" s="490">
        <v>0</v>
      </c>
      <c r="G219" s="490">
        <v>0</v>
      </c>
      <c r="H219" s="487">
        <f t="shared" si="39"/>
        <v>1022735.9499521148</v>
      </c>
      <c r="I219" s="490">
        <v>140676.80723404256</v>
      </c>
      <c r="J219" s="345">
        <f>'B) D RI'!U219</f>
        <v>153338.61687943264</v>
      </c>
      <c r="K219" s="62">
        <f t="shared" si="40"/>
        <v>7.2701106178120716</v>
      </c>
      <c r="L219" s="33">
        <f>'B) D RI'!S219</f>
        <v>70.5</v>
      </c>
      <c r="M219" s="433">
        <f t="shared" ref="M219" si="42">L219-K219</f>
        <v>63.229889382187928</v>
      </c>
      <c r="N219" s="428">
        <f>+'J) Plafonnement effort'!H218+'J) Plafonnement effort'!I218-'K) Plafonnement aide'!I218</f>
        <v>-0.35319069590757479</v>
      </c>
      <c r="O219" s="144">
        <f t="shared" ref="O219" si="43">M219+N219</f>
        <v>62.876698686280349</v>
      </c>
      <c r="P219" s="47">
        <f t="shared" ref="P219" si="44">IF(O219&gt;$P$6,$P$6-O219,0)</f>
        <v>0</v>
      </c>
      <c r="Q219" s="55">
        <f t="shared" ref="Q219" si="45">P219*J219</f>
        <v>0</v>
      </c>
      <c r="R219" s="144">
        <f t="shared" ref="R219" si="46">O219+P219</f>
        <v>62.876698686280349</v>
      </c>
      <c r="S219" s="124">
        <f t="shared" ref="S219" si="47">R219-L219</f>
        <v>-7.6233013137196508</v>
      </c>
      <c r="T219" s="143">
        <f t="shared" si="41"/>
        <v>0</v>
      </c>
      <c r="V219" s="12"/>
    </row>
    <row r="220" spans="1:22" x14ac:dyDescent="0.25">
      <c r="A220" s="49">
        <f>'A) Base RI'!A220</f>
        <v>5750</v>
      </c>
      <c r="B220" s="341" t="str">
        <f>'A) Base RI'!B220</f>
        <v>Les Clées</v>
      </c>
      <c r="C220" s="489">
        <v>84458.480184872766</v>
      </c>
      <c r="D220" s="489">
        <v>16270.63758602507</v>
      </c>
      <c r="E220" s="490">
        <v>0</v>
      </c>
      <c r="F220" s="490">
        <v>0</v>
      </c>
      <c r="G220" s="490">
        <v>0</v>
      </c>
      <c r="H220" s="487">
        <f t="shared" si="39"/>
        <v>100729.11777089784</v>
      </c>
      <c r="I220" s="490">
        <v>6037.9437500000004</v>
      </c>
      <c r="J220" s="345">
        <f>'B) D RI'!U220</f>
        <v>4819.774166666667</v>
      </c>
      <c r="K220" s="62">
        <f t="shared" si="40"/>
        <v>16.682685685983383</v>
      </c>
      <c r="L220" s="33">
        <f>'B) D RI'!S220</f>
        <v>80</v>
      </c>
      <c r="M220" s="433">
        <f t="shared" ref="M220:M261" si="48">L220-K220</f>
        <v>63.317314314016613</v>
      </c>
      <c r="N220" s="428">
        <f>+'J) Plafonnement effort'!H219+'J) Plafonnement effort'!I219-'K) Plafonnement aide'!I219</f>
        <v>-4.4946794514570998</v>
      </c>
      <c r="O220" s="144">
        <f t="shared" ref="O220:O261" si="49">M220+N220</f>
        <v>58.822634862559511</v>
      </c>
      <c r="P220" s="47">
        <f t="shared" ref="P220:P261" si="50">IF(O220&gt;$P$6,$P$6-O220,0)</f>
        <v>0</v>
      </c>
      <c r="Q220" s="55">
        <f t="shared" si="32"/>
        <v>0</v>
      </c>
      <c r="R220" s="144">
        <f t="shared" ref="R220:R261" si="51">O220+P220</f>
        <v>58.822634862559511</v>
      </c>
      <c r="S220" s="124">
        <f t="shared" ref="S220:S261" si="52">R220-L220</f>
        <v>-21.177365137440489</v>
      </c>
      <c r="T220" s="143">
        <f t="shared" si="41"/>
        <v>0</v>
      </c>
      <c r="V220" s="12"/>
    </row>
    <row r="221" spans="1:22" x14ac:dyDescent="0.25">
      <c r="A221" s="49">
        <f>'A) Base RI'!A221</f>
        <v>5752</v>
      </c>
      <c r="B221" s="341" t="str">
        <f>'A) Base RI'!B221</f>
        <v>Croy</v>
      </c>
      <c r="C221" s="489">
        <v>161349.69491089968</v>
      </c>
      <c r="D221" s="489">
        <v>-82011.718635465542</v>
      </c>
      <c r="E221" s="490">
        <v>0</v>
      </c>
      <c r="F221" s="490">
        <v>0</v>
      </c>
      <c r="G221" s="490">
        <v>0</v>
      </c>
      <c r="H221" s="487">
        <f t="shared" si="39"/>
        <v>79337.976275434135</v>
      </c>
      <c r="I221" s="490">
        <v>9416.7971235521236</v>
      </c>
      <c r="J221" s="345">
        <f>'B) D RI'!U221</f>
        <v>9670.9952316602321</v>
      </c>
      <c r="K221" s="62">
        <f t="shared" si="40"/>
        <v>8.425155096206101</v>
      </c>
      <c r="L221" s="33">
        <f>'B) D RI'!S221</f>
        <v>74</v>
      </c>
      <c r="M221" s="433">
        <f t="shared" si="48"/>
        <v>65.574844903793903</v>
      </c>
      <c r="N221" s="428">
        <f>+'J) Plafonnement effort'!H220+'J) Plafonnement effort'!I220-'K) Plafonnement aide'!I220</f>
        <v>5.0132910192430282</v>
      </c>
      <c r="O221" s="144">
        <f t="shared" si="49"/>
        <v>70.58813592303693</v>
      </c>
      <c r="P221" s="47">
        <f t="shared" si="50"/>
        <v>0</v>
      </c>
      <c r="Q221" s="55">
        <f t="shared" si="32"/>
        <v>0</v>
      </c>
      <c r="R221" s="144">
        <f t="shared" si="51"/>
        <v>70.58813592303693</v>
      </c>
      <c r="S221" s="124">
        <f t="shared" si="52"/>
        <v>-3.4118640769630701</v>
      </c>
      <c r="T221" s="143">
        <f t="shared" si="41"/>
        <v>0</v>
      </c>
      <c r="V221" s="12"/>
    </row>
    <row r="222" spans="1:22" x14ac:dyDescent="0.25">
      <c r="A222" s="49">
        <f>'A) Base RI'!A222</f>
        <v>5754</v>
      </c>
      <c r="B222" s="341" t="str">
        <f>'A) Base RI'!B222</f>
        <v>Juriens</v>
      </c>
      <c r="C222" s="489">
        <v>120879.37434472695</v>
      </c>
      <c r="D222" s="489">
        <v>-91357.36294311707</v>
      </c>
      <c r="E222" s="490">
        <v>0</v>
      </c>
      <c r="F222" s="490">
        <v>0</v>
      </c>
      <c r="G222" s="490">
        <v>0</v>
      </c>
      <c r="H222" s="487">
        <f t="shared" si="39"/>
        <v>29522.011401609881</v>
      </c>
      <c r="I222" s="490">
        <v>8043.7859493670894</v>
      </c>
      <c r="J222" s="345">
        <f>'B) D RI'!U222</f>
        <v>9073.6935443037964</v>
      </c>
      <c r="K222" s="62">
        <f t="shared" si="40"/>
        <v>3.6701637248232304</v>
      </c>
      <c r="L222" s="33">
        <f>'B) D RI'!S222</f>
        <v>79</v>
      </c>
      <c r="M222" s="433">
        <f t="shared" si="48"/>
        <v>75.329836275176774</v>
      </c>
      <c r="N222" s="428">
        <f>+'J) Plafonnement effort'!H221+'J) Plafonnement effort'!I221-'K) Plafonnement aide'!I221</f>
        <v>0.41881299826329865</v>
      </c>
      <c r="O222" s="144">
        <f t="shared" si="49"/>
        <v>75.748649273440066</v>
      </c>
      <c r="P222" s="47">
        <f t="shared" si="50"/>
        <v>0</v>
      </c>
      <c r="Q222" s="55">
        <f t="shared" ref="Q222:Q266" si="53">P222*J222</f>
        <v>0</v>
      </c>
      <c r="R222" s="144">
        <f t="shared" si="51"/>
        <v>75.748649273440066</v>
      </c>
      <c r="S222" s="124">
        <f t="shared" si="52"/>
        <v>-3.2513507265599344</v>
      </c>
      <c r="T222" s="143">
        <f t="shared" si="41"/>
        <v>0</v>
      </c>
      <c r="V222" s="12"/>
    </row>
    <row r="223" spans="1:22" x14ac:dyDescent="0.25">
      <c r="A223" s="49">
        <f>'A) Base RI'!A223</f>
        <v>5755</v>
      </c>
      <c r="B223" s="341" t="str">
        <f>'A) Base RI'!B223</f>
        <v>Lignerolle</v>
      </c>
      <c r="C223" s="489">
        <v>265175.7398544664</v>
      </c>
      <c r="D223" s="489">
        <v>-174568.4394176701</v>
      </c>
      <c r="E223" s="490">
        <v>0</v>
      </c>
      <c r="F223" s="490">
        <v>0</v>
      </c>
      <c r="G223" s="490">
        <v>0</v>
      </c>
      <c r="H223" s="487">
        <f t="shared" si="39"/>
        <v>90607.3004367963</v>
      </c>
      <c r="I223" s="490">
        <v>9055.2737033666963</v>
      </c>
      <c r="J223" s="345">
        <f>'B) D RI'!U223</f>
        <v>10746.718034576888</v>
      </c>
      <c r="K223" s="62">
        <f t="shared" si="40"/>
        <v>10.006025594025838</v>
      </c>
      <c r="L223" s="33">
        <f>'B) D RI'!S223</f>
        <v>78.5</v>
      </c>
      <c r="M223" s="433">
        <f t="shared" si="48"/>
        <v>68.493974405974157</v>
      </c>
      <c r="N223" s="428">
        <f>+'J) Plafonnement effort'!H222+'J) Plafonnement effort'!I222-'K) Plafonnement aide'!I222</f>
        <v>-21.668631132407967</v>
      </c>
      <c r="O223" s="144">
        <f t="shared" si="49"/>
        <v>46.82534327356619</v>
      </c>
      <c r="P223" s="47">
        <f t="shared" si="50"/>
        <v>0</v>
      </c>
      <c r="Q223" s="55">
        <f t="shared" si="53"/>
        <v>0</v>
      </c>
      <c r="R223" s="144">
        <f t="shared" si="51"/>
        <v>46.82534327356619</v>
      </c>
      <c r="S223" s="124">
        <f t="shared" si="52"/>
        <v>-31.67465672643381</v>
      </c>
      <c r="T223" s="143">
        <f t="shared" si="41"/>
        <v>0</v>
      </c>
      <c r="V223" s="12"/>
    </row>
    <row r="224" spans="1:22" x14ac:dyDescent="0.25">
      <c r="A224" s="49">
        <f>'A) Base RI'!A224</f>
        <v>5756</v>
      </c>
      <c r="B224" s="341" t="str">
        <f>'A) Base RI'!B224</f>
        <v>Montcherand</v>
      </c>
      <c r="C224" s="489">
        <v>267238.51405768143</v>
      </c>
      <c r="D224" s="489">
        <v>60065.382161013433</v>
      </c>
      <c r="E224" s="490">
        <v>0</v>
      </c>
      <c r="F224" s="490">
        <v>0</v>
      </c>
      <c r="G224" s="490">
        <v>0</v>
      </c>
      <c r="H224" s="487">
        <f t="shared" si="39"/>
        <v>327303.89621869486</v>
      </c>
      <c r="I224" s="490">
        <v>15758.308611111112</v>
      </c>
      <c r="J224" s="345">
        <f>'B) D RI'!U224</f>
        <v>17739.52444444444</v>
      </c>
      <c r="K224" s="62">
        <f t="shared" si="40"/>
        <v>20.770242815774935</v>
      </c>
      <c r="L224" s="33">
        <f>'B) D RI'!S224</f>
        <v>72</v>
      </c>
      <c r="M224" s="433">
        <f t="shared" si="48"/>
        <v>51.229757184225065</v>
      </c>
      <c r="N224" s="428">
        <f>+'J) Plafonnement effort'!H223+'J) Plafonnement effort'!I223-'K) Plafonnement aide'!I223</f>
        <v>17.696499370684307</v>
      </c>
      <c r="O224" s="144">
        <f t="shared" si="49"/>
        <v>68.926256554909372</v>
      </c>
      <c r="P224" s="47">
        <f t="shared" si="50"/>
        <v>0</v>
      </c>
      <c r="Q224" s="55">
        <f t="shared" si="53"/>
        <v>0</v>
      </c>
      <c r="R224" s="144">
        <f t="shared" si="51"/>
        <v>68.926256554909372</v>
      </c>
      <c r="S224" s="124">
        <f t="shared" si="52"/>
        <v>-3.0737434450906278</v>
      </c>
      <c r="T224" s="143">
        <f t="shared" si="41"/>
        <v>0</v>
      </c>
      <c r="V224" s="12"/>
    </row>
    <row r="225" spans="1:22" x14ac:dyDescent="0.25">
      <c r="A225" s="49">
        <f>'A) Base RI'!A225</f>
        <v>5757</v>
      </c>
      <c r="B225" s="341" t="str">
        <f>'A) Base RI'!B225</f>
        <v>Orbe</v>
      </c>
      <c r="C225" s="489">
        <v>4230593.9084623726</v>
      </c>
      <c r="D225" s="489">
        <v>-2356600.5827753269</v>
      </c>
      <c r="E225" s="490">
        <v>0</v>
      </c>
      <c r="F225" s="490">
        <v>0</v>
      </c>
      <c r="G225" s="490">
        <v>0</v>
      </c>
      <c r="H225" s="487">
        <f t="shared" si="39"/>
        <v>1873993.3256870457</v>
      </c>
      <c r="I225" s="490">
        <v>203783.43483443707</v>
      </c>
      <c r="J225" s="345">
        <f>'B) D RI'!U225</f>
        <v>216184.82317880794</v>
      </c>
      <c r="K225" s="62">
        <f t="shared" si="40"/>
        <v>9.1960042150117012</v>
      </c>
      <c r="L225" s="33">
        <f>'B) D RI'!S225</f>
        <v>75.5</v>
      </c>
      <c r="M225" s="433">
        <f t="shared" si="48"/>
        <v>66.303995784988302</v>
      </c>
      <c r="N225" s="428">
        <f>+'J) Plafonnement effort'!H224+'J) Plafonnement effort'!I224-'K) Plafonnement aide'!I224</f>
        <v>-9.7096508328216817</v>
      </c>
      <c r="O225" s="144">
        <f t="shared" si="49"/>
        <v>56.594344952166622</v>
      </c>
      <c r="P225" s="47">
        <f t="shared" si="50"/>
        <v>0</v>
      </c>
      <c r="Q225" s="55">
        <f t="shared" si="53"/>
        <v>0</v>
      </c>
      <c r="R225" s="144">
        <f t="shared" si="51"/>
        <v>56.594344952166622</v>
      </c>
      <c r="S225" s="124">
        <f t="shared" si="52"/>
        <v>-18.905655047833378</v>
      </c>
      <c r="T225" s="143">
        <f t="shared" si="41"/>
        <v>0</v>
      </c>
      <c r="V225" s="12"/>
    </row>
    <row r="226" spans="1:22" x14ac:dyDescent="0.25">
      <c r="A226" s="49">
        <f>'A) Base RI'!A226</f>
        <v>5758</v>
      </c>
      <c r="B226" s="341" t="str">
        <f>'A) Base RI'!B226</f>
        <v>La Praz</v>
      </c>
      <c r="C226" s="489">
        <v>70670.02289921882</v>
      </c>
      <c r="D226" s="489">
        <v>-52805.633630506927</v>
      </c>
      <c r="E226" s="490">
        <v>0</v>
      </c>
      <c r="F226" s="490">
        <v>0</v>
      </c>
      <c r="G226" s="490">
        <v>0</v>
      </c>
      <c r="H226" s="487">
        <f t="shared" si="39"/>
        <v>17864.389268711893</v>
      </c>
      <c r="I226" s="490">
        <v>4313.3939759036139</v>
      </c>
      <c r="J226" s="345">
        <f>'B) D RI'!U226</f>
        <v>4771.8661445783146</v>
      </c>
      <c r="K226" s="62">
        <f t="shared" si="40"/>
        <v>4.1416085264897413</v>
      </c>
      <c r="L226" s="33">
        <f>'B) D RI'!S226</f>
        <v>83</v>
      </c>
      <c r="M226" s="433">
        <f t="shared" si="48"/>
        <v>78.858391473510252</v>
      </c>
      <c r="N226" s="428">
        <f>+'J) Plafonnement effort'!H225+'J) Plafonnement effort'!I225-'K) Plafonnement aide'!I225</f>
        <v>-5.55188273745049</v>
      </c>
      <c r="O226" s="144">
        <f t="shared" si="49"/>
        <v>73.306508736059769</v>
      </c>
      <c r="P226" s="47">
        <f t="shared" si="50"/>
        <v>0</v>
      </c>
      <c r="Q226" s="55">
        <f t="shared" si="53"/>
        <v>0</v>
      </c>
      <c r="R226" s="144">
        <f t="shared" si="51"/>
        <v>73.306508736059769</v>
      </c>
      <c r="S226" s="124">
        <f t="shared" si="52"/>
        <v>-9.6934912639402313</v>
      </c>
      <c r="T226" s="143">
        <f t="shared" si="41"/>
        <v>0</v>
      </c>
      <c r="V226" s="12"/>
    </row>
    <row r="227" spans="1:22" x14ac:dyDescent="0.25">
      <c r="A227" s="49">
        <f>'A) Base RI'!A227</f>
        <v>5759</v>
      </c>
      <c r="B227" s="341" t="str">
        <f>'A) Base RI'!B227</f>
        <v>Premier</v>
      </c>
      <c r="C227" s="489">
        <v>92241.779467405417</v>
      </c>
      <c r="D227" s="489">
        <v>-57008.438547982281</v>
      </c>
      <c r="E227" s="490">
        <v>0</v>
      </c>
      <c r="F227" s="490">
        <v>0</v>
      </c>
      <c r="G227" s="490">
        <v>0</v>
      </c>
      <c r="H227" s="487">
        <f t="shared" si="39"/>
        <v>35233.340919423135</v>
      </c>
      <c r="I227" s="490">
        <v>5307.4840251572332</v>
      </c>
      <c r="J227" s="345">
        <f>'B) D RI'!U227</f>
        <v>5900.0572327044019</v>
      </c>
      <c r="K227" s="62">
        <f t="shared" si="40"/>
        <v>6.638426183181843</v>
      </c>
      <c r="L227" s="33">
        <f>'B) D RI'!S227</f>
        <v>79.5</v>
      </c>
      <c r="M227" s="433">
        <f t="shared" si="48"/>
        <v>72.861573816818151</v>
      </c>
      <c r="N227" s="428">
        <f>+'J) Plafonnement effort'!H226+'J) Plafonnement effort'!I226-'K) Plafonnement aide'!I226</f>
        <v>-9.1881549721339724</v>
      </c>
      <c r="O227" s="144">
        <f t="shared" si="49"/>
        <v>63.673418844684178</v>
      </c>
      <c r="P227" s="47">
        <f t="shared" si="50"/>
        <v>0</v>
      </c>
      <c r="Q227" s="55">
        <f t="shared" si="53"/>
        <v>0</v>
      </c>
      <c r="R227" s="144">
        <f t="shared" si="51"/>
        <v>63.673418844684178</v>
      </c>
      <c r="S227" s="124">
        <f t="shared" si="52"/>
        <v>-15.826581155315822</v>
      </c>
      <c r="T227" s="143">
        <f t="shared" si="41"/>
        <v>0</v>
      </c>
      <c r="V227" s="12"/>
    </row>
    <row r="228" spans="1:22" x14ac:dyDescent="0.25">
      <c r="A228" s="49">
        <f>'A) Base RI'!A228</f>
        <v>5760</v>
      </c>
      <c r="B228" s="341" t="str">
        <f>'A) Base RI'!B228</f>
        <v>Rances</v>
      </c>
      <c r="C228" s="489">
        <v>227755.46846837425</v>
      </c>
      <c r="D228" s="489">
        <v>-96860.989979886217</v>
      </c>
      <c r="E228" s="490">
        <v>0</v>
      </c>
      <c r="F228" s="490">
        <v>0</v>
      </c>
      <c r="G228" s="490">
        <v>0</v>
      </c>
      <c r="H228" s="487">
        <f t="shared" si="39"/>
        <v>130894.47848848804</v>
      </c>
      <c r="I228" s="490">
        <v>12826.018997821348</v>
      </c>
      <c r="J228" s="345">
        <f>'B) D RI'!U228</f>
        <v>14481.892461873636</v>
      </c>
      <c r="K228" s="62">
        <f t="shared" si="40"/>
        <v>10.205386294119947</v>
      </c>
      <c r="L228" s="33">
        <f>'B) D RI'!S228</f>
        <v>76.5</v>
      </c>
      <c r="M228" s="433">
        <f t="shared" si="48"/>
        <v>66.294613705880053</v>
      </c>
      <c r="N228" s="428">
        <f>+'J) Plafonnement effort'!H227+'J) Plafonnement effort'!I227-'K) Plafonnement aide'!I227</f>
        <v>1.0222978133360789</v>
      </c>
      <c r="O228" s="144">
        <f t="shared" si="49"/>
        <v>67.316911519216134</v>
      </c>
      <c r="P228" s="47">
        <f t="shared" si="50"/>
        <v>0</v>
      </c>
      <c r="Q228" s="55">
        <f t="shared" si="53"/>
        <v>0</v>
      </c>
      <c r="R228" s="144">
        <f t="shared" si="51"/>
        <v>67.316911519216134</v>
      </c>
      <c r="S228" s="124">
        <f t="shared" si="52"/>
        <v>-9.1830884807838657</v>
      </c>
      <c r="T228" s="143">
        <f t="shared" si="41"/>
        <v>0</v>
      </c>
      <c r="V228" s="12"/>
    </row>
    <row r="229" spans="1:22" x14ac:dyDescent="0.25">
      <c r="A229" s="49">
        <f>'A) Base RI'!A229</f>
        <v>5761</v>
      </c>
      <c r="B229" s="341" t="str">
        <f>'A) Base RI'!B229</f>
        <v>Romainmôtier-Envy</v>
      </c>
      <c r="C229" s="489">
        <v>250006.30959882331</v>
      </c>
      <c r="D229" s="489">
        <v>-178791.75091027084</v>
      </c>
      <c r="E229" s="490">
        <v>0</v>
      </c>
      <c r="F229" s="490">
        <v>0</v>
      </c>
      <c r="G229" s="490">
        <v>0</v>
      </c>
      <c r="H229" s="487">
        <f t="shared" si="39"/>
        <v>71214.558688552468</v>
      </c>
      <c r="I229" s="490">
        <v>12135.004377104378</v>
      </c>
      <c r="J229" s="345">
        <f>'B) D RI'!U229</f>
        <v>12913.984792368126</v>
      </c>
      <c r="K229" s="62">
        <f t="shared" si="40"/>
        <v>5.8685235271044451</v>
      </c>
      <c r="L229" s="33">
        <f>'B) D RI'!S229</f>
        <v>81</v>
      </c>
      <c r="M229" s="433">
        <f t="shared" si="48"/>
        <v>75.131476472895557</v>
      </c>
      <c r="N229" s="428">
        <f>+'J) Plafonnement effort'!H228+'J) Plafonnement effort'!I228-'K) Plafonnement aide'!I228</f>
        <v>-15.624380474424214</v>
      </c>
      <c r="O229" s="144">
        <f t="shared" si="49"/>
        <v>59.507095998471343</v>
      </c>
      <c r="P229" s="47">
        <f t="shared" si="50"/>
        <v>0</v>
      </c>
      <c r="Q229" s="55">
        <f t="shared" si="53"/>
        <v>0</v>
      </c>
      <c r="R229" s="144">
        <f t="shared" si="51"/>
        <v>59.507095998471343</v>
      </c>
      <c r="S229" s="124">
        <f t="shared" si="52"/>
        <v>-21.492904001528657</v>
      </c>
      <c r="T229" s="143">
        <f t="shared" si="41"/>
        <v>0</v>
      </c>
      <c r="V229" s="12"/>
    </row>
    <row r="230" spans="1:22" x14ac:dyDescent="0.25">
      <c r="A230" s="49">
        <f>'A) Base RI'!A230</f>
        <v>5762</v>
      </c>
      <c r="B230" s="341" t="str">
        <f>'A) Base RI'!B230</f>
        <v>Sergey</v>
      </c>
      <c r="C230" s="489">
        <v>50974.901517918064</v>
      </c>
      <c r="D230" s="489">
        <v>-24063.750296848099</v>
      </c>
      <c r="E230" s="490">
        <v>0</v>
      </c>
      <c r="F230" s="490">
        <v>0</v>
      </c>
      <c r="G230" s="490">
        <v>0</v>
      </c>
      <c r="H230" s="487">
        <f t="shared" si="39"/>
        <v>26911.151221069966</v>
      </c>
      <c r="I230" s="490">
        <v>3773.0282051282052</v>
      </c>
      <c r="J230" s="345">
        <f>'B) D RI'!U230</f>
        <v>3849.6283333333336</v>
      </c>
      <c r="K230" s="62">
        <f t="shared" si="40"/>
        <v>7.1325073012952842</v>
      </c>
      <c r="L230" s="33">
        <f>'B) D RI'!S230</f>
        <v>78</v>
      </c>
      <c r="M230" s="433">
        <f t="shared" si="48"/>
        <v>70.867492698704723</v>
      </c>
      <c r="N230" s="428">
        <f>+'J) Plafonnement effort'!H229+'J) Plafonnement effort'!I229-'K) Plafonnement aide'!I229</f>
        <v>0.64775996408095782</v>
      </c>
      <c r="O230" s="144">
        <f t="shared" si="49"/>
        <v>71.515252662785684</v>
      </c>
      <c r="P230" s="47">
        <f t="shared" si="50"/>
        <v>0</v>
      </c>
      <c r="Q230" s="55">
        <f t="shared" si="53"/>
        <v>0</v>
      </c>
      <c r="R230" s="144">
        <f t="shared" si="51"/>
        <v>71.515252662785684</v>
      </c>
      <c r="S230" s="124">
        <f t="shared" si="52"/>
        <v>-6.4847473372143156</v>
      </c>
      <c r="T230" s="143">
        <f t="shared" si="41"/>
        <v>0</v>
      </c>
      <c r="V230" s="12"/>
    </row>
    <row r="231" spans="1:22" x14ac:dyDescent="0.25">
      <c r="A231" s="49">
        <f>'A) Base RI'!A231</f>
        <v>5763</v>
      </c>
      <c r="B231" s="341" t="str">
        <f>'A) Base RI'!B231</f>
        <v>Valeyres-sous-Rances</v>
      </c>
      <c r="C231" s="489">
        <v>303678.99190062348</v>
      </c>
      <c r="D231" s="489">
        <v>151798.82547565878</v>
      </c>
      <c r="E231" s="490">
        <v>0</v>
      </c>
      <c r="F231" s="490">
        <v>0</v>
      </c>
      <c r="G231" s="490">
        <v>0</v>
      </c>
      <c r="H231" s="487">
        <f t="shared" si="39"/>
        <v>455477.8173762823</v>
      </c>
      <c r="I231" s="490">
        <v>20456.385294117645</v>
      </c>
      <c r="J231" s="345">
        <f>'B) D RI'!U231</f>
        <v>22663.97352941176</v>
      </c>
      <c r="K231" s="62">
        <f t="shared" si="40"/>
        <v>22.265801647139373</v>
      </c>
      <c r="L231" s="33">
        <f>'B) D RI'!S231</f>
        <v>68</v>
      </c>
      <c r="M231" s="433">
        <f t="shared" si="48"/>
        <v>45.734198352860631</v>
      </c>
      <c r="N231" s="428">
        <f>+'J) Plafonnement effort'!H230+'J) Plafonnement effort'!I230-'K) Plafonnement aide'!I230</f>
        <v>18.576414137802288</v>
      </c>
      <c r="O231" s="144">
        <f t="shared" si="49"/>
        <v>64.310612490662919</v>
      </c>
      <c r="P231" s="47">
        <f t="shared" si="50"/>
        <v>0</v>
      </c>
      <c r="Q231" s="55">
        <f t="shared" si="53"/>
        <v>0</v>
      </c>
      <c r="R231" s="144">
        <f t="shared" si="51"/>
        <v>64.310612490662919</v>
      </c>
      <c r="S231" s="124">
        <f t="shared" si="52"/>
        <v>-3.6893875093370809</v>
      </c>
      <c r="T231" s="143">
        <f t="shared" si="41"/>
        <v>0</v>
      </c>
      <c r="V231" s="12"/>
    </row>
    <row r="232" spans="1:22" x14ac:dyDescent="0.25">
      <c r="A232" s="49">
        <f>'A) Base RI'!A232</f>
        <v>5764</v>
      </c>
      <c r="B232" s="341" t="str">
        <f>'A) Base RI'!B232</f>
        <v>Vallorbe</v>
      </c>
      <c r="C232" s="489">
        <v>2010847.2256480502</v>
      </c>
      <c r="D232" s="489">
        <v>-1734287.397714451</v>
      </c>
      <c r="E232" s="490">
        <v>0</v>
      </c>
      <c r="F232" s="490">
        <v>0</v>
      </c>
      <c r="G232" s="490">
        <v>0</v>
      </c>
      <c r="H232" s="487">
        <f t="shared" si="39"/>
        <v>276559.82793359924</v>
      </c>
      <c r="I232" s="490">
        <v>84310.704615384602</v>
      </c>
      <c r="J232" s="345">
        <f>'B) D RI'!U232</f>
        <v>83682.382797202779</v>
      </c>
      <c r="K232" s="62">
        <f t="shared" si="40"/>
        <v>3.2802457196299359</v>
      </c>
      <c r="L232" s="33">
        <f>'B) D RI'!S232</f>
        <v>71.5</v>
      </c>
      <c r="M232" s="433">
        <f t="shared" si="48"/>
        <v>68.219754280370068</v>
      </c>
      <c r="N232" s="428">
        <f>+'J) Plafonnement effort'!H231+'J) Plafonnement effort'!I231-'K) Plafonnement aide'!I231</f>
        <v>-36.222644214705163</v>
      </c>
      <c r="O232" s="144">
        <f t="shared" si="49"/>
        <v>31.997110065664906</v>
      </c>
      <c r="P232" s="47">
        <f t="shared" si="50"/>
        <v>0</v>
      </c>
      <c r="Q232" s="55">
        <f t="shared" si="53"/>
        <v>0</v>
      </c>
      <c r="R232" s="144">
        <f t="shared" si="51"/>
        <v>31.997110065664906</v>
      </c>
      <c r="S232" s="124">
        <f t="shared" si="52"/>
        <v>-39.502889934335094</v>
      </c>
      <c r="T232" s="143">
        <f t="shared" si="41"/>
        <v>0</v>
      </c>
      <c r="V232" s="12"/>
    </row>
    <row r="233" spans="1:22" x14ac:dyDescent="0.25">
      <c r="A233" s="49">
        <f>'A) Base RI'!A233</f>
        <v>5765</v>
      </c>
      <c r="B233" s="341" t="str">
        <f>'A) Base RI'!B233</f>
        <v>Vaulion</v>
      </c>
      <c r="C233" s="489">
        <v>218022.75083541835</v>
      </c>
      <c r="D233" s="489">
        <v>-189662.49119344281</v>
      </c>
      <c r="E233" s="490">
        <v>0</v>
      </c>
      <c r="F233" s="490">
        <v>0</v>
      </c>
      <c r="G233" s="490">
        <v>0</v>
      </c>
      <c r="H233" s="487">
        <f t="shared" si="39"/>
        <v>28360.259641975543</v>
      </c>
      <c r="I233" s="490">
        <v>11314.597037037036</v>
      </c>
      <c r="J233" s="345">
        <f>'B) D RI'!U233</f>
        <v>10279.479012345679</v>
      </c>
      <c r="K233" s="62">
        <f t="shared" si="40"/>
        <v>2.5065196355770767</v>
      </c>
      <c r="L233" s="33">
        <f>'B) D RI'!S233</f>
        <v>81</v>
      </c>
      <c r="M233" s="433">
        <f t="shared" si="48"/>
        <v>78.493480364422922</v>
      </c>
      <c r="N233" s="428">
        <f>+'J) Plafonnement effort'!H232+'J) Plafonnement effort'!I232-'K) Plafonnement aide'!I232</f>
        <v>-22.497526589476578</v>
      </c>
      <c r="O233" s="144">
        <f t="shared" si="49"/>
        <v>55.995953774946344</v>
      </c>
      <c r="P233" s="47">
        <f t="shared" si="50"/>
        <v>0</v>
      </c>
      <c r="Q233" s="55">
        <f t="shared" si="53"/>
        <v>0</v>
      </c>
      <c r="R233" s="144">
        <f t="shared" si="51"/>
        <v>55.995953774946344</v>
      </c>
      <c r="S233" s="124">
        <f t="shared" si="52"/>
        <v>-25.004046225053656</v>
      </c>
      <c r="T233" s="143">
        <f t="shared" si="41"/>
        <v>0</v>
      </c>
      <c r="V233" s="12"/>
    </row>
    <row r="234" spans="1:22" x14ac:dyDescent="0.25">
      <c r="A234" s="49">
        <f>'A) Base RI'!A234</f>
        <v>5766</v>
      </c>
      <c r="B234" s="341" t="str">
        <f>'A) Base RI'!B234</f>
        <v>Vuiteboeuf</v>
      </c>
      <c r="C234" s="489">
        <v>244222.18551944895</v>
      </c>
      <c r="D234" s="489">
        <v>-54627.244476666965</v>
      </c>
      <c r="E234" s="490">
        <v>0</v>
      </c>
      <c r="F234" s="490">
        <v>0</v>
      </c>
      <c r="G234" s="490">
        <v>0</v>
      </c>
      <c r="H234" s="487">
        <f t="shared" si="39"/>
        <v>189594.94104278198</v>
      </c>
      <c r="I234" s="490">
        <v>15993.559610389608</v>
      </c>
      <c r="J234" s="345">
        <f>'B) D RI'!U234</f>
        <v>15554.101904761903</v>
      </c>
      <c r="K234" s="62">
        <f t="shared" si="40"/>
        <v>11.854455522185246</v>
      </c>
      <c r="L234" s="33">
        <f>'B) D RI'!S234</f>
        <v>75</v>
      </c>
      <c r="M234" s="433">
        <f t="shared" si="48"/>
        <v>63.145544477814752</v>
      </c>
      <c r="N234" s="428">
        <f>+'J) Plafonnement effort'!H233+'J) Plafonnement effort'!I233-'K) Plafonnement aide'!I233</f>
        <v>3.3619403774009169</v>
      </c>
      <c r="O234" s="144">
        <f t="shared" si="49"/>
        <v>66.507484855215665</v>
      </c>
      <c r="P234" s="47">
        <f t="shared" si="50"/>
        <v>0</v>
      </c>
      <c r="Q234" s="55">
        <f t="shared" si="53"/>
        <v>0</v>
      </c>
      <c r="R234" s="144">
        <f t="shared" si="51"/>
        <v>66.507484855215665</v>
      </c>
      <c r="S234" s="124">
        <f t="shared" si="52"/>
        <v>-8.4925151447843348</v>
      </c>
      <c r="T234" s="143">
        <f t="shared" si="41"/>
        <v>0</v>
      </c>
      <c r="V234" s="12"/>
    </row>
    <row r="235" spans="1:22" x14ac:dyDescent="0.25">
      <c r="A235" s="49">
        <f>'A) Base RI'!A235</f>
        <v>5785</v>
      </c>
      <c r="B235" s="341" t="str">
        <f>'A) Base RI'!B235</f>
        <v>Corcelles-le-Jorat</v>
      </c>
      <c r="C235" s="489">
        <v>302918.69763711595</v>
      </c>
      <c r="D235" s="489">
        <v>179248.59361676784</v>
      </c>
      <c r="E235" s="490">
        <v>0</v>
      </c>
      <c r="F235" s="490">
        <v>0</v>
      </c>
      <c r="G235" s="490">
        <v>0</v>
      </c>
      <c r="H235" s="487">
        <f t="shared" si="39"/>
        <v>482167.2912538838</v>
      </c>
      <c r="I235" s="490">
        <v>17506.662467532471</v>
      </c>
      <c r="J235" s="345">
        <f>'B) D RI'!U235</f>
        <v>14579.940909090908</v>
      </c>
      <c r="K235" s="62">
        <f t="shared" si="40"/>
        <v>27.54193108755608</v>
      </c>
      <c r="L235" s="33">
        <f>'B) D RI'!S235</f>
        <v>77</v>
      </c>
      <c r="M235" s="433">
        <f t="shared" si="48"/>
        <v>49.45806891244392</v>
      </c>
      <c r="N235" s="428">
        <f>+'J) Plafonnement effort'!H234+'J) Plafonnement effort'!I234-'K) Plafonnement aide'!I234</f>
        <v>7.6771001007121251</v>
      </c>
      <c r="O235" s="144">
        <f t="shared" si="49"/>
        <v>57.135169013156045</v>
      </c>
      <c r="P235" s="47">
        <f t="shared" si="50"/>
        <v>0</v>
      </c>
      <c r="Q235" s="55">
        <f t="shared" si="53"/>
        <v>0</v>
      </c>
      <c r="R235" s="144">
        <f t="shared" si="51"/>
        <v>57.135169013156045</v>
      </c>
      <c r="S235" s="124">
        <f t="shared" si="52"/>
        <v>-19.864830986843955</v>
      </c>
      <c r="T235" s="143">
        <f t="shared" si="41"/>
        <v>0</v>
      </c>
      <c r="V235" s="12"/>
    </row>
    <row r="236" spans="1:22" x14ac:dyDescent="0.25">
      <c r="A236" s="49">
        <f>'A) Base RI'!A236</f>
        <v>5788</v>
      </c>
      <c r="B236" s="341" t="str">
        <f>'A) Base RI'!B236</f>
        <v>Essertes</v>
      </c>
      <c r="C236" s="489">
        <v>255940.21827695286</v>
      </c>
      <c r="D236" s="489">
        <v>211158.14328060433</v>
      </c>
      <c r="E236" s="490">
        <v>0</v>
      </c>
      <c r="F236" s="490">
        <v>0</v>
      </c>
      <c r="G236" s="490">
        <v>0</v>
      </c>
      <c r="H236" s="487">
        <f t="shared" si="39"/>
        <v>467098.36155755719</v>
      </c>
      <c r="I236" s="490">
        <v>16224.893706293702</v>
      </c>
      <c r="J236" s="345">
        <f>'B) D RI'!U236</f>
        <v>13314.951048951047</v>
      </c>
      <c r="K236" s="62">
        <f t="shared" si="40"/>
        <v>28.788993629977856</v>
      </c>
      <c r="L236" s="33">
        <f>'B) D RI'!S236</f>
        <v>71.5</v>
      </c>
      <c r="M236" s="433">
        <f t="shared" si="48"/>
        <v>42.711006370022147</v>
      </c>
      <c r="N236" s="428">
        <f>+'J) Plafonnement effort'!H235+'J) Plafonnement effort'!I235-'K) Plafonnement aide'!I235</f>
        <v>15.259868008994147</v>
      </c>
      <c r="O236" s="144">
        <f t="shared" si="49"/>
        <v>57.970874379016294</v>
      </c>
      <c r="P236" s="47">
        <f t="shared" si="50"/>
        <v>0</v>
      </c>
      <c r="Q236" s="55">
        <f t="shared" si="53"/>
        <v>0</v>
      </c>
      <c r="R236" s="144">
        <f t="shared" si="51"/>
        <v>57.970874379016294</v>
      </c>
      <c r="S236" s="124">
        <f t="shared" si="52"/>
        <v>-13.529125620983706</v>
      </c>
      <c r="T236" s="143">
        <f t="shared" si="41"/>
        <v>0</v>
      </c>
      <c r="V236" s="12"/>
    </row>
    <row r="237" spans="1:22" x14ac:dyDescent="0.25">
      <c r="A237" s="49">
        <f>'A) Base RI'!A237</f>
        <v>5790</v>
      </c>
      <c r="B237" s="341" t="str">
        <f>'A) Base RI'!B237</f>
        <v>Maracon</v>
      </c>
      <c r="C237" s="489">
        <v>211694.3803648093</v>
      </c>
      <c r="D237" s="489">
        <v>-88674.620608195924</v>
      </c>
      <c r="E237" s="490">
        <v>0</v>
      </c>
      <c r="F237" s="490">
        <v>0</v>
      </c>
      <c r="G237" s="490">
        <v>0</v>
      </c>
      <c r="H237" s="487">
        <f t="shared" si="39"/>
        <v>123019.75975661338</v>
      </c>
      <c r="I237" s="490">
        <v>13398.084966442953</v>
      </c>
      <c r="J237" s="345">
        <f>'B) D RI'!U237</f>
        <v>15172.050604026846</v>
      </c>
      <c r="K237" s="62">
        <f t="shared" si="40"/>
        <v>9.181891297504869</v>
      </c>
      <c r="L237" s="33">
        <f>'B) D RI'!S237</f>
        <v>74.5</v>
      </c>
      <c r="M237" s="433">
        <f t="shared" si="48"/>
        <v>65.318108702495124</v>
      </c>
      <c r="N237" s="428">
        <f>+'J) Plafonnement effort'!H236+'J) Plafonnement effort'!I236-'K) Plafonnement aide'!I236</f>
        <v>2.705810389284617</v>
      </c>
      <c r="O237" s="144">
        <f t="shared" si="49"/>
        <v>68.023919091779746</v>
      </c>
      <c r="P237" s="47">
        <f t="shared" si="50"/>
        <v>0</v>
      </c>
      <c r="Q237" s="55">
        <f t="shared" si="53"/>
        <v>0</v>
      </c>
      <c r="R237" s="144">
        <f t="shared" si="51"/>
        <v>68.023919091779746</v>
      </c>
      <c r="S237" s="124">
        <f t="shared" si="52"/>
        <v>-6.4760809082202542</v>
      </c>
      <c r="T237" s="143">
        <f t="shared" si="41"/>
        <v>0</v>
      </c>
      <c r="V237" s="12"/>
    </row>
    <row r="238" spans="1:22" x14ac:dyDescent="0.25">
      <c r="A238" s="49">
        <f>'A) Base RI'!A238</f>
        <v>5792</v>
      </c>
      <c r="B238" s="341" t="str">
        <f>'A) Base RI'!B238</f>
        <v>Montpreveyres</v>
      </c>
      <c r="C238" s="489">
        <v>293880.10088959552</v>
      </c>
      <c r="D238" s="489">
        <v>-55962.628652593703</v>
      </c>
      <c r="E238" s="490">
        <v>0</v>
      </c>
      <c r="F238" s="490">
        <v>0</v>
      </c>
      <c r="G238" s="490">
        <v>0</v>
      </c>
      <c r="H238" s="487">
        <f t="shared" si="39"/>
        <v>237917.47223700181</v>
      </c>
      <c r="I238" s="490">
        <v>17609.230799999998</v>
      </c>
      <c r="J238" s="345">
        <f>'B) D RI'!U238</f>
        <v>20145.836291390729</v>
      </c>
      <c r="K238" s="62">
        <f t="shared" si="40"/>
        <v>13.510952008023079</v>
      </c>
      <c r="L238" s="33">
        <f>'B) D RI'!S238</f>
        <v>75.5</v>
      </c>
      <c r="M238" s="433">
        <f t="shared" si="48"/>
        <v>61.989047991976918</v>
      </c>
      <c r="N238" s="428">
        <f>+'J) Plafonnement effort'!H237+'J) Plafonnement effort'!I237-'K) Plafonnement aide'!I237</f>
        <v>6.0717724223909473</v>
      </c>
      <c r="O238" s="144">
        <f t="shared" si="49"/>
        <v>68.060820414367868</v>
      </c>
      <c r="P238" s="47">
        <f t="shared" si="50"/>
        <v>0</v>
      </c>
      <c r="Q238" s="55">
        <f t="shared" si="53"/>
        <v>0</v>
      </c>
      <c r="R238" s="144">
        <f t="shared" si="51"/>
        <v>68.060820414367868</v>
      </c>
      <c r="S238" s="124">
        <f t="shared" si="52"/>
        <v>-7.4391795856321323</v>
      </c>
      <c r="T238" s="143">
        <f t="shared" si="41"/>
        <v>0</v>
      </c>
      <c r="V238" s="12"/>
    </row>
    <row r="239" spans="1:22" x14ac:dyDescent="0.25">
      <c r="A239" s="49">
        <f>'A) Base RI'!A239</f>
        <v>5798</v>
      </c>
      <c r="B239" s="341" t="str">
        <f>'A) Base RI'!B239</f>
        <v>Ropraz</v>
      </c>
      <c r="C239" s="489">
        <v>253966.01819904763</v>
      </c>
      <c r="D239" s="489">
        <v>3459.9108877165127</v>
      </c>
      <c r="E239" s="490">
        <v>0</v>
      </c>
      <c r="F239" s="490">
        <v>0</v>
      </c>
      <c r="G239" s="490">
        <v>0</v>
      </c>
      <c r="H239" s="487">
        <f t="shared" si="39"/>
        <v>257425.92908676414</v>
      </c>
      <c r="I239" s="490">
        <v>15760.164903225806</v>
      </c>
      <c r="J239" s="345">
        <f>'B) D RI'!U239</f>
        <v>17444.805161290325</v>
      </c>
      <c r="K239" s="62">
        <f t="shared" si="40"/>
        <v>16.333961647449129</v>
      </c>
      <c r="L239" s="33">
        <f>'B) D RI'!S239</f>
        <v>77.5</v>
      </c>
      <c r="M239" s="433">
        <f t="shared" si="48"/>
        <v>61.166038352550871</v>
      </c>
      <c r="N239" s="428">
        <f>+'J) Plafonnement effort'!H238+'J) Plafonnement effort'!I238-'K) Plafonnement aide'!I238</f>
        <v>12.522802381812177</v>
      </c>
      <c r="O239" s="144">
        <f t="shared" si="49"/>
        <v>73.688840734363055</v>
      </c>
      <c r="P239" s="47">
        <f t="shared" si="50"/>
        <v>0</v>
      </c>
      <c r="Q239" s="55">
        <f t="shared" si="53"/>
        <v>0</v>
      </c>
      <c r="R239" s="144">
        <f t="shared" si="51"/>
        <v>73.688840734363055</v>
      </c>
      <c r="S239" s="124">
        <f t="shared" si="52"/>
        <v>-3.8111592656369453</v>
      </c>
      <c r="T239" s="143">
        <f t="shared" si="41"/>
        <v>0</v>
      </c>
      <c r="V239" s="12"/>
    </row>
    <row r="240" spans="1:22" x14ac:dyDescent="0.25">
      <c r="A240" s="49">
        <f>'A) Base RI'!A240</f>
        <v>5799</v>
      </c>
      <c r="B240" s="341" t="str">
        <f>'A) Base RI'!B240</f>
        <v>Servion</v>
      </c>
      <c r="C240" s="489">
        <v>1232637.2184629845</v>
      </c>
      <c r="D240" s="489">
        <v>247439.52333954559</v>
      </c>
      <c r="E240" s="490">
        <v>0</v>
      </c>
      <c r="F240" s="490">
        <v>0</v>
      </c>
      <c r="G240" s="490">
        <v>0</v>
      </c>
      <c r="H240" s="487">
        <f t="shared" si="39"/>
        <v>1480076.7418025301</v>
      </c>
      <c r="I240" s="490">
        <v>69387.22289855071</v>
      </c>
      <c r="J240" s="345">
        <f>'B) D RI'!U240</f>
        <v>71744.263478260895</v>
      </c>
      <c r="K240" s="62">
        <f t="shared" si="40"/>
        <v>21.330681355651208</v>
      </c>
      <c r="L240" s="33">
        <f>'B) D RI'!S240</f>
        <v>69</v>
      </c>
      <c r="M240" s="433">
        <f t="shared" si="48"/>
        <v>47.669318644348792</v>
      </c>
      <c r="N240" s="428">
        <f>+'J) Plafonnement effort'!H239+'J) Plafonnement effort'!I239-'K) Plafonnement aide'!I239</f>
        <v>11.009545853676144</v>
      </c>
      <c r="O240" s="144">
        <f t="shared" si="49"/>
        <v>58.678864498024936</v>
      </c>
      <c r="P240" s="47">
        <f t="shared" si="50"/>
        <v>0</v>
      </c>
      <c r="Q240" s="55">
        <f t="shared" si="53"/>
        <v>0</v>
      </c>
      <c r="R240" s="144">
        <f t="shared" si="51"/>
        <v>58.678864498024936</v>
      </c>
      <c r="S240" s="124">
        <f t="shared" si="52"/>
        <v>-10.321135501975064</v>
      </c>
      <c r="T240" s="143">
        <f t="shared" si="41"/>
        <v>0</v>
      </c>
      <c r="V240" s="12"/>
    </row>
    <row r="241" spans="1:22" x14ac:dyDescent="0.25">
      <c r="A241" s="49">
        <f>'A) Base RI'!A241</f>
        <v>5803</v>
      </c>
      <c r="B241" s="341" t="str">
        <f>'A) Base RI'!B241</f>
        <v>Vulliens</v>
      </c>
      <c r="C241" s="489">
        <v>287244.66154286067</v>
      </c>
      <c r="D241" s="489">
        <v>25246.016978116124</v>
      </c>
      <c r="E241" s="490">
        <v>0</v>
      </c>
      <c r="F241" s="490">
        <v>0</v>
      </c>
      <c r="G241" s="490">
        <v>0</v>
      </c>
      <c r="H241" s="487">
        <f t="shared" si="39"/>
        <v>312490.6785209768</v>
      </c>
      <c r="I241" s="490">
        <v>18875.933421052636</v>
      </c>
      <c r="J241" s="345">
        <f>'B) D RI'!U241</f>
        <v>17996.188026315795</v>
      </c>
      <c r="K241" s="62">
        <f t="shared" si="40"/>
        <v>16.554978847957308</v>
      </c>
      <c r="L241" s="33">
        <f>'B) D RI'!S241</f>
        <v>76</v>
      </c>
      <c r="M241" s="433">
        <f t="shared" si="48"/>
        <v>59.445021152042692</v>
      </c>
      <c r="N241" s="428">
        <f>+'J) Plafonnement effort'!H240+'J) Plafonnement effort'!I240-'K) Plafonnement aide'!I240</f>
        <v>7.1434110208876209</v>
      </c>
      <c r="O241" s="144">
        <f t="shared" si="49"/>
        <v>66.588432172930311</v>
      </c>
      <c r="P241" s="47">
        <f t="shared" si="50"/>
        <v>0</v>
      </c>
      <c r="Q241" s="55">
        <f t="shared" si="53"/>
        <v>0</v>
      </c>
      <c r="R241" s="144">
        <f t="shared" si="51"/>
        <v>66.588432172930311</v>
      </c>
      <c r="S241" s="124">
        <f t="shared" si="52"/>
        <v>-9.411567827069689</v>
      </c>
      <c r="T241" s="143">
        <f t="shared" si="41"/>
        <v>0</v>
      </c>
      <c r="V241" s="12"/>
    </row>
    <row r="242" spans="1:22" x14ac:dyDescent="0.25">
      <c r="A242" s="49">
        <f>'A) Base RI'!A242</f>
        <v>5804</v>
      </c>
      <c r="B242" s="341" t="str">
        <f>'A) Base RI'!B242</f>
        <v>Jorat-Menthue</v>
      </c>
      <c r="C242" s="489">
        <v>829441.00267313956</v>
      </c>
      <c r="D242" s="489">
        <v>-45860.88891343656</v>
      </c>
      <c r="E242" s="490">
        <v>0</v>
      </c>
      <c r="F242" s="490">
        <v>0</v>
      </c>
      <c r="G242" s="490">
        <v>0</v>
      </c>
      <c r="H242" s="487">
        <f t="shared" si="39"/>
        <v>783580.113759703</v>
      </c>
      <c r="I242" s="490">
        <v>46692.865106382982</v>
      </c>
      <c r="J242" s="345">
        <f>'B) D RI'!U242</f>
        <v>46854.424539007086</v>
      </c>
      <c r="K242" s="62">
        <f t="shared" si="40"/>
        <v>16.781581339556446</v>
      </c>
      <c r="L242" s="33">
        <f>'B) D RI'!S242</f>
        <v>70.5</v>
      </c>
      <c r="M242" s="433">
        <f>L242-K242</f>
        <v>53.718418660443554</v>
      </c>
      <c r="N242" s="428">
        <f>+'J) Plafonnement effort'!H241+'J) Plafonnement effort'!I241-'K) Plafonnement aide'!I241</f>
        <v>-0.66014556374795474</v>
      </c>
      <c r="O242" s="144">
        <f>M242+N242</f>
        <v>53.058273096695601</v>
      </c>
      <c r="P242" s="47">
        <f t="shared" si="50"/>
        <v>0</v>
      </c>
      <c r="Q242" s="55">
        <f>P242*J242</f>
        <v>0</v>
      </c>
      <c r="R242" s="144">
        <f>O242+P242</f>
        <v>53.058273096695601</v>
      </c>
      <c r="S242" s="124">
        <f>R242-L242</f>
        <v>-17.441726903304399</v>
      </c>
      <c r="T242" s="143">
        <f t="shared" si="41"/>
        <v>0</v>
      </c>
      <c r="V242" s="12"/>
    </row>
    <row r="243" spans="1:22" x14ac:dyDescent="0.25">
      <c r="A243" s="49">
        <f>'A) Base RI'!A243</f>
        <v>5805</v>
      </c>
      <c r="B243" s="341" t="str">
        <f>'A) Base RI'!B243</f>
        <v>Oron</v>
      </c>
      <c r="C243" s="489">
        <v>2447206.4735922152</v>
      </c>
      <c r="D243" s="489">
        <v>-1494727.0182530978</v>
      </c>
      <c r="E243" s="490">
        <v>0</v>
      </c>
      <c r="F243" s="490">
        <v>0</v>
      </c>
      <c r="G243" s="490">
        <v>0</v>
      </c>
      <c r="H243" s="487">
        <f t="shared" si="39"/>
        <v>952479.45533911744</v>
      </c>
      <c r="I243" s="490">
        <v>154727.47061923583</v>
      </c>
      <c r="J243" s="345">
        <f>'B) D RI'!U243</f>
        <v>162115.58504611329</v>
      </c>
      <c r="K243" s="62">
        <f t="shared" si="40"/>
        <v>6.1558522964745253</v>
      </c>
      <c r="L243" s="33">
        <f>'B) D RI'!S243</f>
        <v>69</v>
      </c>
      <c r="M243" s="433">
        <f>L243-K243</f>
        <v>62.844147703525472</v>
      </c>
      <c r="N243" s="428">
        <f>+'J) Plafonnement effort'!H242+'J) Plafonnement effort'!I242-'K) Plafonnement aide'!I242</f>
        <v>-2.1087261203280834</v>
      </c>
      <c r="O243" s="144">
        <f>M243+N243</f>
        <v>60.735421583197386</v>
      </c>
      <c r="P243" s="47">
        <f t="shared" si="50"/>
        <v>0</v>
      </c>
      <c r="Q243" s="55">
        <f>P243*J243</f>
        <v>0</v>
      </c>
      <c r="R243" s="144">
        <f>O243+P243</f>
        <v>60.735421583197386</v>
      </c>
      <c r="S243" s="124">
        <f>R243-L243</f>
        <v>-8.264578416802614</v>
      </c>
      <c r="T243" s="143">
        <f t="shared" si="41"/>
        <v>0</v>
      </c>
      <c r="V243" s="12"/>
    </row>
    <row r="244" spans="1:22" x14ac:dyDescent="0.25">
      <c r="A244" s="49">
        <f>'A) Base RI'!A244</f>
        <v>5806</v>
      </c>
      <c r="B244" s="341" t="str">
        <f>'A) Base RI'!B244</f>
        <v>Jorat-Mézières</v>
      </c>
      <c r="C244" s="489">
        <v>1503112.2555705293</v>
      </c>
      <c r="D244" s="489">
        <v>-168775.92901445087</v>
      </c>
      <c r="E244" s="490">
        <v>0</v>
      </c>
      <c r="F244" s="490">
        <v>0</v>
      </c>
      <c r="G244" s="490">
        <v>0</v>
      </c>
      <c r="H244" s="487">
        <f t="shared" si="39"/>
        <v>1334336.3265560784</v>
      </c>
      <c r="I244" s="490">
        <v>91070.268493150696</v>
      </c>
      <c r="J244" s="345">
        <f>'B) D RI'!U244</f>
        <v>102077.74465753423</v>
      </c>
      <c r="K244" s="62">
        <f t="shared" si="40"/>
        <v>14.65172277005456</v>
      </c>
      <c r="L244" s="33">
        <f>'B) D RI'!S244</f>
        <v>73</v>
      </c>
      <c r="M244" s="433">
        <f>L244-K244</f>
        <v>58.348277229945438</v>
      </c>
      <c r="N244" s="428">
        <f>+'J) Plafonnement effort'!H243+'J) Plafonnement effort'!I243-'K) Plafonnement aide'!I243</f>
        <v>8.3628410681569427</v>
      </c>
      <c r="O244" s="144">
        <f>M244+N244</f>
        <v>66.711118298102377</v>
      </c>
      <c r="P244" s="47">
        <f t="shared" ref="P244" si="54">IF(O244&gt;$P$6,$P$6-O244,0)</f>
        <v>0</v>
      </c>
      <c r="Q244" s="55">
        <f>P244*J244</f>
        <v>0</v>
      </c>
      <c r="R244" s="144">
        <f>O244+P244</f>
        <v>66.711118298102377</v>
      </c>
      <c r="S244" s="124">
        <f>R244-L244</f>
        <v>-6.2888817018976226</v>
      </c>
      <c r="T244" s="143">
        <f t="shared" si="41"/>
        <v>0</v>
      </c>
      <c r="V244" s="12"/>
    </row>
    <row r="245" spans="1:22" x14ac:dyDescent="0.25">
      <c r="A245" s="49">
        <f>'A) Base RI'!A245</f>
        <v>5812</v>
      </c>
      <c r="B245" s="341" t="str">
        <f>'A) Base RI'!B245</f>
        <v>Champtauroz</v>
      </c>
      <c r="C245" s="489">
        <v>47185.654277212496</v>
      </c>
      <c r="D245" s="489">
        <v>-75340.654670685573</v>
      </c>
      <c r="E245" s="490">
        <v>8129.9385752912667</v>
      </c>
      <c r="F245" s="490">
        <v>0</v>
      </c>
      <c r="G245" s="490">
        <v>0</v>
      </c>
      <c r="H245" s="487">
        <f t="shared" si="39"/>
        <v>-20025.06181818181</v>
      </c>
      <c r="I245" s="490">
        <v>2503.1327272727272</v>
      </c>
      <c r="J245" s="345">
        <f>'B) D RI'!U245</f>
        <v>3349.1505194805191</v>
      </c>
      <c r="K245" s="62">
        <f t="shared" si="40"/>
        <v>-7.9999999999999973</v>
      </c>
      <c r="L245" s="33">
        <f>'B) D RI'!S245</f>
        <v>77</v>
      </c>
      <c r="M245" s="433">
        <f>L245-K245</f>
        <v>85</v>
      </c>
      <c r="N245" s="428">
        <f>+'J) Plafonnement effort'!H244+'J) Plafonnement effort'!I244-'K) Plafonnement aide'!I244</f>
        <v>-15.655234158084331</v>
      </c>
      <c r="O245" s="144">
        <f>M245+N245</f>
        <v>69.344765841915674</v>
      </c>
      <c r="P245" s="47">
        <f t="shared" si="50"/>
        <v>0</v>
      </c>
      <c r="Q245" s="55">
        <f>P245*J245</f>
        <v>0</v>
      </c>
      <c r="R245" s="144">
        <f>O245+P245</f>
        <v>69.344765841915674</v>
      </c>
      <c r="S245" s="124">
        <f>R245-L245</f>
        <v>-7.6552341580843262</v>
      </c>
      <c r="T245" s="143">
        <f t="shared" si="41"/>
        <v>0</v>
      </c>
      <c r="V245" s="12"/>
    </row>
    <row r="246" spans="1:22" x14ac:dyDescent="0.25">
      <c r="A246" s="49">
        <f>'A) Base RI'!A246</f>
        <v>5813</v>
      </c>
      <c r="B246" s="341" t="str">
        <f>'A) Base RI'!B246</f>
        <v>Chevroux</v>
      </c>
      <c r="C246" s="489">
        <v>231682.40520457953</v>
      </c>
      <c r="D246" s="489">
        <v>66423.592611204949</v>
      </c>
      <c r="E246" s="490">
        <v>0</v>
      </c>
      <c r="F246" s="490">
        <v>0</v>
      </c>
      <c r="G246" s="490">
        <v>0</v>
      </c>
      <c r="H246" s="487">
        <f t="shared" si="39"/>
        <v>298105.99781578447</v>
      </c>
      <c r="I246" s="490">
        <v>15179.777080291971</v>
      </c>
      <c r="J246" s="345">
        <f>'B) D RI'!U246</f>
        <v>15276.905328467155</v>
      </c>
      <c r="K246" s="62">
        <f t="shared" si="40"/>
        <v>19.638364663656223</v>
      </c>
      <c r="L246" s="33">
        <f>'B) D RI'!S246</f>
        <v>68.5</v>
      </c>
      <c r="M246" s="433">
        <f t="shared" si="48"/>
        <v>48.861635336343781</v>
      </c>
      <c r="N246" s="428">
        <f>+'J) Plafonnement effort'!H245+'J) Plafonnement effort'!I245-'K) Plafonnement aide'!I245</f>
        <v>-7.1222335556335228</v>
      </c>
      <c r="O246" s="144">
        <f t="shared" si="49"/>
        <v>41.73940178071026</v>
      </c>
      <c r="P246" s="47">
        <f t="shared" si="50"/>
        <v>0</v>
      </c>
      <c r="Q246" s="55">
        <f t="shared" si="53"/>
        <v>0</v>
      </c>
      <c r="R246" s="144">
        <f t="shared" si="51"/>
        <v>41.73940178071026</v>
      </c>
      <c r="S246" s="124">
        <f t="shared" si="52"/>
        <v>-26.76059821928974</v>
      </c>
      <c r="T246" s="143">
        <f t="shared" si="41"/>
        <v>0</v>
      </c>
      <c r="V246" s="12"/>
    </row>
    <row r="247" spans="1:22" x14ac:dyDescent="0.25">
      <c r="A247" s="49">
        <f>'A) Base RI'!A247</f>
        <v>5816</v>
      </c>
      <c r="B247" s="341" t="str">
        <f>'A) Base RI'!B247</f>
        <v>Corcelles-près-Payerne</v>
      </c>
      <c r="C247" s="489">
        <v>995671.15567738365</v>
      </c>
      <c r="D247" s="489">
        <v>-839304.59864187031</v>
      </c>
      <c r="E247" s="490">
        <v>0</v>
      </c>
      <c r="F247" s="490">
        <v>0</v>
      </c>
      <c r="G247" s="490">
        <v>0</v>
      </c>
      <c r="H247" s="487">
        <f t="shared" si="39"/>
        <v>156366.55703551334</v>
      </c>
      <c r="I247" s="490">
        <v>60528.996913451512</v>
      </c>
      <c r="J247" s="345">
        <f>'B) D RI'!U247</f>
        <v>65651.255161626686</v>
      </c>
      <c r="K247" s="62">
        <f t="shared" si="40"/>
        <v>2.5833330305984901</v>
      </c>
      <c r="L247" s="33">
        <f>'B) D RI'!S247</f>
        <v>68.5</v>
      </c>
      <c r="M247" s="433">
        <f t="shared" si="48"/>
        <v>65.916666969401504</v>
      </c>
      <c r="N247" s="428">
        <f>+'J) Plafonnement effort'!H246+'J) Plafonnement effort'!I246-'K) Plafonnement aide'!I246</f>
        <v>-4.8122406457417792</v>
      </c>
      <c r="O247" s="144">
        <f t="shared" si="49"/>
        <v>61.104426323659723</v>
      </c>
      <c r="P247" s="47">
        <f t="shared" si="50"/>
        <v>0</v>
      </c>
      <c r="Q247" s="55">
        <f t="shared" si="53"/>
        <v>0</v>
      </c>
      <c r="R247" s="144">
        <f t="shared" si="51"/>
        <v>61.104426323659723</v>
      </c>
      <c r="S247" s="124">
        <f t="shared" si="52"/>
        <v>-7.3955736763402768</v>
      </c>
      <c r="T247" s="143">
        <f t="shared" si="41"/>
        <v>0</v>
      </c>
      <c r="V247" s="12"/>
    </row>
    <row r="248" spans="1:22" x14ac:dyDescent="0.25">
      <c r="A248" s="49">
        <f>'A) Base RI'!A248</f>
        <v>5817</v>
      </c>
      <c r="B248" s="341" t="str">
        <f>'A) Base RI'!B248</f>
        <v>Grandcour</v>
      </c>
      <c r="C248" s="489">
        <v>322562.03437477408</v>
      </c>
      <c r="D248" s="489">
        <v>-236968.61959875067</v>
      </c>
      <c r="E248" s="490">
        <v>0</v>
      </c>
      <c r="F248" s="490">
        <v>0</v>
      </c>
      <c r="G248" s="490">
        <v>0</v>
      </c>
      <c r="H248" s="487">
        <f t="shared" si="39"/>
        <v>85593.414776023419</v>
      </c>
      <c r="I248" s="490">
        <v>21854.748299319726</v>
      </c>
      <c r="J248" s="345">
        <f>'B) D RI'!U248</f>
        <v>24623.103809523807</v>
      </c>
      <c r="K248" s="62">
        <f t="shared" si="40"/>
        <v>3.9164676528755855</v>
      </c>
      <c r="L248" s="33">
        <f>'B) D RI'!S248</f>
        <v>73.5</v>
      </c>
      <c r="M248" s="433">
        <f t="shared" si="48"/>
        <v>69.583532347124418</v>
      </c>
      <c r="N248" s="428">
        <f>+'J) Plafonnement effort'!H247+'J) Plafonnement effort'!I247-'K) Plafonnement aide'!I247</f>
        <v>-0.84365253231944604</v>
      </c>
      <c r="O248" s="144">
        <f t="shared" si="49"/>
        <v>68.739879814804965</v>
      </c>
      <c r="P248" s="47">
        <f t="shared" si="50"/>
        <v>0</v>
      </c>
      <c r="Q248" s="55">
        <f t="shared" si="53"/>
        <v>0</v>
      </c>
      <c r="R248" s="144">
        <f t="shared" si="51"/>
        <v>68.739879814804965</v>
      </c>
      <c r="S248" s="124">
        <f t="shared" si="52"/>
        <v>-4.760120185195035</v>
      </c>
      <c r="T248" s="143">
        <f t="shared" si="41"/>
        <v>0</v>
      </c>
      <c r="V248" s="12"/>
    </row>
    <row r="249" spans="1:22" x14ac:dyDescent="0.25">
      <c r="A249" s="49">
        <f>'A) Base RI'!A249</f>
        <v>5819</v>
      </c>
      <c r="B249" s="341" t="str">
        <f>'A) Base RI'!B249</f>
        <v>Henniez</v>
      </c>
      <c r="C249" s="489">
        <v>175796.40523749735</v>
      </c>
      <c r="D249" s="489">
        <v>25374.796763721504</v>
      </c>
      <c r="E249" s="490">
        <v>0</v>
      </c>
      <c r="F249" s="490">
        <v>0</v>
      </c>
      <c r="G249" s="490">
        <v>0</v>
      </c>
      <c r="H249" s="487">
        <f t="shared" si="39"/>
        <v>201171.20200121886</v>
      </c>
      <c r="I249" s="490">
        <v>11468.217826086959</v>
      </c>
      <c r="J249" s="345">
        <f>'B) D RI'!U249</f>
        <v>10062.980434782607</v>
      </c>
      <c r="K249" s="62">
        <f t="shared" si="40"/>
        <v>17.541627221590712</v>
      </c>
      <c r="L249" s="33">
        <f>'B) D RI'!S249</f>
        <v>69</v>
      </c>
      <c r="M249" s="433">
        <f t="shared" si="48"/>
        <v>51.458372778409284</v>
      </c>
      <c r="N249" s="428">
        <f>+'J) Plafonnement effort'!H248+'J) Plafonnement effort'!I248-'K) Plafonnement aide'!I248</f>
        <v>-5.5893118593939271</v>
      </c>
      <c r="O249" s="144">
        <f t="shared" si="49"/>
        <v>45.869060919015354</v>
      </c>
      <c r="P249" s="47">
        <f t="shared" si="50"/>
        <v>0</v>
      </c>
      <c r="Q249" s="55">
        <f t="shared" si="53"/>
        <v>0</v>
      </c>
      <c r="R249" s="144">
        <f t="shared" si="51"/>
        <v>45.869060919015354</v>
      </c>
      <c r="S249" s="124">
        <f t="shared" si="52"/>
        <v>-23.130939080984646</v>
      </c>
      <c r="T249" s="143">
        <f t="shared" si="41"/>
        <v>0</v>
      </c>
      <c r="V249" s="12"/>
    </row>
    <row r="250" spans="1:22" x14ac:dyDescent="0.25">
      <c r="A250" s="49">
        <f>'A) Base RI'!A250</f>
        <v>5821</v>
      </c>
      <c r="B250" s="341" t="str">
        <f>'A) Base RI'!B250</f>
        <v>Missy</v>
      </c>
      <c r="C250" s="489">
        <v>122383.47562730033</v>
      </c>
      <c r="D250" s="489">
        <v>-99695.668850734975</v>
      </c>
      <c r="E250" s="490">
        <v>0</v>
      </c>
      <c r="F250" s="490">
        <v>0</v>
      </c>
      <c r="G250" s="490">
        <v>0</v>
      </c>
      <c r="H250" s="487">
        <f t="shared" si="39"/>
        <v>22687.806776565354</v>
      </c>
      <c r="I250" s="490">
        <v>7872.7337500000012</v>
      </c>
      <c r="J250" s="345">
        <f>'B) D RI'!U250</f>
        <v>8044.6855555555558</v>
      </c>
      <c r="K250" s="62">
        <f t="shared" si="40"/>
        <v>2.8818206606523877</v>
      </c>
      <c r="L250" s="33">
        <f>'B) D RI'!S250</f>
        <v>72</v>
      </c>
      <c r="M250" s="433">
        <f t="shared" si="48"/>
        <v>69.118179339347606</v>
      </c>
      <c r="N250" s="428">
        <f>+'J) Plafonnement effort'!H249+'J) Plafonnement effort'!I249-'K) Plafonnement aide'!I249</f>
        <v>-3.0618765705650746</v>
      </c>
      <c r="O250" s="144">
        <f t="shared" si="49"/>
        <v>66.05630276878253</v>
      </c>
      <c r="P250" s="47">
        <f t="shared" si="50"/>
        <v>0</v>
      </c>
      <c r="Q250" s="55">
        <f t="shared" si="53"/>
        <v>0</v>
      </c>
      <c r="R250" s="144">
        <f t="shared" si="51"/>
        <v>66.05630276878253</v>
      </c>
      <c r="S250" s="124">
        <f t="shared" si="52"/>
        <v>-5.9436972312174703</v>
      </c>
      <c r="T250" s="143">
        <f t="shared" si="41"/>
        <v>0</v>
      </c>
      <c r="V250" s="12"/>
    </row>
    <row r="251" spans="1:22" x14ac:dyDescent="0.25">
      <c r="A251" s="49">
        <f>'A) Base RI'!A251</f>
        <v>5822</v>
      </c>
      <c r="B251" s="341" t="str">
        <f>'A) Base RI'!B251</f>
        <v>Payerne</v>
      </c>
      <c r="C251" s="489">
        <v>4039833.6857324503</v>
      </c>
      <c r="D251" s="489">
        <v>-5891631.753376645</v>
      </c>
      <c r="E251" s="490">
        <v>0</v>
      </c>
      <c r="F251" s="490">
        <v>0</v>
      </c>
      <c r="G251" s="490">
        <v>0</v>
      </c>
      <c r="H251" s="487">
        <f t="shared" si="39"/>
        <v>-1851798.0676441947</v>
      </c>
      <c r="I251" s="490">
        <v>237851.57178082189</v>
      </c>
      <c r="J251" s="345">
        <f>'B) D RI'!U251</f>
        <v>239984.44424657538</v>
      </c>
      <c r="K251" s="62">
        <f t="shared" si="40"/>
        <v>-7.7855195733186502</v>
      </c>
      <c r="L251" s="33">
        <f>'B) D RI'!S251</f>
        <v>73</v>
      </c>
      <c r="M251" s="433">
        <f t="shared" si="48"/>
        <v>80.785519573318652</v>
      </c>
      <c r="N251" s="428">
        <f>+'J) Plafonnement effort'!H250+'J) Plafonnement effort'!I250-'K) Plafonnement aide'!I250</f>
        <v>-19.504377869941653</v>
      </c>
      <c r="O251" s="144">
        <f t="shared" si="49"/>
        <v>61.281141703377003</v>
      </c>
      <c r="P251" s="47">
        <f t="shared" si="50"/>
        <v>0</v>
      </c>
      <c r="Q251" s="55">
        <f t="shared" si="53"/>
        <v>0</v>
      </c>
      <c r="R251" s="144">
        <f t="shared" si="51"/>
        <v>61.281141703377003</v>
      </c>
      <c r="S251" s="124">
        <f t="shared" si="52"/>
        <v>-11.718858296622997</v>
      </c>
      <c r="T251" s="143">
        <f t="shared" si="41"/>
        <v>0</v>
      </c>
      <c r="V251" s="12"/>
    </row>
    <row r="252" spans="1:22" x14ac:dyDescent="0.25">
      <c r="A252" s="49">
        <f>'A) Base RI'!A252</f>
        <v>5827</v>
      </c>
      <c r="B252" s="341" t="str">
        <f>'A) Base RI'!B252</f>
        <v>Trey</v>
      </c>
      <c r="C252" s="489">
        <v>96237.46228543538</v>
      </c>
      <c r="D252" s="489">
        <v>-123961.74054953152</v>
      </c>
      <c r="E252" s="490">
        <v>0</v>
      </c>
      <c r="F252" s="490">
        <v>0</v>
      </c>
      <c r="G252" s="490">
        <v>0</v>
      </c>
      <c r="H252" s="487">
        <f t="shared" si="39"/>
        <v>-27724.278264096138</v>
      </c>
      <c r="I252" s="490">
        <v>6163.6291025641031</v>
      </c>
      <c r="J252" s="345">
        <f>'B) D RI'!U252</f>
        <v>7747.4438461538457</v>
      </c>
      <c r="K252" s="62">
        <f t="shared" si="40"/>
        <v>-4.4980445453089786</v>
      </c>
      <c r="L252" s="33">
        <f>'B) D RI'!S252</f>
        <v>78</v>
      </c>
      <c r="M252" s="433">
        <f t="shared" si="48"/>
        <v>82.498044545308971</v>
      </c>
      <c r="N252" s="428">
        <f>+'J) Plafonnement effort'!H251+'J) Plafonnement effort'!I251-'K) Plafonnement aide'!I251</f>
        <v>-3.1336532348492137</v>
      </c>
      <c r="O252" s="144">
        <f t="shared" si="49"/>
        <v>79.364391310459752</v>
      </c>
      <c r="P252" s="47">
        <f t="shared" si="50"/>
        <v>0</v>
      </c>
      <c r="Q252" s="55">
        <f t="shared" si="53"/>
        <v>0</v>
      </c>
      <c r="R252" s="144">
        <f t="shared" si="51"/>
        <v>79.364391310459752</v>
      </c>
      <c r="S252" s="124">
        <f t="shared" si="52"/>
        <v>1.3643913104597516</v>
      </c>
      <c r="T252" s="143">
        <f t="shared" si="41"/>
        <v>0</v>
      </c>
      <c r="V252" s="12"/>
    </row>
    <row r="253" spans="1:22" x14ac:dyDescent="0.25">
      <c r="A253" s="49">
        <f>'A) Base RI'!A253</f>
        <v>5828</v>
      </c>
      <c r="B253" s="341" t="str">
        <f>'A) Base RI'!B253</f>
        <v>Treytorrens (Payerne)</v>
      </c>
      <c r="C253" s="489">
        <v>33941.833282358886</v>
      </c>
      <c r="D253" s="489">
        <v>-60950.605065700038</v>
      </c>
      <c r="E253" s="490">
        <v>8701.4435293728966</v>
      </c>
      <c r="F253" s="490">
        <v>0</v>
      </c>
      <c r="G253" s="490">
        <v>0</v>
      </c>
      <c r="H253" s="487">
        <f t="shared" si="39"/>
        <v>-18307.328253968255</v>
      </c>
      <c r="I253" s="490">
        <v>2288.4160317460314</v>
      </c>
      <c r="J253" s="345">
        <f>'B) D RI'!U253</f>
        <v>2899.2203232323236</v>
      </c>
      <c r="K253" s="62">
        <f t="shared" si="40"/>
        <v>-8.0000000000000018</v>
      </c>
      <c r="L253" s="33">
        <f>'B) D RI'!S253</f>
        <v>82.5</v>
      </c>
      <c r="M253" s="433">
        <f t="shared" si="48"/>
        <v>90.5</v>
      </c>
      <c r="N253" s="428">
        <f>+'J) Plafonnement effort'!H252+'J) Plafonnement effort'!I252-'K) Plafonnement aide'!I252</f>
        <v>-4.389961493443562</v>
      </c>
      <c r="O253" s="144">
        <f t="shared" si="49"/>
        <v>86.110038506556435</v>
      </c>
      <c r="P253" s="47">
        <f t="shared" si="50"/>
        <v>0</v>
      </c>
      <c r="Q253" s="55">
        <f t="shared" si="53"/>
        <v>0</v>
      </c>
      <c r="R253" s="144">
        <f t="shared" si="51"/>
        <v>86.110038506556435</v>
      </c>
      <c r="S253" s="124">
        <f t="shared" si="52"/>
        <v>3.6100385065564353</v>
      </c>
      <c r="T253" s="143">
        <f t="shared" si="41"/>
        <v>0</v>
      </c>
      <c r="V253" s="12"/>
    </row>
    <row r="254" spans="1:22" x14ac:dyDescent="0.25">
      <c r="A254" s="49">
        <f>'A) Base RI'!A254</f>
        <v>5830</v>
      </c>
      <c r="B254" s="341" t="str">
        <f>'A) Base RI'!B254</f>
        <v>Villarzel</v>
      </c>
      <c r="C254" s="489">
        <v>209373.11867228078</v>
      </c>
      <c r="D254" s="489">
        <v>-70059.346102070354</v>
      </c>
      <c r="E254" s="490">
        <v>0</v>
      </c>
      <c r="F254" s="490">
        <v>0</v>
      </c>
      <c r="G254" s="490">
        <v>0</v>
      </c>
      <c r="H254" s="487">
        <f t="shared" si="39"/>
        <v>139313.77257021042</v>
      </c>
      <c r="I254" s="490">
        <v>12470.916233766235</v>
      </c>
      <c r="J254" s="345">
        <f>'B) D RI'!U254</f>
        <v>12409.986933333334</v>
      </c>
      <c r="K254" s="62">
        <f t="shared" si="40"/>
        <v>11.171093603612272</v>
      </c>
      <c r="L254" s="33">
        <f>'B) D RI'!S254</f>
        <v>75</v>
      </c>
      <c r="M254" s="433">
        <f t="shared" si="48"/>
        <v>63.82890639638773</v>
      </c>
      <c r="N254" s="428">
        <f>+'J) Plafonnement effort'!H253+'J) Plafonnement effort'!I253-'K) Plafonnement aide'!I253</f>
        <v>-6.0604431949990927</v>
      </c>
      <c r="O254" s="144">
        <f t="shared" si="49"/>
        <v>57.768463201388634</v>
      </c>
      <c r="P254" s="47">
        <f t="shared" si="50"/>
        <v>0</v>
      </c>
      <c r="Q254" s="55">
        <f t="shared" si="53"/>
        <v>0</v>
      </c>
      <c r="R254" s="144">
        <f t="shared" si="51"/>
        <v>57.768463201388634</v>
      </c>
      <c r="S254" s="124">
        <f t="shared" si="52"/>
        <v>-17.231536798611366</v>
      </c>
      <c r="T254" s="143">
        <f t="shared" si="41"/>
        <v>0</v>
      </c>
      <c r="V254" s="12"/>
    </row>
    <row r="255" spans="1:22" x14ac:dyDescent="0.25">
      <c r="A255" s="49">
        <f>'A) Base RI'!A255</f>
        <v>5831</v>
      </c>
      <c r="B255" s="341" t="str">
        <f>'A) Base RI'!B255</f>
        <v>Valbroye</v>
      </c>
      <c r="C255" s="489">
        <v>1384825.2514905576</v>
      </c>
      <c r="D255" s="489">
        <v>-967956.70988604636</v>
      </c>
      <c r="E255" s="490">
        <v>0</v>
      </c>
      <c r="F255" s="490">
        <v>0</v>
      </c>
      <c r="G255" s="490">
        <v>0</v>
      </c>
      <c r="H255" s="487">
        <f t="shared" si="39"/>
        <v>416868.54160451121</v>
      </c>
      <c r="I255" s="490">
        <v>83756.732765957451</v>
      </c>
      <c r="J255" s="345">
        <f>'B) D RI'!U255</f>
        <v>81068.822458628842</v>
      </c>
      <c r="K255" s="62">
        <f t="shared" si="40"/>
        <v>4.9771347071210679</v>
      </c>
      <c r="L255" s="33">
        <f>'B) D RI'!S255</f>
        <v>70.5</v>
      </c>
      <c r="M255" s="433">
        <f>L255-K255</f>
        <v>65.522865292878933</v>
      </c>
      <c r="N255" s="428">
        <f>+'J) Plafonnement effort'!H254+'J) Plafonnement effort'!I254-'K) Plafonnement aide'!I254</f>
        <v>-13.272231613597452</v>
      </c>
      <c r="O255" s="144">
        <f>M255+N255</f>
        <v>52.250633679281478</v>
      </c>
      <c r="P255" s="47">
        <f t="shared" si="50"/>
        <v>0</v>
      </c>
      <c r="Q255" s="55">
        <f>P255*J255</f>
        <v>0</v>
      </c>
      <c r="R255" s="144">
        <f>O255+P255</f>
        <v>52.250633679281478</v>
      </c>
      <c r="S255" s="124">
        <f>R255-L255</f>
        <v>-18.249366320718522</v>
      </c>
      <c r="T255" s="143">
        <f t="shared" si="41"/>
        <v>0</v>
      </c>
      <c r="V255" s="12"/>
    </row>
    <row r="256" spans="1:22" x14ac:dyDescent="0.25">
      <c r="A256" s="49">
        <f>'A) Base RI'!A256</f>
        <v>5841</v>
      </c>
      <c r="B256" s="341" t="str">
        <f>'A) Base RI'!B256</f>
        <v>Château-d'Oex</v>
      </c>
      <c r="C256" s="489">
        <v>2283785.9368071803</v>
      </c>
      <c r="D256" s="489">
        <v>-570527.0513930351</v>
      </c>
      <c r="E256" s="490">
        <v>0</v>
      </c>
      <c r="F256" s="490">
        <v>0</v>
      </c>
      <c r="G256" s="490">
        <v>0</v>
      </c>
      <c r="H256" s="487">
        <f t="shared" si="39"/>
        <v>1713258.8854141452</v>
      </c>
      <c r="I256" s="490">
        <v>108658.39067484663</v>
      </c>
      <c r="J256" s="345">
        <f>'B) D RI'!U256</f>
        <v>110857.63779141105</v>
      </c>
      <c r="K256" s="62">
        <f t="shared" si="40"/>
        <v>15.767386897353967</v>
      </c>
      <c r="L256" s="33">
        <f>'B) D RI'!S256</f>
        <v>81.5</v>
      </c>
      <c r="M256" s="433">
        <f>L256-K256</f>
        <v>65.732613102646027</v>
      </c>
      <c r="N256" s="428">
        <f>+'J) Plafonnement effort'!H255+'J) Plafonnement effort'!I255-'K) Plafonnement aide'!I255</f>
        <v>-15.299690027103285</v>
      </c>
      <c r="O256" s="144">
        <f>M256+N256</f>
        <v>50.432923075542746</v>
      </c>
      <c r="P256" s="47">
        <f t="shared" si="50"/>
        <v>0</v>
      </c>
      <c r="Q256" s="55">
        <f>P256*J256</f>
        <v>0</v>
      </c>
      <c r="R256" s="144">
        <f>O256+P256</f>
        <v>50.432923075542746</v>
      </c>
      <c r="S256" s="124">
        <f>R256-L256</f>
        <v>-31.067076924457254</v>
      </c>
      <c r="T256" s="143">
        <f t="shared" si="41"/>
        <v>0</v>
      </c>
      <c r="V256" s="12"/>
    </row>
    <row r="257" spans="1:22" x14ac:dyDescent="0.25">
      <c r="A257" s="49">
        <f>'A) Base RI'!A257</f>
        <v>5842</v>
      </c>
      <c r="B257" s="341" t="str">
        <f>'A) Base RI'!B257</f>
        <v>Rossinière</v>
      </c>
      <c r="C257" s="489">
        <v>232142.92615234887</v>
      </c>
      <c r="D257" s="489">
        <v>-87465.864793327346</v>
      </c>
      <c r="E257" s="490">
        <v>0</v>
      </c>
      <c r="F257" s="490">
        <v>0</v>
      </c>
      <c r="G257" s="490">
        <v>0</v>
      </c>
      <c r="H257" s="487">
        <f t="shared" si="39"/>
        <v>144677.06135902152</v>
      </c>
      <c r="I257" s="490">
        <v>14509.951028806583</v>
      </c>
      <c r="J257" s="345">
        <f>'B) D RI'!U257</f>
        <v>14944.680411522633</v>
      </c>
      <c r="K257" s="62">
        <f t="shared" si="40"/>
        <v>9.9708855716876226</v>
      </c>
      <c r="L257" s="33">
        <f>'B) D RI'!S257</f>
        <v>81</v>
      </c>
      <c r="M257" s="433">
        <f t="shared" si="48"/>
        <v>71.029114428312383</v>
      </c>
      <c r="N257" s="428">
        <f>+'J) Plafonnement effort'!H256+'J) Plafonnement effort'!I256-'K) Plafonnement aide'!I256</f>
        <v>-15.220131607855706</v>
      </c>
      <c r="O257" s="144">
        <f t="shared" si="49"/>
        <v>55.808982820456677</v>
      </c>
      <c r="P257" s="47">
        <f t="shared" si="50"/>
        <v>0</v>
      </c>
      <c r="Q257" s="55">
        <f t="shared" si="53"/>
        <v>0</v>
      </c>
      <c r="R257" s="144">
        <f t="shared" si="51"/>
        <v>55.808982820456677</v>
      </c>
      <c r="S257" s="124">
        <f t="shared" si="52"/>
        <v>-25.191017179543323</v>
      </c>
      <c r="T257" s="143">
        <f t="shared" si="41"/>
        <v>0</v>
      </c>
      <c r="V257" s="12"/>
    </row>
    <row r="258" spans="1:22" x14ac:dyDescent="0.25">
      <c r="A258" s="49">
        <f>'A) Base RI'!A258</f>
        <v>5843</v>
      </c>
      <c r="B258" s="341" t="str">
        <f>'A) Base RI'!B258</f>
        <v>Rougemont</v>
      </c>
      <c r="C258" s="489">
        <v>3650490.6647246722</v>
      </c>
      <c r="D258" s="489">
        <v>1818385.4590735205</v>
      </c>
      <c r="E258" s="490">
        <v>0</v>
      </c>
      <c r="F258" s="490">
        <v>0</v>
      </c>
      <c r="G258" s="490">
        <v>0</v>
      </c>
      <c r="H258" s="487">
        <f t="shared" si="39"/>
        <v>5468876.1237981925</v>
      </c>
      <c r="I258" s="490">
        <v>100468.99797297297</v>
      </c>
      <c r="J258" s="345">
        <f>'B) D RI'!U258</f>
        <v>97088.109459459462</v>
      </c>
      <c r="K258" s="62">
        <f t="shared" si="40"/>
        <v>54.433469370017683</v>
      </c>
      <c r="L258" s="33">
        <f>'B) D RI'!S258</f>
        <v>74</v>
      </c>
      <c r="M258" s="433">
        <f t="shared" si="48"/>
        <v>19.566530629982317</v>
      </c>
      <c r="N258" s="428">
        <f>+'J) Plafonnement effort'!H257+'J) Plafonnement effort'!I257-'K) Plafonnement aide'!I257</f>
        <v>45.442833562218411</v>
      </c>
      <c r="O258" s="144">
        <f t="shared" si="49"/>
        <v>65.009364192200735</v>
      </c>
      <c r="P258" s="47">
        <f t="shared" si="50"/>
        <v>0</v>
      </c>
      <c r="Q258" s="55">
        <f t="shared" si="53"/>
        <v>0</v>
      </c>
      <c r="R258" s="144">
        <f t="shared" si="51"/>
        <v>65.009364192200735</v>
      </c>
      <c r="S258" s="124">
        <f t="shared" si="52"/>
        <v>-8.990635807799265</v>
      </c>
      <c r="T258" s="143">
        <f t="shared" si="41"/>
        <v>0</v>
      </c>
      <c r="V258" s="12"/>
    </row>
    <row r="259" spans="1:22" x14ac:dyDescent="0.25">
      <c r="A259" s="49">
        <f>'A) Base RI'!A259</f>
        <v>5851</v>
      </c>
      <c r="B259" s="341" t="str">
        <f>'A) Base RI'!B259</f>
        <v>Allaman</v>
      </c>
      <c r="C259" s="489">
        <v>386415.29131211835</v>
      </c>
      <c r="D259" s="489">
        <v>411029.328485028</v>
      </c>
      <c r="E259" s="490">
        <v>0</v>
      </c>
      <c r="F259" s="490">
        <v>0</v>
      </c>
      <c r="G259" s="490">
        <v>0</v>
      </c>
      <c r="H259" s="487">
        <f t="shared" si="39"/>
        <v>797444.61979714641</v>
      </c>
      <c r="I259" s="490">
        <v>24314.213954545452</v>
      </c>
      <c r="J259" s="345">
        <f>'B) D RI'!U259</f>
        <v>24875.935818181821</v>
      </c>
      <c r="K259" s="62">
        <f t="shared" si="40"/>
        <v>32.797466588389014</v>
      </c>
      <c r="L259" s="33">
        <f>'B) D RI'!S259</f>
        <v>60</v>
      </c>
      <c r="M259" s="433">
        <f t="shared" si="48"/>
        <v>27.202533411610986</v>
      </c>
      <c r="N259" s="428">
        <f>+'J) Plafonnement effort'!H258+'J) Plafonnement effort'!I258-'K) Plafonnement aide'!I258</f>
        <v>29.954811082883985</v>
      </c>
      <c r="O259" s="144">
        <f t="shared" si="49"/>
        <v>57.157344494494971</v>
      </c>
      <c r="P259" s="47">
        <f t="shared" si="50"/>
        <v>0</v>
      </c>
      <c r="Q259" s="55">
        <f t="shared" si="53"/>
        <v>0</v>
      </c>
      <c r="R259" s="144">
        <f t="shared" si="51"/>
        <v>57.157344494494971</v>
      </c>
      <c r="S259" s="124">
        <f t="shared" si="52"/>
        <v>-2.8426555055050287</v>
      </c>
      <c r="T259" s="143">
        <f t="shared" si="41"/>
        <v>0</v>
      </c>
      <c r="V259" s="12"/>
    </row>
    <row r="260" spans="1:22" x14ac:dyDescent="0.25">
      <c r="A260" s="49">
        <f>'A) Base RI'!A260</f>
        <v>5852</v>
      </c>
      <c r="B260" s="341" t="str">
        <f>'A) Base RI'!B260</f>
        <v>Bursinel</v>
      </c>
      <c r="C260" s="489">
        <v>928438.78948537121</v>
      </c>
      <c r="D260" s="489">
        <v>719214.65162678633</v>
      </c>
      <c r="E260" s="490">
        <v>0</v>
      </c>
      <c r="F260" s="490">
        <v>0</v>
      </c>
      <c r="G260" s="490">
        <v>0</v>
      </c>
      <c r="H260" s="487">
        <f t="shared" si="39"/>
        <v>1647653.4411121574</v>
      </c>
      <c r="I260" s="490">
        <v>40706.215623409669</v>
      </c>
      <c r="J260" s="345">
        <f>'B) D RI'!U260</f>
        <v>34636.657688172039</v>
      </c>
      <c r="K260" s="62">
        <f t="shared" si="40"/>
        <v>40.476704008923178</v>
      </c>
      <c r="L260" s="33">
        <f>'B) D RI'!S260</f>
        <v>62</v>
      </c>
      <c r="M260" s="433">
        <f t="shared" si="48"/>
        <v>21.523295991076822</v>
      </c>
      <c r="N260" s="428">
        <f>+'J) Plafonnement effort'!H259+'J) Plafonnement effort'!I259-'K) Plafonnement aide'!I259</f>
        <v>33.321693419210241</v>
      </c>
      <c r="O260" s="144">
        <f t="shared" si="49"/>
        <v>54.844989410287063</v>
      </c>
      <c r="P260" s="47">
        <f t="shared" si="50"/>
        <v>0</v>
      </c>
      <c r="Q260" s="55">
        <f t="shared" si="53"/>
        <v>0</v>
      </c>
      <c r="R260" s="144">
        <f t="shared" si="51"/>
        <v>54.844989410287063</v>
      </c>
      <c r="S260" s="124">
        <f t="shared" si="52"/>
        <v>-7.155010589712937</v>
      </c>
      <c r="T260" s="143">
        <f t="shared" si="41"/>
        <v>0</v>
      </c>
      <c r="V260" s="12"/>
    </row>
    <row r="261" spans="1:22" x14ac:dyDescent="0.25">
      <c r="A261" s="49">
        <f>'A) Base RI'!A261</f>
        <v>5853</v>
      </c>
      <c r="B261" s="341" t="str">
        <f>'A) Base RI'!B261</f>
        <v>Bursins</v>
      </c>
      <c r="C261" s="489">
        <v>4218626.3463653931</v>
      </c>
      <c r="D261" s="489">
        <v>709346.85404203017</v>
      </c>
      <c r="E261" s="490">
        <v>0</v>
      </c>
      <c r="F261" s="490">
        <v>0</v>
      </c>
      <c r="G261" s="490">
        <v>0</v>
      </c>
      <c r="H261" s="487">
        <f t="shared" si="39"/>
        <v>4927973.2004074231</v>
      </c>
      <c r="I261" s="490">
        <v>42015.881830985905</v>
      </c>
      <c r="J261" s="345">
        <f>'B) D RI'!U261</f>
        <v>44486.311690140843</v>
      </c>
      <c r="K261" s="62">
        <f t="shared" si="40"/>
        <v>117.28834397028263</v>
      </c>
      <c r="L261" s="33">
        <f>'B) D RI'!S261</f>
        <v>71</v>
      </c>
      <c r="M261" s="433">
        <f t="shared" si="48"/>
        <v>-46.288343970282625</v>
      </c>
      <c r="N261" s="428">
        <f>+'J) Plafonnement effort'!H260+'J) Plafonnement effort'!I260-'K) Plafonnement aide'!I260</f>
        <v>30.783195356529362</v>
      </c>
      <c r="O261" s="144">
        <f t="shared" si="49"/>
        <v>-15.505148613753263</v>
      </c>
      <c r="P261" s="47">
        <f t="shared" si="50"/>
        <v>0</v>
      </c>
      <c r="Q261" s="55">
        <f t="shared" si="53"/>
        <v>0</v>
      </c>
      <c r="R261" s="144">
        <f t="shared" si="51"/>
        <v>-15.505148613753263</v>
      </c>
      <c r="S261" s="124">
        <f t="shared" si="52"/>
        <v>-86.505148613753263</v>
      </c>
      <c r="T261" s="143">
        <f t="shared" si="41"/>
        <v>0</v>
      </c>
      <c r="V261" s="12"/>
    </row>
    <row r="262" spans="1:22" x14ac:dyDescent="0.25">
      <c r="A262" s="49">
        <f>'A) Base RI'!A262</f>
        <v>5854</v>
      </c>
      <c r="B262" s="341" t="str">
        <f>'A) Base RI'!B262</f>
        <v>Burtigny</v>
      </c>
      <c r="C262" s="489">
        <v>206089.63038685601</v>
      </c>
      <c r="D262" s="489">
        <v>-66263.307453359885</v>
      </c>
      <c r="E262" s="490">
        <v>0</v>
      </c>
      <c r="F262" s="490">
        <v>0</v>
      </c>
      <c r="G262" s="490">
        <v>0</v>
      </c>
      <c r="H262" s="487">
        <f t="shared" si="39"/>
        <v>139826.32293349612</v>
      </c>
      <c r="I262" s="490">
        <v>10782.893958333336</v>
      </c>
      <c r="J262" s="345">
        <f>'B) D RI'!U262</f>
        <v>15255.967208333332</v>
      </c>
      <c r="K262" s="62">
        <f t="shared" si="40"/>
        <v>12.967420756784337</v>
      </c>
      <c r="L262" s="33">
        <f>'B) D RI'!S262</f>
        <v>80</v>
      </c>
      <c r="M262" s="433">
        <f t="shared" ref="M262:M291" si="55">L262-K262</f>
        <v>67.032579243215665</v>
      </c>
      <c r="N262" s="428">
        <f>+'J) Plafonnement effort'!H261+'J) Plafonnement effort'!I261-'K) Plafonnement aide'!I261</f>
        <v>14.012426235360511</v>
      </c>
      <c r="O262" s="144">
        <f t="shared" ref="O262:O314" si="56">M262+N262</f>
        <v>81.045005478576172</v>
      </c>
      <c r="P262" s="47">
        <f t="shared" ref="P262:P314" si="57">IF(O262&gt;$P$6,$P$6-O262,0)</f>
        <v>0</v>
      </c>
      <c r="Q262" s="55">
        <f t="shared" si="53"/>
        <v>0</v>
      </c>
      <c r="R262" s="144">
        <f t="shared" ref="R262:R314" si="58">O262+P262</f>
        <v>81.045005478576172</v>
      </c>
      <c r="S262" s="124">
        <f t="shared" ref="S262:S314" si="59">R262-L262</f>
        <v>1.0450054785761722</v>
      </c>
      <c r="T262" s="143">
        <f t="shared" si="41"/>
        <v>0</v>
      </c>
      <c r="V262" s="12"/>
    </row>
    <row r="263" spans="1:22" x14ac:dyDescent="0.25">
      <c r="A263" s="49">
        <f>'A) Base RI'!A263</f>
        <v>5855</v>
      </c>
      <c r="B263" s="341" t="str">
        <f>'A) Base RI'!B263</f>
        <v>Dully</v>
      </c>
      <c r="C263" s="489">
        <v>3045126.6390778124</v>
      </c>
      <c r="D263" s="489">
        <v>1803245.8423548448</v>
      </c>
      <c r="E263" s="490">
        <v>0</v>
      </c>
      <c r="F263" s="490">
        <v>0</v>
      </c>
      <c r="G263" s="490">
        <v>0</v>
      </c>
      <c r="H263" s="487">
        <f t="shared" ref="H263:H314" si="60">SUM(C263:G263)</f>
        <v>4848372.4814326577</v>
      </c>
      <c r="I263" s="490">
        <v>98158.514897959176</v>
      </c>
      <c r="J263" s="345">
        <f>'B) D RI'!U263</f>
        <v>93684.152857142864</v>
      </c>
      <c r="K263" s="62">
        <f t="shared" ref="K263:K314" si="61">H263/I263</f>
        <v>49.393294982842704</v>
      </c>
      <c r="L263" s="33">
        <f>'B) D RI'!S263</f>
        <v>49</v>
      </c>
      <c r="M263" s="433">
        <f t="shared" si="55"/>
        <v>-0.39329498284270414</v>
      </c>
      <c r="N263" s="428">
        <f>+'J) Plafonnement effort'!H262+'J) Plafonnement effort'!I262-'K) Plafonnement aide'!I262</f>
        <v>43.842206024665565</v>
      </c>
      <c r="O263" s="144">
        <f t="shared" si="56"/>
        <v>43.448911041822861</v>
      </c>
      <c r="P263" s="47">
        <f t="shared" si="57"/>
        <v>0</v>
      </c>
      <c r="Q263" s="55">
        <f t="shared" si="53"/>
        <v>0</v>
      </c>
      <c r="R263" s="144">
        <f t="shared" si="58"/>
        <v>43.448911041822861</v>
      </c>
      <c r="S263" s="124">
        <f t="shared" si="59"/>
        <v>-5.5510889581771394</v>
      </c>
      <c r="T263" s="143">
        <f t="shared" ref="T263:T314" si="62">+C263+D263+E263+F263+G263-H263</f>
        <v>0</v>
      </c>
      <c r="V263" s="12"/>
    </row>
    <row r="264" spans="1:22" x14ac:dyDescent="0.25">
      <c r="A264" s="49">
        <f>'A) Base RI'!A264</f>
        <v>5856</v>
      </c>
      <c r="B264" s="341" t="str">
        <f>'A) Base RI'!B264</f>
        <v>Essertines-sur-Rolle</v>
      </c>
      <c r="C264" s="489">
        <v>623197.76027508103</v>
      </c>
      <c r="D264" s="489">
        <v>592624.05361955357</v>
      </c>
      <c r="E264" s="490">
        <v>0</v>
      </c>
      <c r="F264" s="490">
        <v>0</v>
      </c>
      <c r="G264" s="490">
        <v>0</v>
      </c>
      <c r="H264" s="487">
        <f t="shared" si="60"/>
        <v>1215821.8138946346</v>
      </c>
      <c r="I264" s="490">
        <v>35711.648536726432</v>
      </c>
      <c r="J264" s="345">
        <f>'B) D RI'!U264</f>
        <v>42060.670213996527</v>
      </c>
      <c r="K264" s="62">
        <f t="shared" si="61"/>
        <v>34.045524743677511</v>
      </c>
      <c r="L264" s="33">
        <f>'B) D RI'!S264</f>
        <v>66.5</v>
      </c>
      <c r="M264" s="433">
        <f t="shared" si="55"/>
        <v>32.454475256322489</v>
      </c>
      <c r="N264" s="428">
        <f>+'J) Plafonnement effort'!H263+'J) Plafonnement effort'!I263-'K) Plafonnement aide'!I263</f>
        <v>30.395880353325364</v>
      </c>
      <c r="O264" s="144">
        <f t="shared" si="56"/>
        <v>62.850355609647849</v>
      </c>
      <c r="P264" s="47">
        <f t="shared" si="57"/>
        <v>0</v>
      </c>
      <c r="Q264" s="55">
        <f t="shared" si="53"/>
        <v>0</v>
      </c>
      <c r="R264" s="144">
        <f t="shared" si="58"/>
        <v>62.850355609647849</v>
      </c>
      <c r="S264" s="124">
        <f t="shared" si="59"/>
        <v>-3.6496443903521509</v>
      </c>
      <c r="T264" s="143">
        <f t="shared" si="62"/>
        <v>0</v>
      </c>
      <c r="V264" s="12"/>
    </row>
    <row r="265" spans="1:22" x14ac:dyDescent="0.25">
      <c r="A265" s="49">
        <f>'A) Base RI'!A265</f>
        <v>5857</v>
      </c>
      <c r="B265" s="341" t="str">
        <f>'A) Base RI'!B265</f>
        <v>Gilly</v>
      </c>
      <c r="C265" s="489">
        <v>1422019.4573755052</v>
      </c>
      <c r="D265" s="489">
        <v>1301324.3566439585</v>
      </c>
      <c r="E265" s="490">
        <v>0</v>
      </c>
      <c r="F265" s="490">
        <v>0</v>
      </c>
      <c r="G265" s="490">
        <v>0</v>
      </c>
      <c r="H265" s="487">
        <f t="shared" si="60"/>
        <v>2723343.814019464</v>
      </c>
      <c r="I265" s="490">
        <v>82128.423720930223</v>
      </c>
      <c r="J265" s="345">
        <f>'B) D RI'!U265</f>
        <v>88866.553953488372</v>
      </c>
      <c r="K265" s="62">
        <f t="shared" si="61"/>
        <v>33.159577289262238</v>
      </c>
      <c r="L265" s="33">
        <f>'B) D RI'!S265</f>
        <v>64.5</v>
      </c>
      <c r="M265" s="433">
        <f t="shared" si="55"/>
        <v>31.340422710737762</v>
      </c>
      <c r="N265" s="428">
        <f>+'J) Plafonnement effort'!H264+'J) Plafonnement effort'!I264-'K) Plafonnement aide'!I264</f>
        <v>30.914347949082508</v>
      </c>
      <c r="O265" s="144">
        <f t="shared" si="56"/>
        <v>62.254770659820267</v>
      </c>
      <c r="P265" s="47">
        <f t="shared" si="57"/>
        <v>0</v>
      </c>
      <c r="Q265" s="55">
        <f t="shared" si="53"/>
        <v>0</v>
      </c>
      <c r="R265" s="144">
        <f t="shared" si="58"/>
        <v>62.254770659820267</v>
      </c>
      <c r="S265" s="124">
        <f t="shared" si="59"/>
        <v>-2.2452293401797334</v>
      </c>
      <c r="T265" s="143">
        <f t="shared" si="62"/>
        <v>0</v>
      </c>
      <c r="V265" s="12"/>
    </row>
    <row r="266" spans="1:22" x14ac:dyDescent="0.25">
      <c r="A266" s="49">
        <f>'A) Base RI'!A266</f>
        <v>5858</v>
      </c>
      <c r="B266" s="341" t="str">
        <f>'A) Base RI'!B266</f>
        <v>Luins</v>
      </c>
      <c r="C266" s="489">
        <v>751833.13167598133</v>
      </c>
      <c r="D266" s="489">
        <v>695380.03125987947</v>
      </c>
      <c r="E266" s="490">
        <v>0</v>
      </c>
      <c r="F266" s="490">
        <v>0</v>
      </c>
      <c r="G266" s="490">
        <v>0</v>
      </c>
      <c r="H266" s="487">
        <f t="shared" si="60"/>
        <v>1447213.1629358609</v>
      </c>
      <c r="I266" s="490">
        <v>40290.677378917375</v>
      </c>
      <c r="J266" s="345">
        <f>'B) D RI'!U266</f>
        <v>38253.397207977199</v>
      </c>
      <c r="K266" s="62">
        <f t="shared" si="61"/>
        <v>35.919305831604959</v>
      </c>
      <c r="L266" s="33">
        <f>'B) D RI'!S266</f>
        <v>58.5</v>
      </c>
      <c r="M266" s="433">
        <f t="shared" si="55"/>
        <v>22.580694168395041</v>
      </c>
      <c r="N266" s="428">
        <f>+'J) Plafonnement effort'!H265+'J) Plafonnement effort'!I265-'K) Plafonnement aide'!I265</f>
        <v>31.42807836831577</v>
      </c>
      <c r="O266" s="144">
        <f t="shared" si="56"/>
        <v>54.008772536710808</v>
      </c>
      <c r="P266" s="47">
        <f t="shared" si="57"/>
        <v>0</v>
      </c>
      <c r="Q266" s="55">
        <f t="shared" si="53"/>
        <v>0</v>
      </c>
      <c r="R266" s="144">
        <f t="shared" si="58"/>
        <v>54.008772536710808</v>
      </c>
      <c r="S266" s="124">
        <f t="shared" si="59"/>
        <v>-4.4912274632891922</v>
      </c>
      <c r="T266" s="143">
        <f t="shared" si="62"/>
        <v>0</v>
      </c>
      <c r="V266" s="12"/>
    </row>
    <row r="267" spans="1:22" x14ac:dyDescent="0.25">
      <c r="A267" s="49">
        <f>'A) Base RI'!A267</f>
        <v>5859</v>
      </c>
      <c r="B267" s="341" t="str">
        <f>'A) Base RI'!B267</f>
        <v>Mont-sur-Rolle</v>
      </c>
      <c r="C267" s="489">
        <v>2581821.8088843082</v>
      </c>
      <c r="D267" s="489">
        <v>2111419.2867027475</v>
      </c>
      <c r="E267" s="490">
        <v>0</v>
      </c>
      <c r="F267" s="490">
        <v>0</v>
      </c>
      <c r="G267" s="490">
        <v>0</v>
      </c>
      <c r="H267" s="487">
        <f t="shared" si="60"/>
        <v>4693241.0955870561</v>
      </c>
      <c r="I267" s="490">
        <v>146465.78251968499</v>
      </c>
      <c r="J267" s="345">
        <f>'B) D RI'!U267</f>
        <v>160910.93779527559</v>
      </c>
      <c r="K267" s="62">
        <f t="shared" si="61"/>
        <v>32.0432596258876</v>
      </c>
      <c r="L267" s="33">
        <f>'B) D RI'!S267</f>
        <v>63.5</v>
      </c>
      <c r="M267" s="433">
        <f t="shared" si="55"/>
        <v>31.4567403741124</v>
      </c>
      <c r="N267" s="428">
        <f>+'J) Plafonnement effort'!H266+'J) Plafonnement effort'!I266-'K) Plafonnement aide'!I266</f>
        <v>28.613893428282896</v>
      </c>
      <c r="O267" s="144">
        <f t="shared" si="56"/>
        <v>60.070633802395292</v>
      </c>
      <c r="P267" s="47">
        <f t="shared" si="57"/>
        <v>0</v>
      </c>
      <c r="Q267" s="55">
        <f t="shared" ref="Q267:Q314" si="63">P267*J267</f>
        <v>0</v>
      </c>
      <c r="R267" s="144">
        <f t="shared" si="58"/>
        <v>60.070633802395292</v>
      </c>
      <c r="S267" s="124">
        <f t="shared" si="59"/>
        <v>-3.4293661976047076</v>
      </c>
      <c r="T267" s="143">
        <f t="shared" si="62"/>
        <v>0</v>
      </c>
      <c r="V267" s="12"/>
    </row>
    <row r="268" spans="1:22" x14ac:dyDescent="0.25">
      <c r="A268" s="49">
        <f>'A) Base RI'!A268</f>
        <v>5860</v>
      </c>
      <c r="B268" s="341" t="str">
        <f>'A) Base RI'!B268</f>
        <v>Perroy</v>
      </c>
      <c r="C268" s="489">
        <v>5754185.5503719766</v>
      </c>
      <c r="D268" s="489">
        <v>3283205.4677036186</v>
      </c>
      <c r="E268" s="490">
        <v>0</v>
      </c>
      <c r="F268" s="490">
        <v>0</v>
      </c>
      <c r="G268" s="490">
        <v>0</v>
      </c>
      <c r="H268" s="487">
        <f t="shared" si="60"/>
        <v>9037391.0180755947</v>
      </c>
      <c r="I268" s="490">
        <v>187175.54426035503</v>
      </c>
      <c r="J268" s="345">
        <f>'B) D RI'!U268</f>
        <v>124242.10120973046</v>
      </c>
      <c r="K268" s="62">
        <f t="shared" si="61"/>
        <v>48.282969090795753</v>
      </c>
      <c r="L268" s="33">
        <f>'B) D RI'!S268</f>
        <v>58.5</v>
      </c>
      <c r="M268" s="433">
        <f t="shared" si="55"/>
        <v>10.217030909204247</v>
      </c>
      <c r="N268" s="428">
        <f>+'J) Plafonnement effort'!H267+'J) Plafonnement effort'!I267-'K) Plafonnement aide'!I267</f>
        <v>35.589111334884016</v>
      </c>
      <c r="O268" s="144">
        <f t="shared" si="56"/>
        <v>45.806142244088264</v>
      </c>
      <c r="P268" s="47">
        <f t="shared" si="57"/>
        <v>0</v>
      </c>
      <c r="Q268" s="55">
        <f t="shared" si="63"/>
        <v>0</v>
      </c>
      <c r="R268" s="144">
        <f t="shared" si="58"/>
        <v>45.806142244088264</v>
      </c>
      <c r="S268" s="124">
        <f t="shared" si="59"/>
        <v>-12.693857755911736</v>
      </c>
      <c r="T268" s="143">
        <f t="shared" si="62"/>
        <v>0</v>
      </c>
      <c r="V268" s="12"/>
    </row>
    <row r="269" spans="1:22" x14ac:dyDescent="0.25">
      <c r="A269" s="49">
        <f>'A) Base RI'!A269</f>
        <v>5861</v>
      </c>
      <c r="B269" s="341" t="str">
        <f>'A) Base RI'!B269</f>
        <v>Rolle</v>
      </c>
      <c r="C269" s="489">
        <v>79023431.374459803</v>
      </c>
      <c r="D269" s="489">
        <v>34586720.730858795</v>
      </c>
      <c r="E269" s="490">
        <v>0</v>
      </c>
      <c r="F269" s="490">
        <v>-19532160.290360618</v>
      </c>
      <c r="G269" s="490">
        <v>0</v>
      </c>
      <c r="H269" s="487">
        <f t="shared" si="60"/>
        <v>94077991.814957991</v>
      </c>
      <c r="I269" s="490">
        <v>1938335.8673949579</v>
      </c>
      <c r="J269" s="345">
        <f>'B) D RI'!U269</f>
        <v>638128.58403361356</v>
      </c>
      <c r="K269" s="62">
        <f t="shared" si="61"/>
        <v>48.535443932838568</v>
      </c>
      <c r="L269" s="33">
        <f>'B) D RI'!S269</f>
        <v>59.5</v>
      </c>
      <c r="M269" s="433">
        <f t="shared" si="55"/>
        <v>10.964556067161432</v>
      </c>
      <c r="N269" s="428">
        <f>+'J) Plafonnement effort'!H268+'J) Plafonnement effort'!I268-'K) Plafonnement aide'!I268</f>
        <v>37.518156761907811</v>
      </c>
      <c r="O269" s="144">
        <f t="shared" si="56"/>
        <v>48.482712829069243</v>
      </c>
      <c r="P269" s="47">
        <f t="shared" si="57"/>
        <v>0</v>
      </c>
      <c r="Q269" s="55">
        <f t="shared" si="63"/>
        <v>0</v>
      </c>
      <c r="R269" s="144">
        <f t="shared" si="58"/>
        <v>48.482712829069243</v>
      </c>
      <c r="S269" s="124">
        <f t="shared" si="59"/>
        <v>-11.017287170930757</v>
      </c>
      <c r="T269" s="143">
        <f t="shared" si="62"/>
        <v>0</v>
      </c>
      <c r="V269" s="12"/>
    </row>
    <row r="270" spans="1:22" x14ac:dyDescent="0.25">
      <c r="A270" s="49">
        <f>'A) Base RI'!A270</f>
        <v>5862</v>
      </c>
      <c r="B270" s="341" t="str">
        <f>'A) Base RI'!B270</f>
        <v>Tartegnin</v>
      </c>
      <c r="C270" s="489">
        <v>111705.04292518453</v>
      </c>
      <c r="D270" s="489">
        <v>43981.519153630172</v>
      </c>
      <c r="E270" s="490">
        <v>0</v>
      </c>
      <c r="F270" s="490">
        <v>0</v>
      </c>
      <c r="G270" s="490">
        <v>0</v>
      </c>
      <c r="H270" s="487">
        <f t="shared" si="60"/>
        <v>155686.56207881472</v>
      </c>
      <c r="I270" s="490">
        <v>8096.4381012658214</v>
      </c>
      <c r="J270" s="345">
        <f>'B) D RI'!U270</f>
        <v>7891.022278481013</v>
      </c>
      <c r="K270" s="62">
        <f t="shared" si="61"/>
        <v>19.229018999660383</v>
      </c>
      <c r="L270" s="33">
        <f>'B) D RI'!S270</f>
        <v>79</v>
      </c>
      <c r="M270" s="433">
        <f t="shared" si="55"/>
        <v>59.770981000339617</v>
      </c>
      <c r="N270" s="428">
        <f>+'J) Plafonnement effort'!H269+'J) Plafonnement effort'!I269-'K) Plafonnement aide'!I269</f>
        <v>15.130362961419655</v>
      </c>
      <c r="O270" s="144">
        <f t="shared" si="56"/>
        <v>74.901343961759267</v>
      </c>
      <c r="P270" s="47">
        <f t="shared" si="57"/>
        <v>0</v>
      </c>
      <c r="Q270" s="55">
        <f t="shared" si="63"/>
        <v>0</v>
      </c>
      <c r="R270" s="144">
        <f t="shared" si="58"/>
        <v>74.901343961759267</v>
      </c>
      <c r="S270" s="124">
        <f t="shared" si="59"/>
        <v>-4.0986560382407333</v>
      </c>
      <c r="T270" s="143">
        <f t="shared" si="62"/>
        <v>0</v>
      </c>
      <c r="V270" s="12"/>
    </row>
    <row r="271" spans="1:22" x14ac:dyDescent="0.25">
      <c r="A271" s="49">
        <f>'A) Base RI'!A271</f>
        <v>5863</v>
      </c>
      <c r="B271" s="341" t="str">
        <f>'A) Base RI'!B271</f>
        <v>Vinzel</v>
      </c>
      <c r="C271" s="489">
        <v>399227.37306356349</v>
      </c>
      <c r="D271" s="489">
        <v>372600.60810318013</v>
      </c>
      <c r="E271" s="490">
        <v>0</v>
      </c>
      <c r="F271" s="490">
        <v>0</v>
      </c>
      <c r="G271" s="490">
        <v>0</v>
      </c>
      <c r="H271" s="487">
        <f t="shared" si="60"/>
        <v>771827.98116674367</v>
      </c>
      <c r="I271" s="490">
        <v>21933.69492537314</v>
      </c>
      <c r="J271" s="345">
        <f>'B) D RI'!U271</f>
        <v>21424.128507462683</v>
      </c>
      <c r="K271" s="62">
        <f t="shared" si="61"/>
        <v>35.189145458291414</v>
      </c>
      <c r="L271" s="33">
        <f>'B) D RI'!S271</f>
        <v>67</v>
      </c>
      <c r="M271" s="433">
        <f t="shared" si="55"/>
        <v>31.810854541708586</v>
      </c>
      <c r="N271" s="428">
        <f>+'J) Plafonnement effort'!H270+'J) Plafonnement effort'!I270-'K) Plafonnement aide'!I270</f>
        <v>30.934327384796948</v>
      </c>
      <c r="O271" s="144">
        <f t="shared" si="56"/>
        <v>62.745181926505538</v>
      </c>
      <c r="P271" s="47">
        <f t="shared" si="57"/>
        <v>0</v>
      </c>
      <c r="Q271" s="55">
        <f t="shared" si="63"/>
        <v>0</v>
      </c>
      <c r="R271" s="144">
        <f t="shared" si="58"/>
        <v>62.745181926505538</v>
      </c>
      <c r="S271" s="124">
        <f t="shared" si="59"/>
        <v>-4.2548180734944623</v>
      </c>
      <c r="T271" s="143">
        <f t="shared" si="62"/>
        <v>0</v>
      </c>
      <c r="V271" s="12"/>
    </row>
    <row r="272" spans="1:22" x14ac:dyDescent="0.25">
      <c r="A272" s="49">
        <f>'A) Base RI'!A272</f>
        <v>5871</v>
      </c>
      <c r="B272" s="341" t="str">
        <f>'A) Base RI'!B272</f>
        <v>L'Abbaye</v>
      </c>
      <c r="C272" s="489">
        <v>1029461.8422280847</v>
      </c>
      <c r="D272" s="489">
        <v>143221.82025850215</v>
      </c>
      <c r="E272" s="490">
        <v>0</v>
      </c>
      <c r="F272" s="490">
        <v>0</v>
      </c>
      <c r="G272" s="490">
        <v>0</v>
      </c>
      <c r="H272" s="487">
        <f t="shared" si="60"/>
        <v>1172683.6624865867</v>
      </c>
      <c r="I272" s="490">
        <v>49513.521273852508</v>
      </c>
      <c r="J272" s="345">
        <f>'B) D RI'!U272</f>
        <v>52137.53921442369</v>
      </c>
      <c r="K272" s="62">
        <f t="shared" si="61"/>
        <v>23.684109558692743</v>
      </c>
      <c r="L272" s="33">
        <f>'B) D RI'!S272</f>
        <v>77.650000000000006</v>
      </c>
      <c r="M272" s="433">
        <f t="shared" si="55"/>
        <v>53.965890441307266</v>
      </c>
      <c r="N272" s="428">
        <f>+'J) Plafonnement effort'!H271+'J) Plafonnement effort'!I271-'K) Plafonnement aide'!I271</f>
        <v>7.0640200267651334</v>
      </c>
      <c r="O272" s="144">
        <f t="shared" si="56"/>
        <v>61.029910468072401</v>
      </c>
      <c r="P272" s="47">
        <f t="shared" si="57"/>
        <v>0</v>
      </c>
      <c r="Q272" s="55">
        <f t="shared" si="63"/>
        <v>0</v>
      </c>
      <c r="R272" s="144">
        <f t="shared" si="58"/>
        <v>61.029910468072401</v>
      </c>
      <c r="S272" s="124">
        <f t="shared" si="59"/>
        <v>-16.620089531927604</v>
      </c>
      <c r="T272" s="143">
        <f t="shared" si="62"/>
        <v>0</v>
      </c>
      <c r="V272" s="12"/>
    </row>
    <row r="273" spans="1:22" x14ac:dyDescent="0.25">
      <c r="A273" s="49">
        <f>'A) Base RI'!A273</f>
        <v>5872</v>
      </c>
      <c r="B273" s="341" t="str">
        <f>'A) Base RI'!B273</f>
        <v>Le Chenit</v>
      </c>
      <c r="C273" s="489">
        <v>7190455.9603909058</v>
      </c>
      <c r="D273" s="489">
        <v>2911612.6225718413</v>
      </c>
      <c r="E273" s="490">
        <v>0</v>
      </c>
      <c r="F273" s="490">
        <v>0</v>
      </c>
      <c r="G273" s="490">
        <v>0</v>
      </c>
      <c r="H273" s="487">
        <f t="shared" si="60"/>
        <v>10102068.582962748</v>
      </c>
      <c r="I273" s="490">
        <v>236042.78222554145</v>
      </c>
      <c r="J273" s="345">
        <f>'B) D RI'!U273</f>
        <v>199146.55575459031</v>
      </c>
      <c r="K273" s="62">
        <f t="shared" si="61"/>
        <v>42.797616973138837</v>
      </c>
      <c r="L273" s="33">
        <f>'B) D RI'!S273</f>
        <v>66.989999999999995</v>
      </c>
      <c r="M273" s="433">
        <f t="shared" si="55"/>
        <v>24.192383026861158</v>
      </c>
      <c r="N273" s="428">
        <f>+'J) Plafonnement effort'!H272+'J) Plafonnement effort'!I272-'K) Plafonnement aide'!I272</f>
        <v>12.194986703796429</v>
      </c>
      <c r="O273" s="144">
        <f t="shared" si="56"/>
        <v>36.387369730657589</v>
      </c>
      <c r="P273" s="47">
        <f t="shared" si="57"/>
        <v>0</v>
      </c>
      <c r="Q273" s="55">
        <f t="shared" si="63"/>
        <v>0</v>
      </c>
      <c r="R273" s="144">
        <f t="shared" si="58"/>
        <v>36.387369730657589</v>
      </c>
      <c r="S273" s="124">
        <f t="shared" si="59"/>
        <v>-30.602630269342406</v>
      </c>
      <c r="T273" s="143">
        <f t="shared" si="62"/>
        <v>0</v>
      </c>
      <c r="V273" s="12"/>
    </row>
    <row r="274" spans="1:22" x14ac:dyDescent="0.25">
      <c r="A274" s="49">
        <f>'A) Base RI'!A274</f>
        <v>5873</v>
      </c>
      <c r="B274" s="341" t="str">
        <f>'A) Base RI'!B274</f>
        <v>Le Lieu</v>
      </c>
      <c r="C274" s="489">
        <v>781464.81374126743</v>
      </c>
      <c r="D274" s="489">
        <v>230780.72705489059</v>
      </c>
      <c r="E274" s="490">
        <v>0</v>
      </c>
      <c r="F274" s="490">
        <v>0</v>
      </c>
      <c r="G274" s="490">
        <v>0</v>
      </c>
      <c r="H274" s="487">
        <f t="shared" si="60"/>
        <v>1012245.540796158</v>
      </c>
      <c r="I274" s="490">
        <v>30440.408392857149</v>
      </c>
      <c r="J274" s="345">
        <f>'B) D RI'!U274</f>
        <v>31475.129392857143</v>
      </c>
      <c r="K274" s="62">
        <f t="shared" si="61"/>
        <v>33.253349552093454</v>
      </c>
      <c r="L274" s="33">
        <f>'B) D RI'!S274</f>
        <v>70</v>
      </c>
      <c r="M274" s="433">
        <f t="shared" si="55"/>
        <v>36.746650447906546</v>
      </c>
      <c r="N274" s="428">
        <f>+'J) Plafonnement effort'!H273+'J) Plafonnement effort'!I273-'K) Plafonnement aide'!I273</f>
        <v>-1.9234820574689593</v>
      </c>
      <c r="O274" s="144">
        <f t="shared" si="56"/>
        <v>34.823168390437587</v>
      </c>
      <c r="P274" s="47">
        <f t="shared" si="57"/>
        <v>0</v>
      </c>
      <c r="Q274" s="55">
        <f t="shared" si="63"/>
        <v>0</v>
      </c>
      <c r="R274" s="144">
        <f t="shared" si="58"/>
        <v>34.823168390437587</v>
      </c>
      <c r="S274" s="124">
        <f t="shared" si="59"/>
        <v>-35.176831609562413</v>
      </c>
      <c r="T274" s="143">
        <f t="shared" si="62"/>
        <v>0</v>
      </c>
      <c r="V274" s="12"/>
    </row>
    <row r="275" spans="1:22" x14ac:dyDescent="0.25">
      <c r="A275" s="49">
        <f>'A) Base RI'!A275</f>
        <v>5881</v>
      </c>
      <c r="B275" s="341" t="str">
        <f>'A) Base RI'!B275</f>
        <v>Blonay</v>
      </c>
      <c r="C275" s="489">
        <v>7654545.6302315081</v>
      </c>
      <c r="D275" s="489">
        <v>4428209.0081811054</v>
      </c>
      <c r="E275" s="490">
        <v>0</v>
      </c>
      <c r="F275" s="490">
        <v>0</v>
      </c>
      <c r="G275" s="490">
        <v>0</v>
      </c>
      <c r="H275" s="487">
        <f t="shared" si="60"/>
        <v>12082754.638412613</v>
      </c>
      <c r="I275" s="490">
        <v>363266.43007299263</v>
      </c>
      <c r="J275" s="345">
        <f>'B) D RI'!U275</f>
        <v>371401.9382481752</v>
      </c>
      <c r="K275" s="62">
        <f t="shared" si="61"/>
        <v>33.261412666138114</v>
      </c>
      <c r="L275" s="33">
        <f>'B) D RI'!S275</f>
        <v>68.5</v>
      </c>
      <c r="M275" s="433">
        <f t="shared" si="55"/>
        <v>35.238587333861886</v>
      </c>
      <c r="N275" s="428">
        <f>+'J) Plafonnement effort'!H274+'J) Plafonnement effort'!I274-'K) Plafonnement aide'!I274</f>
        <v>23.859884346701264</v>
      </c>
      <c r="O275" s="144">
        <f t="shared" si="56"/>
        <v>59.098471680563151</v>
      </c>
      <c r="P275" s="47">
        <f t="shared" si="57"/>
        <v>0</v>
      </c>
      <c r="Q275" s="55">
        <f t="shared" si="63"/>
        <v>0</v>
      </c>
      <c r="R275" s="144">
        <f t="shared" si="58"/>
        <v>59.098471680563151</v>
      </c>
      <c r="S275" s="124">
        <f t="shared" si="59"/>
        <v>-9.4015283194368493</v>
      </c>
      <c r="T275" s="143">
        <f t="shared" si="62"/>
        <v>0</v>
      </c>
      <c r="V275" s="12"/>
    </row>
    <row r="276" spans="1:22" x14ac:dyDescent="0.25">
      <c r="A276" s="49">
        <f>'A) Base RI'!A276</f>
        <v>5882</v>
      </c>
      <c r="B276" s="341" t="str">
        <f>'A) Base RI'!B276</f>
        <v>Chardonne</v>
      </c>
      <c r="C276" s="489">
        <v>3450397.0971665592</v>
      </c>
      <c r="D276" s="489">
        <v>2566498.2912194002</v>
      </c>
      <c r="E276" s="490">
        <v>0</v>
      </c>
      <c r="F276" s="490">
        <v>0</v>
      </c>
      <c r="G276" s="490">
        <v>0</v>
      </c>
      <c r="H276" s="487">
        <f t="shared" si="60"/>
        <v>6016895.388385959</v>
      </c>
      <c r="I276" s="490">
        <v>179032.37397058826</v>
      </c>
      <c r="J276" s="345">
        <f>'B) D RI'!U276</f>
        <v>186949.52411764706</v>
      </c>
      <c r="K276" s="62">
        <f t="shared" si="61"/>
        <v>33.607862393504455</v>
      </c>
      <c r="L276" s="33">
        <f>'B) D RI'!S276</f>
        <v>68</v>
      </c>
      <c r="M276" s="433">
        <f t="shared" si="55"/>
        <v>34.392137606495545</v>
      </c>
      <c r="N276" s="428">
        <f>+'J) Plafonnement effort'!H275+'J) Plafonnement effort'!I275-'K) Plafonnement aide'!I275</f>
        <v>27.610572111452239</v>
      </c>
      <c r="O276" s="144">
        <f t="shared" si="56"/>
        <v>62.002709717947781</v>
      </c>
      <c r="P276" s="47">
        <f t="shared" si="57"/>
        <v>0</v>
      </c>
      <c r="Q276" s="55">
        <f t="shared" si="63"/>
        <v>0</v>
      </c>
      <c r="R276" s="144">
        <f t="shared" si="58"/>
        <v>62.002709717947781</v>
      </c>
      <c r="S276" s="124">
        <f t="shared" si="59"/>
        <v>-5.9972902820522194</v>
      </c>
      <c r="T276" s="143">
        <f t="shared" si="62"/>
        <v>0</v>
      </c>
      <c r="V276" s="12"/>
    </row>
    <row r="277" spans="1:22" x14ac:dyDescent="0.25">
      <c r="A277" s="49">
        <f>'A) Base RI'!A277</f>
        <v>5883</v>
      </c>
      <c r="B277" s="341" t="str">
        <f>'A) Base RI'!B277</f>
        <v>Corseaux</v>
      </c>
      <c r="C277" s="489">
        <v>3697787.5927101942</v>
      </c>
      <c r="D277" s="489">
        <v>2638365.4329031627</v>
      </c>
      <c r="E277" s="490">
        <v>0</v>
      </c>
      <c r="F277" s="490">
        <v>0</v>
      </c>
      <c r="G277" s="490">
        <v>0</v>
      </c>
      <c r="H277" s="487">
        <f t="shared" si="60"/>
        <v>6336153.0256133564</v>
      </c>
      <c r="I277" s="490">
        <v>167893.40074074076</v>
      </c>
      <c r="J277" s="345">
        <f>'B) D RI'!U277</f>
        <v>193095.30118518518</v>
      </c>
      <c r="K277" s="62">
        <f t="shared" si="61"/>
        <v>37.739142799290711</v>
      </c>
      <c r="L277" s="33">
        <f>'B) D RI'!S277</f>
        <v>67.5</v>
      </c>
      <c r="M277" s="433">
        <f t="shared" si="55"/>
        <v>29.760857200709289</v>
      </c>
      <c r="N277" s="428">
        <f>+'J) Plafonnement effort'!H276+'J) Plafonnement effort'!I276-'K) Plafonnement aide'!I276</f>
        <v>36.275256969073332</v>
      </c>
      <c r="O277" s="144">
        <f t="shared" si="56"/>
        <v>66.036114169782621</v>
      </c>
      <c r="P277" s="47">
        <f t="shared" si="57"/>
        <v>0</v>
      </c>
      <c r="Q277" s="55">
        <f t="shared" si="63"/>
        <v>0</v>
      </c>
      <c r="R277" s="144">
        <f t="shared" si="58"/>
        <v>66.036114169782621</v>
      </c>
      <c r="S277" s="124">
        <f t="shared" si="59"/>
        <v>-1.4638858302173787</v>
      </c>
      <c r="T277" s="143">
        <f t="shared" si="62"/>
        <v>0</v>
      </c>
      <c r="V277" s="12"/>
    </row>
    <row r="278" spans="1:22" x14ac:dyDescent="0.25">
      <c r="A278" s="49">
        <f>'A) Base RI'!A278</f>
        <v>5884</v>
      </c>
      <c r="B278" s="341" t="str">
        <f>'A) Base RI'!B278</f>
        <v>Corsier-sur-Vevey</v>
      </c>
      <c r="C278" s="489">
        <v>2055536.9055977408</v>
      </c>
      <c r="D278" s="489">
        <v>570669.19929859391</v>
      </c>
      <c r="E278" s="490">
        <v>0</v>
      </c>
      <c r="F278" s="490">
        <v>0</v>
      </c>
      <c r="G278" s="490">
        <v>0</v>
      </c>
      <c r="H278" s="487">
        <f t="shared" si="60"/>
        <v>2626206.1048963349</v>
      </c>
      <c r="I278" s="490">
        <v>122170.7416919192</v>
      </c>
      <c r="J278" s="345">
        <f>'B) D RI'!U278</f>
        <v>148896.79012919901</v>
      </c>
      <c r="K278" s="62">
        <f t="shared" si="61"/>
        <v>21.496195148908075</v>
      </c>
      <c r="L278" s="33">
        <f>'B) D RI'!S278</f>
        <v>64.5</v>
      </c>
      <c r="M278" s="433">
        <f t="shared" si="55"/>
        <v>43.003804851091928</v>
      </c>
      <c r="N278" s="428">
        <f>+'J) Plafonnement effort'!H277+'J) Plafonnement effort'!I277-'K) Plafonnement aide'!I277</f>
        <v>13.161034417938055</v>
      </c>
      <c r="O278" s="144">
        <f t="shared" si="56"/>
        <v>56.164839269029983</v>
      </c>
      <c r="P278" s="47">
        <f t="shared" si="57"/>
        <v>0</v>
      </c>
      <c r="Q278" s="55">
        <f t="shared" si="63"/>
        <v>0</v>
      </c>
      <c r="R278" s="144">
        <f t="shared" si="58"/>
        <v>56.164839269029983</v>
      </c>
      <c r="S278" s="124">
        <f t="shared" si="59"/>
        <v>-8.3351607309700171</v>
      </c>
      <c r="T278" s="143">
        <f t="shared" si="62"/>
        <v>0</v>
      </c>
      <c r="V278" s="12"/>
    </row>
    <row r="279" spans="1:22" x14ac:dyDescent="0.25">
      <c r="A279" s="49">
        <f>'A) Base RI'!A279</f>
        <v>5885</v>
      </c>
      <c r="B279" s="341" t="str">
        <f>'A) Base RI'!B279</f>
        <v>Jongny</v>
      </c>
      <c r="C279" s="489">
        <v>1554013.2012480991</v>
      </c>
      <c r="D279" s="489">
        <v>1274276.7112449273</v>
      </c>
      <c r="E279" s="490">
        <v>0</v>
      </c>
      <c r="F279" s="490">
        <v>0</v>
      </c>
      <c r="G279" s="490">
        <v>0</v>
      </c>
      <c r="H279" s="487">
        <f t="shared" si="60"/>
        <v>2828289.9124930263</v>
      </c>
      <c r="I279" s="490">
        <v>85101.213069544348</v>
      </c>
      <c r="J279" s="345">
        <f>'B) D RI'!U279</f>
        <v>97076.940527577928</v>
      </c>
      <c r="K279" s="62">
        <f t="shared" si="61"/>
        <v>33.234425344580693</v>
      </c>
      <c r="L279" s="33">
        <f>'B) D RI'!S279</f>
        <v>69.5</v>
      </c>
      <c r="M279" s="433">
        <f t="shared" si="55"/>
        <v>36.265574655419307</v>
      </c>
      <c r="N279" s="428">
        <f>+'J) Plafonnement effort'!H278+'J) Plafonnement effort'!I278-'K) Plafonnement aide'!I278</f>
        <v>27.284032910539665</v>
      </c>
      <c r="O279" s="144">
        <f t="shared" si="56"/>
        <v>63.549607565958972</v>
      </c>
      <c r="P279" s="47">
        <f t="shared" si="57"/>
        <v>0</v>
      </c>
      <c r="Q279" s="55">
        <f t="shared" si="63"/>
        <v>0</v>
      </c>
      <c r="R279" s="144">
        <f t="shared" si="58"/>
        <v>63.549607565958972</v>
      </c>
      <c r="S279" s="124">
        <f t="shared" si="59"/>
        <v>-5.9503924340410279</v>
      </c>
      <c r="T279" s="143">
        <f t="shared" si="62"/>
        <v>0</v>
      </c>
      <c r="V279" s="12"/>
    </row>
    <row r="280" spans="1:22" x14ac:dyDescent="0.25">
      <c r="A280" s="49">
        <f>'A) Base RI'!A280</f>
        <v>5886</v>
      </c>
      <c r="B280" s="341" t="str">
        <f>'A) Base RI'!B280</f>
        <v>Montreux</v>
      </c>
      <c r="C280" s="489">
        <v>25868085.616110049</v>
      </c>
      <c r="D280" s="489">
        <v>-3096365.6072538905</v>
      </c>
      <c r="E280" s="490">
        <v>0</v>
      </c>
      <c r="F280" s="490">
        <v>0</v>
      </c>
      <c r="G280" s="490">
        <v>0</v>
      </c>
      <c r="H280" s="487">
        <f t="shared" si="60"/>
        <v>22771720.008856159</v>
      </c>
      <c r="I280" s="490">
        <v>1097075.3945128203</v>
      </c>
      <c r="J280" s="345">
        <f>'B) D RI'!U280</f>
        <v>1223405.0430769229</v>
      </c>
      <c r="K280" s="62">
        <f t="shared" si="61"/>
        <v>20.756750286035196</v>
      </c>
      <c r="L280" s="33">
        <f>'B) D RI'!S280</f>
        <v>65</v>
      </c>
      <c r="M280" s="433">
        <f t="shared" si="55"/>
        <v>44.243249713964801</v>
      </c>
      <c r="N280" s="428">
        <f>+'J) Plafonnement effort'!H279+'J) Plafonnement effort'!I279-'K) Plafonnement aide'!I279</f>
        <v>7.949951143999785</v>
      </c>
      <c r="O280" s="144">
        <f t="shared" si="56"/>
        <v>52.193200857964584</v>
      </c>
      <c r="P280" s="47">
        <f t="shared" si="57"/>
        <v>0</v>
      </c>
      <c r="Q280" s="55">
        <f t="shared" si="63"/>
        <v>0</v>
      </c>
      <c r="R280" s="144">
        <f t="shared" si="58"/>
        <v>52.193200857964584</v>
      </c>
      <c r="S280" s="124">
        <f t="shared" si="59"/>
        <v>-12.806799142035416</v>
      </c>
      <c r="T280" s="143">
        <f t="shared" si="62"/>
        <v>0</v>
      </c>
      <c r="V280" s="12"/>
    </row>
    <row r="281" spans="1:22" x14ac:dyDescent="0.25">
      <c r="A281" s="49">
        <f>'A) Base RI'!A281</f>
        <v>5888</v>
      </c>
      <c r="B281" s="341" t="str">
        <f>'A) Base RI'!B281</f>
        <v>Saint-Légier-La Chiésaz</v>
      </c>
      <c r="C281" s="489">
        <v>6301060.3476765687</v>
      </c>
      <c r="D281" s="489">
        <v>4118563.1230525081</v>
      </c>
      <c r="E281" s="490">
        <v>0</v>
      </c>
      <c r="F281" s="490">
        <v>0</v>
      </c>
      <c r="G281" s="490">
        <v>0</v>
      </c>
      <c r="H281" s="487">
        <f t="shared" si="60"/>
        <v>10419623.470729077</v>
      </c>
      <c r="I281" s="490">
        <v>325586.52158150851</v>
      </c>
      <c r="J281" s="345">
        <f>'B) D RI'!U281</f>
        <v>334017.18953771284</v>
      </c>
      <c r="K281" s="62">
        <f t="shared" si="61"/>
        <v>32.00262535474949</v>
      </c>
      <c r="L281" s="33">
        <f>'B) D RI'!S281</f>
        <v>68.5</v>
      </c>
      <c r="M281" s="433">
        <f t="shared" si="55"/>
        <v>36.49737464525051</v>
      </c>
      <c r="N281" s="428">
        <f>+'J) Plafonnement effort'!H280+'J) Plafonnement effort'!I280-'K) Plafonnement aide'!I280</f>
        <v>21.711940143851216</v>
      </c>
      <c r="O281" s="144">
        <f t="shared" si="56"/>
        <v>58.209314789101725</v>
      </c>
      <c r="P281" s="47">
        <f t="shared" si="57"/>
        <v>0</v>
      </c>
      <c r="Q281" s="55">
        <f t="shared" si="63"/>
        <v>0</v>
      </c>
      <c r="R281" s="144">
        <f t="shared" si="58"/>
        <v>58.209314789101725</v>
      </c>
      <c r="S281" s="124">
        <f t="shared" si="59"/>
        <v>-10.290685210898275</v>
      </c>
      <c r="T281" s="143">
        <f t="shared" si="62"/>
        <v>0</v>
      </c>
      <c r="V281" s="12"/>
    </row>
    <row r="282" spans="1:22" x14ac:dyDescent="0.25">
      <c r="A282" s="49">
        <f>'A) Base RI'!A282</f>
        <v>5889</v>
      </c>
      <c r="B282" s="341" t="str">
        <f>'A) Base RI'!B282</f>
        <v>La Tour-de-Peilz</v>
      </c>
      <c r="C282" s="489">
        <v>12035792.428539131</v>
      </c>
      <c r="D282" s="489">
        <v>6146414.0178690907</v>
      </c>
      <c r="E282" s="490">
        <v>0</v>
      </c>
      <c r="F282" s="490">
        <v>0</v>
      </c>
      <c r="G282" s="490">
        <v>0</v>
      </c>
      <c r="H282" s="487">
        <f t="shared" si="60"/>
        <v>18182206.44640822</v>
      </c>
      <c r="I282" s="490">
        <v>675962.70015625004</v>
      </c>
      <c r="J282" s="345">
        <f>'B) D RI'!U282</f>
        <v>740535.59942708339</v>
      </c>
      <c r="K282" s="62">
        <f t="shared" si="61"/>
        <v>26.898239270015001</v>
      </c>
      <c r="L282" s="33">
        <f>'B) D RI'!S282</f>
        <v>64</v>
      </c>
      <c r="M282" s="433">
        <f t="shared" si="55"/>
        <v>37.101760729985003</v>
      </c>
      <c r="N282" s="428">
        <f>+'J) Plafonnement effort'!H281+'J) Plafonnement effort'!I281-'K) Plafonnement aide'!I281</f>
        <v>24.046743930436421</v>
      </c>
      <c r="O282" s="144">
        <f t="shared" si="56"/>
        <v>61.148504660421423</v>
      </c>
      <c r="P282" s="47">
        <f t="shared" si="57"/>
        <v>0</v>
      </c>
      <c r="Q282" s="55">
        <f t="shared" si="63"/>
        <v>0</v>
      </c>
      <c r="R282" s="144">
        <f t="shared" si="58"/>
        <v>61.148504660421423</v>
      </c>
      <c r="S282" s="124">
        <f t="shared" si="59"/>
        <v>-2.8514953395785767</v>
      </c>
      <c r="T282" s="143">
        <f t="shared" si="62"/>
        <v>0</v>
      </c>
      <c r="V282" s="12"/>
    </row>
    <row r="283" spans="1:22" x14ac:dyDescent="0.25">
      <c r="A283" s="49">
        <f>'A) Base RI'!A283</f>
        <v>5890</v>
      </c>
      <c r="B283" s="341" t="str">
        <f>'A) Base RI'!B283</f>
        <v>Vevey</v>
      </c>
      <c r="C283" s="489">
        <v>15045715.539865054</v>
      </c>
      <c r="D283" s="489">
        <v>-151291.88316666707</v>
      </c>
      <c r="E283" s="490">
        <v>0</v>
      </c>
      <c r="F283" s="490">
        <v>0</v>
      </c>
      <c r="G283" s="490">
        <v>0</v>
      </c>
      <c r="H283" s="487">
        <f t="shared" si="60"/>
        <v>14894423.656698387</v>
      </c>
      <c r="I283" s="490">
        <v>862625.86017897108</v>
      </c>
      <c r="J283" s="345">
        <f>'B) D RI'!U283</f>
        <v>969776.79771812086</v>
      </c>
      <c r="K283" s="62">
        <f t="shared" si="61"/>
        <v>17.266377399824538</v>
      </c>
      <c r="L283" s="33">
        <f>'B) D RI'!S283</f>
        <v>74.5</v>
      </c>
      <c r="M283" s="433">
        <f t="shared" si="55"/>
        <v>57.233622600175465</v>
      </c>
      <c r="N283" s="428">
        <f>+'J) Plafonnement effort'!H282+'J) Plafonnement effort'!I282-'K) Plafonnement aide'!I282</f>
        <v>12.15785814545548</v>
      </c>
      <c r="O283" s="144">
        <f t="shared" si="56"/>
        <v>69.391480745630943</v>
      </c>
      <c r="P283" s="47">
        <f t="shared" si="57"/>
        <v>0</v>
      </c>
      <c r="Q283" s="55">
        <f t="shared" si="63"/>
        <v>0</v>
      </c>
      <c r="R283" s="144">
        <f t="shared" si="58"/>
        <v>69.391480745630943</v>
      </c>
      <c r="S283" s="124">
        <f t="shared" si="59"/>
        <v>-5.1085192543690567</v>
      </c>
      <c r="T283" s="143">
        <f t="shared" si="62"/>
        <v>0</v>
      </c>
      <c r="V283" s="12"/>
    </row>
    <row r="284" spans="1:22" x14ac:dyDescent="0.25">
      <c r="A284" s="49">
        <f>'A) Base RI'!A284</f>
        <v>5891</v>
      </c>
      <c r="B284" s="341" t="str">
        <f>'A) Base RI'!B284</f>
        <v>Veytaux</v>
      </c>
      <c r="C284" s="489">
        <v>751161.79235126975</v>
      </c>
      <c r="D284" s="489">
        <v>683041.96625666879</v>
      </c>
      <c r="E284" s="490">
        <v>0</v>
      </c>
      <c r="F284" s="490">
        <v>0</v>
      </c>
      <c r="G284" s="490">
        <v>0</v>
      </c>
      <c r="H284" s="487">
        <f t="shared" si="60"/>
        <v>1434203.7586079384</v>
      </c>
      <c r="I284" s="490">
        <v>43950.38565947242</v>
      </c>
      <c r="J284" s="345">
        <f>'B) D RI'!U284</f>
        <v>39123.353381294961</v>
      </c>
      <c r="K284" s="62">
        <f t="shared" si="61"/>
        <v>32.632336146493657</v>
      </c>
      <c r="L284" s="33">
        <f>'B) D RI'!S284</f>
        <v>69.5</v>
      </c>
      <c r="M284" s="433">
        <f t="shared" si="55"/>
        <v>36.867663853506343</v>
      </c>
      <c r="N284" s="428">
        <f>+'J) Plafonnement effort'!H283+'J) Plafonnement effort'!I283-'K) Plafonnement aide'!I283</f>
        <v>9.5381157145670521</v>
      </c>
      <c r="O284" s="144">
        <f t="shared" si="56"/>
        <v>46.405779568073399</v>
      </c>
      <c r="P284" s="47">
        <f t="shared" si="57"/>
        <v>0</v>
      </c>
      <c r="Q284" s="55">
        <f t="shared" si="63"/>
        <v>0</v>
      </c>
      <c r="R284" s="144">
        <f t="shared" si="58"/>
        <v>46.405779568073399</v>
      </c>
      <c r="S284" s="124">
        <f t="shared" si="59"/>
        <v>-23.094220431926601</v>
      </c>
      <c r="T284" s="143">
        <f t="shared" si="62"/>
        <v>0</v>
      </c>
      <c r="V284" s="12"/>
    </row>
    <row r="285" spans="1:22" x14ac:dyDescent="0.25">
      <c r="A285" s="49">
        <f>'A) Base RI'!A285</f>
        <v>5902</v>
      </c>
      <c r="B285" s="341" t="str">
        <f>'A) Base RI'!B285</f>
        <v>Belmont-sur-Yverdon</v>
      </c>
      <c r="C285" s="489">
        <v>242602.04024673911</v>
      </c>
      <c r="D285" s="489">
        <v>30880.833238174382</v>
      </c>
      <c r="E285" s="490">
        <v>0</v>
      </c>
      <c r="F285" s="490">
        <v>0</v>
      </c>
      <c r="G285" s="490">
        <v>0</v>
      </c>
      <c r="H285" s="487">
        <f t="shared" si="60"/>
        <v>273482.87348491349</v>
      </c>
      <c r="I285" s="490">
        <v>11719.310285714289</v>
      </c>
      <c r="J285" s="345">
        <f>'B) D RI'!U285</f>
        <v>12109.15</v>
      </c>
      <c r="K285" s="62">
        <f t="shared" si="61"/>
        <v>23.336089481160517</v>
      </c>
      <c r="L285" s="33">
        <f>'B) D RI'!S285</f>
        <v>70</v>
      </c>
      <c r="M285" s="433">
        <f t="shared" si="55"/>
        <v>46.663910518839486</v>
      </c>
      <c r="N285" s="428">
        <f>+'J) Plafonnement effort'!H284+'J) Plafonnement effort'!I284-'K) Plafonnement aide'!I284</f>
        <v>4.1543303788055468</v>
      </c>
      <c r="O285" s="144">
        <f t="shared" si="56"/>
        <v>50.818240897645033</v>
      </c>
      <c r="P285" s="47">
        <f t="shared" si="57"/>
        <v>0</v>
      </c>
      <c r="Q285" s="55">
        <f t="shared" si="63"/>
        <v>0</v>
      </c>
      <c r="R285" s="144">
        <f t="shared" si="58"/>
        <v>50.818240897645033</v>
      </c>
      <c r="S285" s="124">
        <f t="shared" si="59"/>
        <v>-19.181759102354967</v>
      </c>
      <c r="T285" s="143">
        <f t="shared" si="62"/>
        <v>0</v>
      </c>
      <c r="V285" s="12"/>
    </row>
    <row r="286" spans="1:22" x14ac:dyDescent="0.25">
      <c r="A286" s="49">
        <f>'A) Base RI'!A286</f>
        <v>5903</v>
      </c>
      <c r="B286" s="341" t="str">
        <f>'A) Base RI'!B286</f>
        <v>Bioley-Magnoux</v>
      </c>
      <c r="C286" s="489">
        <v>78733.747337100765</v>
      </c>
      <c r="D286" s="489">
        <v>-58443.23535806268</v>
      </c>
      <c r="E286" s="490">
        <v>0</v>
      </c>
      <c r="F286" s="490">
        <v>0</v>
      </c>
      <c r="G286" s="490">
        <v>0</v>
      </c>
      <c r="H286" s="487">
        <f t="shared" si="60"/>
        <v>20290.511979038085</v>
      </c>
      <c r="I286" s="490">
        <v>5017.2132738095233</v>
      </c>
      <c r="J286" s="345">
        <f>'B) D RI'!U286</f>
        <v>6059.1993849206356</v>
      </c>
      <c r="K286" s="62">
        <f t="shared" si="61"/>
        <v>4.0441796813695516</v>
      </c>
      <c r="L286" s="33">
        <f>'B) D RI'!S286</f>
        <v>72</v>
      </c>
      <c r="M286" s="433">
        <f t="shared" si="55"/>
        <v>67.955820318630444</v>
      </c>
      <c r="N286" s="428">
        <f>+'J) Plafonnement effort'!H285+'J) Plafonnement effort'!I285-'K) Plafonnement aide'!I285</f>
        <v>-17.195400126287602</v>
      </c>
      <c r="O286" s="144">
        <f t="shared" si="56"/>
        <v>50.760420192342842</v>
      </c>
      <c r="P286" s="47">
        <f t="shared" si="57"/>
        <v>0</v>
      </c>
      <c r="Q286" s="55">
        <f t="shared" si="63"/>
        <v>0</v>
      </c>
      <c r="R286" s="144">
        <f t="shared" si="58"/>
        <v>50.760420192342842</v>
      </c>
      <c r="S286" s="124">
        <f t="shared" si="59"/>
        <v>-21.239579807657158</v>
      </c>
      <c r="T286" s="143">
        <f t="shared" si="62"/>
        <v>0</v>
      </c>
      <c r="V286" s="12"/>
    </row>
    <row r="287" spans="1:22" x14ac:dyDescent="0.25">
      <c r="A287" s="49">
        <f>'A) Base RI'!A287</f>
        <v>5904</v>
      </c>
      <c r="B287" s="341" t="str">
        <f>'A) Base RI'!B287</f>
        <v>Chamblon</v>
      </c>
      <c r="C287" s="489">
        <v>339552.35136317462</v>
      </c>
      <c r="D287" s="489">
        <v>254985.62394930993</v>
      </c>
      <c r="E287" s="490">
        <v>0</v>
      </c>
      <c r="F287" s="490">
        <v>0</v>
      </c>
      <c r="G287" s="490">
        <v>0</v>
      </c>
      <c r="H287" s="487">
        <f t="shared" si="60"/>
        <v>594537.97531248454</v>
      </c>
      <c r="I287" s="490">
        <v>21694.056363636359</v>
      </c>
      <c r="J287" s="345">
        <f>'B) D RI'!U287</f>
        <v>22178.215151515149</v>
      </c>
      <c r="K287" s="62">
        <f t="shared" si="61"/>
        <v>27.405569772052903</v>
      </c>
      <c r="L287" s="33">
        <f>'B) D RI'!S287</f>
        <v>66</v>
      </c>
      <c r="M287" s="433">
        <f t="shared" si="55"/>
        <v>38.5944302279471</v>
      </c>
      <c r="N287" s="428">
        <f>+'J) Plafonnement effort'!H286+'J) Plafonnement effort'!I286-'K) Plafonnement aide'!I286</f>
        <v>23.798419643528607</v>
      </c>
      <c r="O287" s="144">
        <f t="shared" si="56"/>
        <v>62.392849871475704</v>
      </c>
      <c r="P287" s="47">
        <f t="shared" si="57"/>
        <v>0</v>
      </c>
      <c r="Q287" s="55">
        <f t="shared" si="63"/>
        <v>0</v>
      </c>
      <c r="R287" s="144">
        <f t="shared" si="58"/>
        <v>62.392849871475704</v>
      </c>
      <c r="S287" s="124">
        <f t="shared" si="59"/>
        <v>-3.607150128524296</v>
      </c>
      <c r="T287" s="143">
        <f t="shared" si="62"/>
        <v>0</v>
      </c>
      <c r="V287" s="12"/>
    </row>
    <row r="288" spans="1:22" x14ac:dyDescent="0.25">
      <c r="A288" s="49">
        <f>'A) Base RI'!A288</f>
        <v>5905</v>
      </c>
      <c r="B288" s="341" t="str">
        <f>'A) Base RI'!B288</f>
        <v>Champvent</v>
      </c>
      <c r="C288" s="489">
        <v>364332.95946909348</v>
      </c>
      <c r="D288" s="489">
        <v>89335.815842275275</v>
      </c>
      <c r="E288" s="490">
        <v>0</v>
      </c>
      <c r="F288" s="490">
        <v>0</v>
      </c>
      <c r="G288" s="490">
        <v>0</v>
      </c>
      <c r="H288" s="487">
        <f t="shared" si="60"/>
        <v>453668.77531136875</v>
      </c>
      <c r="I288" s="490">
        <v>21673.362816901412</v>
      </c>
      <c r="J288" s="345">
        <f>'B) D RI'!U288</f>
        <v>23298.236142857142</v>
      </c>
      <c r="K288" s="62">
        <f t="shared" si="61"/>
        <v>20.932089733559337</v>
      </c>
      <c r="L288" s="33">
        <f>'B) D RI'!S288</f>
        <v>70</v>
      </c>
      <c r="M288" s="433">
        <f t="shared" si="55"/>
        <v>49.067910266440663</v>
      </c>
      <c r="N288" s="428">
        <f>+'J) Plafonnement effort'!H287+'J) Plafonnement effort'!I287-'K) Plafonnement aide'!I287</f>
        <v>16.677357717531251</v>
      </c>
      <c r="O288" s="144">
        <f t="shared" si="56"/>
        <v>65.745267983971914</v>
      </c>
      <c r="P288" s="47">
        <f t="shared" si="57"/>
        <v>0</v>
      </c>
      <c r="Q288" s="55">
        <f t="shared" si="63"/>
        <v>0</v>
      </c>
      <c r="R288" s="144">
        <f t="shared" si="58"/>
        <v>65.745267983971914</v>
      </c>
      <c r="S288" s="124">
        <f t="shared" si="59"/>
        <v>-4.2547320160280862</v>
      </c>
      <c r="T288" s="143">
        <f t="shared" si="62"/>
        <v>0</v>
      </c>
      <c r="V288" s="12"/>
    </row>
    <row r="289" spans="1:22" x14ac:dyDescent="0.25">
      <c r="A289" s="49">
        <f>'A) Base RI'!A289</f>
        <v>5907</v>
      </c>
      <c r="B289" s="341" t="str">
        <f>'A) Base RI'!B289</f>
        <v>Chavannes-le-Chêne</v>
      </c>
      <c r="C289" s="489">
        <v>151780.1640321264</v>
      </c>
      <c r="D289" s="489">
        <v>20385.043229006842</v>
      </c>
      <c r="E289" s="490">
        <v>0</v>
      </c>
      <c r="F289" s="490">
        <v>0</v>
      </c>
      <c r="G289" s="490">
        <v>0</v>
      </c>
      <c r="H289" s="487">
        <f t="shared" si="60"/>
        <v>172165.20726113324</v>
      </c>
      <c r="I289" s="490">
        <v>9891.0456000000013</v>
      </c>
      <c r="J289" s="345">
        <f>'B) D RI'!U289</f>
        <v>7818.3477333333331</v>
      </c>
      <c r="K289" s="62">
        <f t="shared" si="61"/>
        <v>17.406168591633346</v>
      </c>
      <c r="L289" s="33">
        <f>'B) D RI'!S289</f>
        <v>75</v>
      </c>
      <c r="M289" s="433">
        <f t="shared" si="55"/>
        <v>57.593831408366654</v>
      </c>
      <c r="N289" s="428">
        <f>+'J) Plafonnement effort'!H288+'J) Plafonnement effort'!I288-'K) Plafonnement aide'!I288</f>
        <v>-5.7739344840693132</v>
      </c>
      <c r="O289" s="144">
        <f t="shared" si="56"/>
        <v>51.819896924297339</v>
      </c>
      <c r="P289" s="47">
        <f t="shared" si="57"/>
        <v>0</v>
      </c>
      <c r="Q289" s="55">
        <f t="shared" si="63"/>
        <v>0</v>
      </c>
      <c r="R289" s="144">
        <f t="shared" si="58"/>
        <v>51.819896924297339</v>
      </c>
      <c r="S289" s="124">
        <f t="shared" si="59"/>
        <v>-23.180103075702661</v>
      </c>
      <c r="T289" s="143">
        <f t="shared" si="62"/>
        <v>0</v>
      </c>
      <c r="V289" s="12"/>
    </row>
    <row r="290" spans="1:22" x14ac:dyDescent="0.25">
      <c r="A290" s="49">
        <f>'A) Base RI'!A290</f>
        <v>5908</v>
      </c>
      <c r="B290" s="341" t="str">
        <f>'A) Base RI'!B290</f>
        <v>Chêne-Pâquier</v>
      </c>
      <c r="C290" s="489">
        <v>93572.419313466788</v>
      </c>
      <c r="D290" s="489">
        <v>95894.287763746019</v>
      </c>
      <c r="E290" s="490">
        <v>0</v>
      </c>
      <c r="F290" s="490">
        <v>0</v>
      </c>
      <c r="G290" s="490">
        <v>-69698.252275360763</v>
      </c>
      <c r="H290" s="487">
        <f t="shared" si="60"/>
        <v>119768.45480185204</v>
      </c>
      <c r="I290" s="490">
        <v>6502.4863291139245</v>
      </c>
      <c r="J290" s="345">
        <f>'B) D RI'!U290</f>
        <v>4413.8781012658228</v>
      </c>
      <c r="K290" s="62">
        <f t="shared" si="61"/>
        <v>18.418870681143371</v>
      </c>
      <c r="L290" s="33">
        <f>'B) D RI'!S290</f>
        <v>79</v>
      </c>
      <c r="M290" s="433">
        <f>L290-K290</f>
        <v>60.581129318856625</v>
      </c>
      <c r="N290" s="428">
        <f>+'J) Plafonnement effort'!H289+'J) Plafonnement effort'!I289-'K) Plafonnement aide'!I289</f>
        <v>3.2937252618935196</v>
      </c>
      <c r="O290" s="144">
        <f t="shared" si="56"/>
        <v>63.874854580750146</v>
      </c>
      <c r="P290" s="47">
        <f t="shared" si="57"/>
        <v>0</v>
      </c>
      <c r="Q290" s="55">
        <f t="shared" si="63"/>
        <v>0</v>
      </c>
      <c r="R290" s="144">
        <f t="shared" si="58"/>
        <v>63.874854580750146</v>
      </c>
      <c r="S290" s="124">
        <f t="shared" si="59"/>
        <v>-15.125145419249854</v>
      </c>
      <c r="T290" s="143">
        <f t="shared" si="62"/>
        <v>0</v>
      </c>
      <c r="V290" s="12"/>
    </row>
    <row r="291" spans="1:22" x14ac:dyDescent="0.25">
      <c r="A291" s="49">
        <f>'A) Base RI'!A291</f>
        <v>5909</v>
      </c>
      <c r="B291" s="341" t="str">
        <f>'A) Base RI'!B291</f>
        <v>Cheseaux-Noréaz</v>
      </c>
      <c r="C291" s="489">
        <v>626244.84764313954</v>
      </c>
      <c r="D291" s="489">
        <v>660483.88852552185</v>
      </c>
      <c r="E291" s="490">
        <v>0</v>
      </c>
      <c r="F291" s="490">
        <v>0</v>
      </c>
      <c r="G291" s="490">
        <v>0</v>
      </c>
      <c r="H291" s="487">
        <f t="shared" si="60"/>
        <v>1286728.7361686614</v>
      </c>
      <c r="I291" s="490">
        <v>39259.116417910453</v>
      </c>
      <c r="J291" s="345">
        <f>'B) D RI'!U291</f>
        <v>36898.573134328355</v>
      </c>
      <c r="K291" s="62">
        <f t="shared" si="61"/>
        <v>32.775285171258751</v>
      </c>
      <c r="L291" s="33">
        <f>'B) D RI'!S291</f>
        <v>67</v>
      </c>
      <c r="M291" s="433">
        <f t="shared" si="55"/>
        <v>34.224714828741249</v>
      </c>
      <c r="N291" s="428">
        <f>+'J) Plafonnement effort'!H290+'J) Plafonnement effort'!I290-'K) Plafonnement aide'!I290</f>
        <v>27.836214938912327</v>
      </c>
      <c r="O291" s="144">
        <f t="shared" si="56"/>
        <v>62.060929767653576</v>
      </c>
      <c r="P291" s="47">
        <f t="shared" si="57"/>
        <v>0</v>
      </c>
      <c r="Q291" s="55">
        <f t="shared" si="63"/>
        <v>0</v>
      </c>
      <c r="R291" s="144">
        <f t="shared" si="58"/>
        <v>62.060929767653576</v>
      </c>
      <c r="S291" s="124">
        <f t="shared" si="59"/>
        <v>-4.9390702323464239</v>
      </c>
      <c r="T291" s="143">
        <f t="shared" si="62"/>
        <v>0</v>
      </c>
      <c r="V291" s="12"/>
    </row>
    <row r="292" spans="1:22" x14ac:dyDescent="0.25">
      <c r="A292" s="49">
        <f>'A) Base RI'!A292</f>
        <v>5910</v>
      </c>
      <c r="B292" s="341" t="str">
        <f>'A) Base RI'!B292</f>
        <v>Cronay</v>
      </c>
      <c r="C292" s="489">
        <v>129626.07510601787</v>
      </c>
      <c r="D292" s="489">
        <v>-70554.801304911962</v>
      </c>
      <c r="E292" s="490">
        <v>0</v>
      </c>
      <c r="F292" s="490">
        <v>0</v>
      </c>
      <c r="G292" s="490">
        <v>0</v>
      </c>
      <c r="H292" s="487">
        <f t="shared" si="60"/>
        <v>59071.273801105912</v>
      </c>
      <c r="I292" s="490">
        <v>9976.0020779220758</v>
      </c>
      <c r="J292" s="345">
        <f>'B) D RI'!U292</f>
        <v>10600.416103896103</v>
      </c>
      <c r="K292" s="62">
        <f t="shared" si="61"/>
        <v>5.9213373593653058</v>
      </c>
      <c r="L292" s="33">
        <f>'B) D RI'!S292</f>
        <v>77</v>
      </c>
      <c r="M292" s="433">
        <f t="shared" ref="M292:M314" si="64">L292-K292</f>
        <v>71.07866264063469</v>
      </c>
      <c r="N292" s="428">
        <f>+'J) Plafonnement effort'!H291+'J) Plafonnement effort'!I291-'K) Plafonnement aide'!I291</f>
        <v>1.3903908900868265</v>
      </c>
      <c r="O292" s="144">
        <f t="shared" si="56"/>
        <v>72.46905353072151</v>
      </c>
      <c r="P292" s="47">
        <f t="shared" si="57"/>
        <v>0</v>
      </c>
      <c r="Q292" s="55">
        <f t="shared" si="63"/>
        <v>0</v>
      </c>
      <c r="R292" s="144">
        <f t="shared" si="58"/>
        <v>72.46905353072151</v>
      </c>
      <c r="S292" s="124">
        <f t="shared" si="59"/>
        <v>-4.53094646927849</v>
      </c>
      <c r="T292" s="143">
        <f t="shared" si="62"/>
        <v>0</v>
      </c>
      <c r="V292" s="12"/>
    </row>
    <row r="293" spans="1:22" x14ac:dyDescent="0.25">
      <c r="A293" s="49">
        <f>'A) Base RI'!A293</f>
        <v>5911</v>
      </c>
      <c r="B293" s="341" t="str">
        <f>'A) Base RI'!B293</f>
        <v>Cuarny</v>
      </c>
      <c r="C293" s="489">
        <v>94755.372810524277</v>
      </c>
      <c r="D293" s="489">
        <v>922.72094209678471</v>
      </c>
      <c r="E293" s="490">
        <v>0</v>
      </c>
      <c r="F293" s="490">
        <v>0</v>
      </c>
      <c r="G293" s="490">
        <v>0</v>
      </c>
      <c r="H293" s="487">
        <f t="shared" si="60"/>
        <v>95678.093752621062</v>
      </c>
      <c r="I293" s="490">
        <v>6939.4670129870128</v>
      </c>
      <c r="J293" s="345">
        <f>'B) D RI'!U293</f>
        <v>7503.9646753246761</v>
      </c>
      <c r="K293" s="62">
        <f t="shared" si="61"/>
        <v>13.787527712656068</v>
      </c>
      <c r="L293" s="33">
        <f>'B) D RI'!S293</f>
        <v>77</v>
      </c>
      <c r="M293" s="433">
        <f t="shared" si="64"/>
        <v>63.212472287343928</v>
      </c>
      <c r="N293" s="428">
        <f>+'J) Plafonnement effort'!H292+'J) Plafonnement effort'!I292-'K) Plafonnement aide'!I292</f>
        <v>9.7688980767119382</v>
      </c>
      <c r="O293" s="144">
        <f t="shared" si="56"/>
        <v>72.981370364055863</v>
      </c>
      <c r="P293" s="47">
        <f t="shared" si="57"/>
        <v>0</v>
      </c>
      <c r="Q293" s="55">
        <f t="shared" si="63"/>
        <v>0</v>
      </c>
      <c r="R293" s="144">
        <f t="shared" si="58"/>
        <v>72.981370364055863</v>
      </c>
      <c r="S293" s="124">
        <f t="shared" si="59"/>
        <v>-4.0186296359441371</v>
      </c>
      <c r="T293" s="143">
        <f t="shared" si="62"/>
        <v>0</v>
      </c>
      <c r="V293" s="12"/>
    </row>
    <row r="294" spans="1:22" x14ac:dyDescent="0.25">
      <c r="A294" s="49">
        <f>'A) Base RI'!A294</f>
        <v>5912</v>
      </c>
      <c r="B294" s="341" t="str">
        <f>'A) Base RI'!B294</f>
        <v>Démoret</v>
      </c>
      <c r="C294" s="489">
        <v>66374.548565117904</v>
      </c>
      <c r="D294" s="489">
        <v>-34768.158009718856</v>
      </c>
      <c r="E294" s="490">
        <v>0</v>
      </c>
      <c r="F294" s="490">
        <v>0</v>
      </c>
      <c r="G294" s="490">
        <v>0</v>
      </c>
      <c r="H294" s="487">
        <f t="shared" si="60"/>
        <v>31606.390555399048</v>
      </c>
      <c r="I294" s="490">
        <v>4070.6311111111104</v>
      </c>
      <c r="J294" s="345">
        <f>'B) D RI'!U294</f>
        <v>4722.5551851851851</v>
      </c>
      <c r="K294" s="62">
        <f t="shared" si="61"/>
        <v>7.7644939304686433</v>
      </c>
      <c r="L294" s="33">
        <f>'B) D RI'!S294</f>
        <v>81</v>
      </c>
      <c r="M294" s="433">
        <f t="shared" si="64"/>
        <v>73.235506069531354</v>
      </c>
      <c r="N294" s="428">
        <f>+'J) Plafonnement effort'!H293+'J) Plafonnement effort'!I293-'K) Plafonnement aide'!I293</f>
        <v>4.7988009313197235</v>
      </c>
      <c r="O294" s="144">
        <f t="shared" si="56"/>
        <v>78.034307000851072</v>
      </c>
      <c r="P294" s="47">
        <f t="shared" si="57"/>
        <v>0</v>
      </c>
      <c r="Q294" s="55">
        <f t="shared" si="63"/>
        <v>0</v>
      </c>
      <c r="R294" s="144">
        <f t="shared" si="58"/>
        <v>78.034307000851072</v>
      </c>
      <c r="S294" s="124">
        <f t="shared" si="59"/>
        <v>-2.9656929991489278</v>
      </c>
      <c r="T294" s="143">
        <f t="shared" si="62"/>
        <v>0</v>
      </c>
      <c r="V294" s="12"/>
    </row>
    <row r="295" spans="1:22" x14ac:dyDescent="0.25">
      <c r="A295" s="49">
        <f>'A) Base RI'!A295</f>
        <v>5913</v>
      </c>
      <c r="B295" s="341" t="str">
        <f>'A) Base RI'!B295</f>
        <v>Donneloye</v>
      </c>
      <c r="C295" s="489">
        <v>314659.21266525384</v>
      </c>
      <c r="D295" s="489">
        <v>-150500.22085379524</v>
      </c>
      <c r="E295" s="490">
        <v>0</v>
      </c>
      <c r="F295" s="490">
        <v>0</v>
      </c>
      <c r="G295" s="490">
        <v>0</v>
      </c>
      <c r="H295" s="487">
        <f t="shared" si="60"/>
        <v>164158.9918114586</v>
      </c>
      <c r="I295" s="490">
        <v>19880.828493150682</v>
      </c>
      <c r="J295" s="345">
        <f>'B) D RI'!U295</f>
        <v>23893.322465753423</v>
      </c>
      <c r="K295" s="62">
        <f t="shared" si="61"/>
        <v>8.2571504436052283</v>
      </c>
      <c r="L295" s="33">
        <f>'B) D RI'!S295</f>
        <v>73</v>
      </c>
      <c r="M295" s="433">
        <f t="shared" si="64"/>
        <v>64.742849556394773</v>
      </c>
      <c r="N295" s="428">
        <f>+'J) Plafonnement effort'!H294+'J) Plafonnement effort'!I294-'K) Plafonnement aide'!I294</f>
        <v>7.9539678890999426</v>
      </c>
      <c r="O295" s="144">
        <f t="shared" si="56"/>
        <v>72.696817445494716</v>
      </c>
      <c r="P295" s="47">
        <f t="shared" si="57"/>
        <v>0</v>
      </c>
      <c r="Q295" s="55">
        <f t="shared" si="63"/>
        <v>0</v>
      </c>
      <c r="R295" s="144">
        <f t="shared" si="58"/>
        <v>72.696817445494716</v>
      </c>
      <c r="S295" s="124">
        <f t="shared" si="59"/>
        <v>-0.30318255450528397</v>
      </c>
      <c r="T295" s="143">
        <f t="shared" si="62"/>
        <v>0</v>
      </c>
      <c r="V295" s="12"/>
    </row>
    <row r="296" spans="1:22" x14ac:dyDescent="0.25">
      <c r="A296" s="49">
        <f>'A) Base RI'!A296</f>
        <v>5914</v>
      </c>
      <c r="B296" s="341" t="str">
        <f>'A) Base RI'!B296</f>
        <v>Ependes</v>
      </c>
      <c r="C296" s="489">
        <v>168335.05447723976</v>
      </c>
      <c r="D296" s="489">
        <v>-17772.715649390128</v>
      </c>
      <c r="E296" s="490">
        <v>0</v>
      </c>
      <c r="F296" s="490">
        <v>0</v>
      </c>
      <c r="G296" s="490">
        <v>0</v>
      </c>
      <c r="H296" s="487">
        <f t="shared" si="60"/>
        <v>150562.33882784963</v>
      </c>
      <c r="I296" s="490">
        <v>10662.074965986394</v>
      </c>
      <c r="J296" s="345">
        <f>'B) D RI'!U296</f>
        <v>9829.5133333333324</v>
      </c>
      <c r="K296" s="62">
        <f t="shared" si="61"/>
        <v>14.121298087676733</v>
      </c>
      <c r="L296" s="33">
        <f>'B) D RI'!S296</f>
        <v>73.5</v>
      </c>
      <c r="M296" s="433">
        <f t="shared" si="64"/>
        <v>59.378701912323265</v>
      </c>
      <c r="N296" s="428">
        <f>+'J) Plafonnement effort'!H295+'J) Plafonnement effort'!I295-'K) Plafonnement aide'!I295</f>
        <v>1.0663129846846138</v>
      </c>
      <c r="O296" s="144">
        <f t="shared" si="56"/>
        <v>60.44501489700788</v>
      </c>
      <c r="P296" s="47">
        <f t="shared" si="57"/>
        <v>0</v>
      </c>
      <c r="Q296" s="55">
        <f t="shared" si="63"/>
        <v>0</v>
      </c>
      <c r="R296" s="144">
        <f t="shared" si="58"/>
        <v>60.44501489700788</v>
      </c>
      <c r="S296" s="124">
        <f t="shared" si="59"/>
        <v>-13.05498510299212</v>
      </c>
      <c r="T296" s="143">
        <f t="shared" si="62"/>
        <v>0</v>
      </c>
      <c r="V296" s="12"/>
    </row>
    <row r="297" spans="1:22" x14ac:dyDescent="0.25">
      <c r="A297" s="49">
        <f>'A) Base RI'!A297</f>
        <v>5919</v>
      </c>
      <c r="B297" s="341" t="str">
        <f>'A) Base RI'!B297</f>
        <v>Mathod</v>
      </c>
      <c r="C297" s="489">
        <v>427878.91099790309</v>
      </c>
      <c r="D297" s="489">
        <v>128892.08864768379</v>
      </c>
      <c r="E297" s="490">
        <v>0</v>
      </c>
      <c r="F297" s="490">
        <v>0</v>
      </c>
      <c r="G297" s="490">
        <v>0</v>
      </c>
      <c r="H297" s="487">
        <f t="shared" si="60"/>
        <v>556770.99964558682</v>
      </c>
      <c r="I297" s="490">
        <v>21565.598078703704</v>
      </c>
      <c r="J297" s="345">
        <f>'B) D RI'!U297</f>
        <v>18684.885972222222</v>
      </c>
      <c r="K297" s="62">
        <f t="shared" si="61"/>
        <v>25.817554310974806</v>
      </c>
      <c r="L297" s="33">
        <f>'B) D RI'!S297</f>
        <v>72</v>
      </c>
      <c r="M297" s="433">
        <f t="shared" si="64"/>
        <v>46.182445689025194</v>
      </c>
      <c r="N297" s="428">
        <f>+'J) Plafonnement effort'!H296+'J) Plafonnement effort'!I296-'K) Plafonnement aide'!I296</f>
        <v>4.5039948183057295</v>
      </c>
      <c r="O297" s="144">
        <f t="shared" si="56"/>
        <v>50.686440507330921</v>
      </c>
      <c r="P297" s="47">
        <f t="shared" si="57"/>
        <v>0</v>
      </c>
      <c r="Q297" s="55">
        <f t="shared" si="63"/>
        <v>0</v>
      </c>
      <c r="R297" s="144">
        <f t="shared" si="58"/>
        <v>50.686440507330921</v>
      </c>
      <c r="S297" s="124">
        <f t="shared" si="59"/>
        <v>-21.313559492669079</v>
      </c>
      <c r="T297" s="143">
        <f t="shared" si="62"/>
        <v>0</v>
      </c>
      <c r="V297" s="12"/>
    </row>
    <row r="298" spans="1:22" x14ac:dyDescent="0.25">
      <c r="A298" s="49">
        <f>'A) Base RI'!A298</f>
        <v>5921</v>
      </c>
      <c r="B298" s="341" t="str">
        <f>'A) Base RI'!B298</f>
        <v>Molondin</v>
      </c>
      <c r="C298" s="489">
        <v>88629.57022573243</v>
      </c>
      <c r="D298" s="489">
        <v>-92593.464561905159</v>
      </c>
      <c r="E298" s="490">
        <v>0</v>
      </c>
      <c r="F298" s="490">
        <v>0</v>
      </c>
      <c r="G298" s="490">
        <v>0</v>
      </c>
      <c r="H298" s="487">
        <f t="shared" si="60"/>
        <v>-3963.8943361727288</v>
      </c>
      <c r="I298" s="490">
        <v>5675.8933333333334</v>
      </c>
      <c r="J298" s="345">
        <f>'B) D RI'!U298</f>
        <v>5874.9966666666678</v>
      </c>
      <c r="K298" s="62">
        <f t="shared" si="61"/>
        <v>-0.69837364858384621</v>
      </c>
      <c r="L298" s="33">
        <f>'B) D RI'!S298</f>
        <v>81</v>
      </c>
      <c r="M298" s="433">
        <f t="shared" si="64"/>
        <v>81.698373648583839</v>
      </c>
      <c r="N298" s="428">
        <f>+'J) Plafonnement effort'!H297+'J) Plafonnement effort'!I297-'K) Plafonnement aide'!I297</f>
        <v>-5.8526844363574826</v>
      </c>
      <c r="O298" s="144">
        <f t="shared" si="56"/>
        <v>75.845689212226361</v>
      </c>
      <c r="P298" s="47">
        <f t="shared" si="57"/>
        <v>0</v>
      </c>
      <c r="Q298" s="55">
        <f t="shared" si="63"/>
        <v>0</v>
      </c>
      <c r="R298" s="144">
        <f t="shared" si="58"/>
        <v>75.845689212226361</v>
      </c>
      <c r="S298" s="124">
        <f t="shared" si="59"/>
        <v>-5.1543107877736389</v>
      </c>
      <c r="T298" s="143">
        <f t="shared" si="62"/>
        <v>0</v>
      </c>
      <c r="V298" s="12"/>
    </row>
    <row r="299" spans="1:22" x14ac:dyDescent="0.25">
      <c r="A299" s="49">
        <f>'A) Base RI'!A299</f>
        <v>5922</v>
      </c>
      <c r="B299" s="341" t="str">
        <f>'A) Base RI'!B299</f>
        <v>Montagny-près-Yverdon</v>
      </c>
      <c r="C299" s="489">
        <v>595611.29743304325</v>
      </c>
      <c r="D299" s="489">
        <v>512108.23649593937</v>
      </c>
      <c r="E299" s="490">
        <v>0</v>
      </c>
      <c r="F299" s="490">
        <v>0</v>
      </c>
      <c r="G299" s="490">
        <v>0</v>
      </c>
      <c r="H299" s="487">
        <f t="shared" si="60"/>
        <v>1107719.5339289827</v>
      </c>
      <c r="I299" s="490">
        <v>33326.398149606292</v>
      </c>
      <c r="J299" s="345">
        <f>'B) D RI'!U299</f>
        <v>39614.024961240313</v>
      </c>
      <c r="K299" s="62">
        <f t="shared" si="61"/>
        <v>33.238501471304929</v>
      </c>
      <c r="L299" s="33">
        <f>'B) D RI'!S299</f>
        <v>64.5</v>
      </c>
      <c r="M299" s="433">
        <f t="shared" si="64"/>
        <v>31.261498528695071</v>
      </c>
      <c r="N299" s="428">
        <f>+'J) Plafonnement effort'!H298+'J) Plafonnement effort'!I298-'K) Plafonnement aide'!I298</f>
        <v>25.352746216656442</v>
      </c>
      <c r="O299" s="144">
        <f t="shared" si="56"/>
        <v>56.614244745351513</v>
      </c>
      <c r="P299" s="47">
        <f t="shared" si="57"/>
        <v>0</v>
      </c>
      <c r="Q299" s="55">
        <f t="shared" si="63"/>
        <v>0</v>
      </c>
      <c r="R299" s="144">
        <f t="shared" si="58"/>
        <v>56.614244745351513</v>
      </c>
      <c r="S299" s="124">
        <f t="shared" si="59"/>
        <v>-7.8857552546484868</v>
      </c>
      <c r="T299" s="143">
        <f t="shared" si="62"/>
        <v>0</v>
      </c>
      <c r="V299" s="12"/>
    </row>
    <row r="300" spans="1:22" x14ac:dyDescent="0.25">
      <c r="A300" s="49">
        <f>'A) Base RI'!A300</f>
        <v>5923</v>
      </c>
      <c r="B300" s="341" t="str">
        <f>'A) Base RI'!B300</f>
        <v>Oppens</v>
      </c>
      <c r="C300" s="489">
        <v>80930.517195535154</v>
      </c>
      <c r="D300" s="489">
        <v>-61480.008228410006</v>
      </c>
      <c r="E300" s="490">
        <v>0</v>
      </c>
      <c r="F300" s="490">
        <v>0</v>
      </c>
      <c r="G300" s="490">
        <v>0</v>
      </c>
      <c r="H300" s="487">
        <f t="shared" si="60"/>
        <v>19450.508967125148</v>
      </c>
      <c r="I300" s="490">
        <v>4799.240617283951</v>
      </c>
      <c r="J300" s="345">
        <f>'B) D RI'!U300</f>
        <v>5094.8359259259259</v>
      </c>
      <c r="K300" s="62">
        <f t="shared" si="61"/>
        <v>4.0528305451233733</v>
      </c>
      <c r="L300" s="33">
        <f>'B) D RI'!S300</f>
        <v>81</v>
      </c>
      <c r="M300" s="433">
        <f t="shared" si="64"/>
        <v>76.947169454876629</v>
      </c>
      <c r="N300" s="428">
        <f>+'J) Plafonnement effort'!H299+'J) Plafonnement effort'!I299-'K) Plafonnement aide'!I299</f>
        <v>-5.160642153217184</v>
      </c>
      <c r="O300" s="144">
        <f t="shared" si="56"/>
        <v>71.786527301659447</v>
      </c>
      <c r="P300" s="47">
        <f t="shared" si="57"/>
        <v>0</v>
      </c>
      <c r="Q300" s="55">
        <f t="shared" si="63"/>
        <v>0</v>
      </c>
      <c r="R300" s="144">
        <f t="shared" si="58"/>
        <v>71.786527301659447</v>
      </c>
      <c r="S300" s="124">
        <f t="shared" si="59"/>
        <v>-9.2134726983405528</v>
      </c>
      <c r="T300" s="143">
        <f t="shared" si="62"/>
        <v>0</v>
      </c>
      <c r="V300" s="12"/>
    </row>
    <row r="301" spans="1:22" x14ac:dyDescent="0.25">
      <c r="A301" s="49">
        <f>'A) Base RI'!A301</f>
        <v>5924</v>
      </c>
      <c r="B301" s="341" t="str">
        <f>'A) Base RI'!B301</f>
        <v>Orges</v>
      </c>
      <c r="C301" s="489">
        <v>258680.33439885534</v>
      </c>
      <c r="D301" s="489">
        <v>109701.33607252175</v>
      </c>
      <c r="E301" s="490">
        <v>0</v>
      </c>
      <c r="F301" s="490">
        <v>0</v>
      </c>
      <c r="G301" s="490">
        <v>0</v>
      </c>
      <c r="H301" s="487">
        <f t="shared" si="60"/>
        <v>368381.67047137709</v>
      </c>
      <c r="I301" s="490">
        <v>12525.425270270271</v>
      </c>
      <c r="J301" s="345">
        <f>'B) D RI'!U301</f>
        <v>13110.169864864867</v>
      </c>
      <c r="K301" s="62">
        <f t="shared" si="61"/>
        <v>29.410711614379242</v>
      </c>
      <c r="L301" s="33">
        <f>'B) D RI'!S301</f>
        <v>74</v>
      </c>
      <c r="M301" s="433">
        <f t="shared" si="64"/>
        <v>44.589288385620762</v>
      </c>
      <c r="N301" s="428">
        <f>+'J) Plafonnement effort'!H300+'J) Plafonnement effort'!I300-'K) Plafonnement aide'!I300</f>
        <v>17.356394588333973</v>
      </c>
      <c r="O301" s="144">
        <f t="shared" si="56"/>
        <v>61.945682973954732</v>
      </c>
      <c r="P301" s="47">
        <f t="shared" si="57"/>
        <v>0</v>
      </c>
      <c r="Q301" s="55">
        <f t="shared" si="63"/>
        <v>0</v>
      </c>
      <c r="R301" s="144">
        <f t="shared" si="58"/>
        <v>61.945682973954732</v>
      </c>
      <c r="S301" s="124">
        <f t="shared" si="59"/>
        <v>-12.054317026045268</v>
      </c>
      <c r="T301" s="143">
        <f t="shared" si="62"/>
        <v>0</v>
      </c>
      <c r="V301" s="12"/>
    </row>
    <row r="302" spans="1:22" x14ac:dyDescent="0.25">
      <c r="A302" s="49">
        <f>'A) Base RI'!A302</f>
        <v>5925</v>
      </c>
      <c r="B302" s="341" t="str">
        <f>'A) Base RI'!B302</f>
        <v>Orzens</v>
      </c>
      <c r="C302" s="489">
        <v>147916.48274931667</v>
      </c>
      <c r="D302" s="489">
        <v>-7461.9568638282944</v>
      </c>
      <c r="E302" s="490">
        <v>0</v>
      </c>
      <c r="F302" s="490">
        <v>0</v>
      </c>
      <c r="G302" s="490">
        <v>0</v>
      </c>
      <c r="H302" s="487">
        <f t="shared" si="60"/>
        <v>140454.52588548837</v>
      </c>
      <c r="I302" s="490">
        <v>5879.4616455696196</v>
      </c>
      <c r="J302" s="345">
        <f>'B) D RI'!U302</f>
        <v>5230.5868354430377</v>
      </c>
      <c r="K302" s="62">
        <f t="shared" si="61"/>
        <v>23.889011333431487</v>
      </c>
      <c r="L302" s="33">
        <f>'B) D RI'!S302</f>
        <v>79</v>
      </c>
      <c r="M302" s="433">
        <f t="shared" si="64"/>
        <v>55.110988666568517</v>
      </c>
      <c r="N302" s="428">
        <f>+'J) Plafonnement effort'!H301+'J) Plafonnement effort'!I301-'K) Plafonnement aide'!I301</f>
        <v>2.491558989999195</v>
      </c>
      <c r="O302" s="144">
        <f t="shared" si="56"/>
        <v>57.602547656567708</v>
      </c>
      <c r="P302" s="47">
        <f t="shared" si="57"/>
        <v>0</v>
      </c>
      <c r="Q302" s="55">
        <f t="shared" si="63"/>
        <v>0</v>
      </c>
      <c r="R302" s="144">
        <f t="shared" si="58"/>
        <v>57.602547656567708</v>
      </c>
      <c r="S302" s="124">
        <f t="shared" si="59"/>
        <v>-21.397452343432292</v>
      </c>
      <c r="T302" s="143">
        <f t="shared" si="62"/>
        <v>0</v>
      </c>
      <c r="V302" s="12"/>
    </row>
    <row r="303" spans="1:22" x14ac:dyDescent="0.25">
      <c r="A303" s="49">
        <f>'A) Base RI'!A303</f>
        <v>5926</v>
      </c>
      <c r="B303" s="341" t="str">
        <f>'A) Base RI'!B303</f>
        <v>Pomy</v>
      </c>
      <c r="C303" s="489">
        <v>458630.83439351013</v>
      </c>
      <c r="D303" s="489">
        <v>195942.91969142616</v>
      </c>
      <c r="E303" s="490">
        <v>0</v>
      </c>
      <c r="F303" s="490">
        <v>0</v>
      </c>
      <c r="G303" s="490">
        <v>0</v>
      </c>
      <c r="H303" s="487">
        <f t="shared" si="60"/>
        <v>654573.75408493634</v>
      </c>
      <c r="I303" s="490">
        <v>27363.186197183099</v>
      </c>
      <c r="J303" s="345">
        <f>'B) D RI'!U303</f>
        <v>27875.103943661972</v>
      </c>
      <c r="K303" s="62">
        <f t="shared" si="61"/>
        <v>23.921693525307422</v>
      </c>
      <c r="L303" s="33">
        <f>'B) D RI'!S303</f>
        <v>71</v>
      </c>
      <c r="M303" s="433">
        <f t="shared" si="64"/>
        <v>47.078306474692582</v>
      </c>
      <c r="N303" s="428">
        <f>+'J) Plafonnement effort'!H302+'J) Plafonnement effort'!I302-'K) Plafonnement aide'!I302</f>
        <v>16.331446763185113</v>
      </c>
      <c r="O303" s="144">
        <f t="shared" si="56"/>
        <v>63.409753237877695</v>
      </c>
      <c r="P303" s="47">
        <f t="shared" si="57"/>
        <v>0</v>
      </c>
      <c r="Q303" s="55">
        <f t="shared" si="63"/>
        <v>0</v>
      </c>
      <c r="R303" s="144">
        <f t="shared" si="58"/>
        <v>63.409753237877695</v>
      </c>
      <c r="S303" s="124">
        <f t="shared" si="59"/>
        <v>-7.5902467621223053</v>
      </c>
      <c r="T303" s="143">
        <f t="shared" si="62"/>
        <v>0</v>
      </c>
      <c r="V303" s="12"/>
    </row>
    <row r="304" spans="1:22" x14ac:dyDescent="0.25">
      <c r="A304" s="49">
        <f>'A) Base RI'!A304</f>
        <v>5928</v>
      </c>
      <c r="B304" s="341" t="str">
        <f>'A) Base RI'!B304</f>
        <v>Rovray</v>
      </c>
      <c r="C304" s="489">
        <v>79151.613067974205</v>
      </c>
      <c r="D304" s="489">
        <v>-6116.9282869371673</v>
      </c>
      <c r="E304" s="490">
        <v>0</v>
      </c>
      <c r="F304" s="490">
        <v>0</v>
      </c>
      <c r="G304" s="490">
        <v>0</v>
      </c>
      <c r="H304" s="487">
        <f t="shared" si="60"/>
        <v>73034.684781037038</v>
      </c>
      <c r="I304" s="490">
        <v>5563.4060139860139</v>
      </c>
      <c r="J304" s="345">
        <f>'B) D RI'!U304</f>
        <v>5459.4606993006983</v>
      </c>
      <c r="K304" s="62">
        <f t="shared" si="61"/>
        <v>13.127692747470334</v>
      </c>
      <c r="L304" s="33">
        <f>'B) D RI'!S304</f>
        <v>71.5</v>
      </c>
      <c r="M304" s="433">
        <f t="shared" si="64"/>
        <v>58.372307252529666</v>
      </c>
      <c r="N304" s="428">
        <f>+'J) Plafonnement effort'!H303+'J) Plafonnement effort'!I303-'K) Plafonnement aide'!I303</f>
        <v>4.7877492281338547</v>
      </c>
      <c r="O304" s="144">
        <f t="shared" si="56"/>
        <v>63.160056480663521</v>
      </c>
      <c r="P304" s="47">
        <f t="shared" si="57"/>
        <v>0</v>
      </c>
      <c r="Q304" s="55">
        <f t="shared" si="63"/>
        <v>0</v>
      </c>
      <c r="R304" s="144">
        <f t="shared" si="58"/>
        <v>63.160056480663521</v>
      </c>
      <c r="S304" s="124">
        <f t="shared" si="59"/>
        <v>-8.3399435193364795</v>
      </c>
      <c r="T304" s="143">
        <f t="shared" si="62"/>
        <v>0</v>
      </c>
      <c r="V304" s="12"/>
    </row>
    <row r="305" spans="1:22" x14ac:dyDescent="0.25">
      <c r="A305" s="49">
        <f>'A) Base RI'!A305</f>
        <v>5929</v>
      </c>
      <c r="B305" s="341" t="str">
        <f>'A) Base RI'!B305</f>
        <v>Suchy</v>
      </c>
      <c r="C305" s="489">
        <v>315889.4733925421</v>
      </c>
      <c r="D305" s="489">
        <v>67213.2020961651</v>
      </c>
      <c r="E305" s="490">
        <v>0</v>
      </c>
      <c r="F305" s="490">
        <v>0</v>
      </c>
      <c r="G305" s="490">
        <v>0</v>
      </c>
      <c r="H305" s="487">
        <f t="shared" si="60"/>
        <v>383102.6754887072</v>
      </c>
      <c r="I305" s="490">
        <v>19827.403178571429</v>
      </c>
      <c r="J305" s="345">
        <f>'B) D RI'!U305</f>
        <v>20266.988392857143</v>
      </c>
      <c r="K305" s="62">
        <f t="shared" si="61"/>
        <v>19.321878515223187</v>
      </c>
      <c r="L305" s="33">
        <f>'B) D RI'!S305</f>
        <v>70</v>
      </c>
      <c r="M305" s="433">
        <f t="shared" si="64"/>
        <v>50.67812148477681</v>
      </c>
      <c r="N305" s="428">
        <f>+'J) Plafonnement effort'!H304+'J) Plafonnement effort'!I304-'K) Plafonnement aide'!I304</f>
        <v>13.992893615777088</v>
      </c>
      <c r="O305" s="144">
        <f t="shared" si="56"/>
        <v>64.671015100553902</v>
      </c>
      <c r="P305" s="47">
        <f t="shared" si="57"/>
        <v>0</v>
      </c>
      <c r="Q305" s="55">
        <f t="shared" si="63"/>
        <v>0</v>
      </c>
      <c r="R305" s="144">
        <f t="shared" si="58"/>
        <v>64.671015100553902</v>
      </c>
      <c r="S305" s="124">
        <f t="shared" si="59"/>
        <v>-5.3289848994460982</v>
      </c>
      <c r="T305" s="143">
        <f t="shared" si="62"/>
        <v>0</v>
      </c>
      <c r="V305" s="12"/>
    </row>
    <row r="306" spans="1:22" x14ac:dyDescent="0.25">
      <c r="A306" s="49">
        <f>'A) Base RI'!A306</f>
        <v>5930</v>
      </c>
      <c r="B306" s="341" t="str">
        <f>'A) Base RI'!B306</f>
        <v>Suscévaz</v>
      </c>
      <c r="C306" s="489">
        <v>80463.100363701786</v>
      </c>
      <c r="D306" s="489">
        <v>878.10114950606658</v>
      </c>
      <c r="E306" s="490">
        <v>0</v>
      </c>
      <c r="F306" s="490">
        <v>0</v>
      </c>
      <c r="G306" s="490">
        <v>0</v>
      </c>
      <c r="H306" s="487">
        <f t="shared" si="60"/>
        <v>81341.201513207852</v>
      </c>
      <c r="I306" s="490">
        <v>5769.1548611111102</v>
      </c>
      <c r="J306" s="345">
        <f>'B) D RI'!U306</f>
        <v>6661.8138888888889</v>
      </c>
      <c r="K306" s="62">
        <f t="shared" si="61"/>
        <v>14.099327106213604</v>
      </c>
      <c r="L306" s="33">
        <f>'B) D RI'!S306</f>
        <v>72</v>
      </c>
      <c r="M306" s="433">
        <f t="shared" si="64"/>
        <v>57.900672893786393</v>
      </c>
      <c r="N306" s="428">
        <f>+'J) Plafonnement effort'!H305+'J) Plafonnement effort'!I305-'K) Plafonnement aide'!I305</f>
        <v>10.998604412870847</v>
      </c>
      <c r="O306" s="144">
        <f t="shared" si="56"/>
        <v>68.89927730665724</v>
      </c>
      <c r="P306" s="47">
        <f t="shared" si="57"/>
        <v>0</v>
      </c>
      <c r="Q306" s="55">
        <f t="shared" si="63"/>
        <v>0</v>
      </c>
      <c r="R306" s="144">
        <f t="shared" si="58"/>
        <v>68.89927730665724</v>
      </c>
      <c r="S306" s="124">
        <f t="shared" si="59"/>
        <v>-3.1007226933427603</v>
      </c>
      <c r="T306" s="143">
        <f t="shared" si="62"/>
        <v>0</v>
      </c>
      <c r="V306" s="12"/>
    </row>
    <row r="307" spans="1:22" x14ac:dyDescent="0.25">
      <c r="A307" s="49">
        <f>'A) Base RI'!A307</f>
        <v>5931</v>
      </c>
      <c r="B307" s="341" t="str">
        <f>'A) Base RI'!B307</f>
        <v>Treycovagnes</v>
      </c>
      <c r="C307" s="489">
        <v>255631.51899390438</v>
      </c>
      <c r="D307" s="489">
        <v>54617.373968322441</v>
      </c>
      <c r="E307" s="490">
        <v>0</v>
      </c>
      <c r="F307" s="490">
        <v>0</v>
      </c>
      <c r="G307" s="490">
        <v>0</v>
      </c>
      <c r="H307" s="487">
        <f t="shared" si="60"/>
        <v>310248.89296222682</v>
      </c>
      <c r="I307" s="490">
        <v>15383.603066666663</v>
      </c>
      <c r="J307" s="345">
        <f>'B) D RI'!U307</f>
        <v>15271.093466666664</v>
      </c>
      <c r="K307" s="62">
        <f t="shared" si="61"/>
        <v>20.167505077823872</v>
      </c>
      <c r="L307" s="33">
        <f>'B) D RI'!S307</f>
        <v>75</v>
      </c>
      <c r="M307" s="433">
        <f t="shared" si="64"/>
        <v>54.832494922176124</v>
      </c>
      <c r="N307" s="428">
        <f>+'J) Plafonnement effort'!H306+'J) Plafonnement effort'!I306-'K) Plafonnement aide'!I306</f>
        <v>10.375962708560058</v>
      </c>
      <c r="O307" s="144">
        <f t="shared" si="56"/>
        <v>65.208457630736177</v>
      </c>
      <c r="P307" s="47">
        <f t="shared" si="57"/>
        <v>0</v>
      </c>
      <c r="Q307" s="55">
        <f t="shared" si="63"/>
        <v>0</v>
      </c>
      <c r="R307" s="144">
        <f t="shared" si="58"/>
        <v>65.208457630736177</v>
      </c>
      <c r="S307" s="124">
        <f t="shared" si="59"/>
        <v>-9.7915423692638228</v>
      </c>
      <c r="T307" s="143">
        <f t="shared" si="62"/>
        <v>0</v>
      </c>
      <c r="V307" s="12"/>
    </row>
    <row r="308" spans="1:22" x14ac:dyDescent="0.25">
      <c r="A308" s="49">
        <f>'A) Base RI'!A308</f>
        <v>5932</v>
      </c>
      <c r="B308" s="341" t="str">
        <f>'A) Base RI'!B308</f>
        <v>Ursins</v>
      </c>
      <c r="C308" s="489">
        <v>92132.458824076617</v>
      </c>
      <c r="D308" s="489">
        <v>-3648.2918458128843</v>
      </c>
      <c r="E308" s="490">
        <v>0</v>
      </c>
      <c r="F308" s="490">
        <v>0</v>
      </c>
      <c r="G308" s="490">
        <v>0</v>
      </c>
      <c r="H308" s="487">
        <f t="shared" si="60"/>
        <v>88484.166978263733</v>
      </c>
      <c r="I308" s="490">
        <v>6819.4023999999999</v>
      </c>
      <c r="J308" s="345">
        <f>'B) D RI'!U308</f>
        <v>7703.3244000000022</v>
      </c>
      <c r="K308" s="62">
        <f t="shared" si="61"/>
        <v>12.975354992728356</v>
      </c>
      <c r="L308" s="33">
        <f>'B) D RI'!S308</f>
        <v>75</v>
      </c>
      <c r="M308" s="433">
        <f t="shared" si="64"/>
        <v>62.024645007271644</v>
      </c>
      <c r="N308" s="428">
        <f>+'J) Plafonnement effort'!H307+'J) Plafonnement effort'!I307-'K) Plafonnement aide'!I307</f>
        <v>16.406624554732403</v>
      </c>
      <c r="O308" s="144">
        <f t="shared" si="56"/>
        <v>78.431269562004047</v>
      </c>
      <c r="P308" s="47">
        <f t="shared" si="57"/>
        <v>0</v>
      </c>
      <c r="Q308" s="55">
        <f t="shared" si="63"/>
        <v>0</v>
      </c>
      <c r="R308" s="144">
        <f t="shared" si="58"/>
        <v>78.431269562004047</v>
      </c>
      <c r="S308" s="124">
        <f t="shared" si="59"/>
        <v>3.4312695620040472</v>
      </c>
      <c r="T308" s="143">
        <f t="shared" si="62"/>
        <v>0</v>
      </c>
      <c r="V308" s="12"/>
    </row>
    <row r="309" spans="1:22" x14ac:dyDescent="0.25">
      <c r="A309" s="49">
        <f>'A) Base RI'!A309</f>
        <v>5933</v>
      </c>
      <c r="B309" s="341" t="str">
        <f>'A) Base RI'!B309</f>
        <v>Valeyres-sous-Montagny</v>
      </c>
      <c r="C309" s="489">
        <v>341788.30535290408</v>
      </c>
      <c r="D309" s="489">
        <v>108334.49224911636</v>
      </c>
      <c r="E309" s="490">
        <v>0</v>
      </c>
      <c r="F309" s="490">
        <v>0</v>
      </c>
      <c r="G309" s="490">
        <v>0</v>
      </c>
      <c r="H309" s="487">
        <f t="shared" si="60"/>
        <v>450122.79760202044</v>
      </c>
      <c r="I309" s="490">
        <v>22572.377872340428</v>
      </c>
      <c r="J309" s="345">
        <f>'B) D RI'!U309</f>
        <v>19607.073049645387</v>
      </c>
      <c r="K309" s="62">
        <f t="shared" si="61"/>
        <v>19.941310576480671</v>
      </c>
      <c r="L309" s="33">
        <f>'B) D RI'!S309</f>
        <v>70.5</v>
      </c>
      <c r="M309" s="433">
        <f t="shared" si="64"/>
        <v>50.558689423519326</v>
      </c>
      <c r="N309" s="428">
        <f>+'J) Plafonnement effort'!H308+'J) Plafonnement effort'!I308-'K) Plafonnement aide'!I308</f>
        <v>-10.583741012874569</v>
      </c>
      <c r="O309" s="144">
        <f t="shared" si="56"/>
        <v>39.974948410644757</v>
      </c>
      <c r="P309" s="47">
        <f t="shared" si="57"/>
        <v>0</v>
      </c>
      <c r="Q309" s="55">
        <f t="shared" si="63"/>
        <v>0</v>
      </c>
      <c r="R309" s="144">
        <f t="shared" si="58"/>
        <v>39.974948410644757</v>
      </c>
      <c r="S309" s="124">
        <f t="shared" si="59"/>
        <v>-30.525051589355243</v>
      </c>
      <c r="T309" s="143">
        <f t="shared" si="62"/>
        <v>0</v>
      </c>
      <c r="V309" s="12"/>
    </row>
    <row r="310" spans="1:22" x14ac:dyDescent="0.25">
      <c r="A310" s="49">
        <f>'A) Base RI'!A310</f>
        <v>5934</v>
      </c>
      <c r="B310" s="341" t="str">
        <f>'A) Base RI'!B310</f>
        <v>Valeyres-sous-Ursins</v>
      </c>
      <c r="C310" s="489">
        <v>120246.27005516621</v>
      </c>
      <c r="D310" s="489">
        <v>14386.855299966803</v>
      </c>
      <c r="E310" s="490">
        <v>0</v>
      </c>
      <c r="F310" s="490">
        <v>0</v>
      </c>
      <c r="G310" s="490">
        <v>0</v>
      </c>
      <c r="H310" s="487">
        <f t="shared" si="60"/>
        <v>134633.12535513303</v>
      </c>
      <c r="I310" s="490">
        <v>7577.3788607594925</v>
      </c>
      <c r="J310" s="345">
        <f>'B) D RI'!U310</f>
        <v>7018.283636363637</v>
      </c>
      <c r="K310" s="62">
        <f t="shared" si="61"/>
        <v>17.767770073151461</v>
      </c>
      <c r="L310" s="33">
        <f>'B) D RI'!S310</f>
        <v>77</v>
      </c>
      <c r="M310" s="433">
        <f t="shared" si="64"/>
        <v>59.232229926848539</v>
      </c>
      <c r="N310" s="428">
        <f>+'J) Plafonnement effort'!H309+'J) Plafonnement effort'!I309-'K) Plafonnement aide'!I309</f>
        <v>8.7774652510446209</v>
      </c>
      <c r="O310" s="144">
        <f t="shared" si="56"/>
        <v>68.009695177893164</v>
      </c>
      <c r="P310" s="47">
        <f t="shared" si="57"/>
        <v>0</v>
      </c>
      <c r="Q310" s="55">
        <f t="shared" si="63"/>
        <v>0</v>
      </c>
      <c r="R310" s="144">
        <f t="shared" si="58"/>
        <v>68.009695177893164</v>
      </c>
      <c r="S310" s="124">
        <f t="shared" si="59"/>
        <v>-8.990304822106836</v>
      </c>
      <c r="T310" s="143">
        <f t="shared" si="62"/>
        <v>0</v>
      </c>
      <c r="V310" s="12"/>
    </row>
    <row r="311" spans="1:22" x14ac:dyDescent="0.25">
      <c r="A311" s="49">
        <f>'A) Base RI'!A311</f>
        <v>5935</v>
      </c>
      <c r="B311" s="341" t="str">
        <f>'A) Base RI'!B311</f>
        <v>Villars-Epeney</v>
      </c>
      <c r="C311" s="489">
        <v>67493.227501143469</v>
      </c>
      <c r="D311" s="489">
        <v>49225.439088657469</v>
      </c>
      <c r="E311" s="490">
        <v>0</v>
      </c>
      <c r="F311" s="490">
        <v>0</v>
      </c>
      <c r="G311" s="490">
        <v>0</v>
      </c>
      <c r="H311" s="487">
        <f t="shared" si="60"/>
        <v>116718.66658980094</v>
      </c>
      <c r="I311" s="490">
        <v>3928.2205000000004</v>
      </c>
      <c r="J311" s="345">
        <f>'B) D RI'!U311</f>
        <v>3448.2304999999997</v>
      </c>
      <c r="K311" s="62">
        <f t="shared" si="61"/>
        <v>29.712860209807705</v>
      </c>
      <c r="L311" s="33">
        <f>'B) D RI'!S311</f>
        <v>60</v>
      </c>
      <c r="M311" s="433">
        <f t="shared" si="64"/>
        <v>30.287139790192295</v>
      </c>
      <c r="N311" s="428">
        <f>+'J) Plafonnement effort'!H310+'J) Plafonnement effort'!I310-'K) Plafonnement aide'!I310</f>
        <v>19.753515169247255</v>
      </c>
      <c r="O311" s="144">
        <f t="shared" si="56"/>
        <v>50.04065495943955</v>
      </c>
      <c r="P311" s="47">
        <f t="shared" si="57"/>
        <v>0</v>
      </c>
      <c r="Q311" s="55">
        <f t="shared" si="63"/>
        <v>0</v>
      </c>
      <c r="R311" s="144">
        <f t="shared" si="58"/>
        <v>50.04065495943955</v>
      </c>
      <c r="S311" s="124">
        <f t="shared" si="59"/>
        <v>-9.95934504056045</v>
      </c>
      <c r="T311" s="143">
        <f t="shared" si="62"/>
        <v>0</v>
      </c>
      <c r="V311" s="12"/>
    </row>
    <row r="312" spans="1:22" x14ac:dyDescent="0.25">
      <c r="A312" s="49">
        <f>'A) Base RI'!A312</f>
        <v>5937</v>
      </c>
      <c r="B312" s="341" t="str">
        <f>'A) Base RI'!B312</f>
        <v>Vugelles-La Mothe</v>
      </c>
      <c r="C312" s="489">
        <v>51103.735195972142</v>
      </c>
      <c r="D312" s="489">
        <v>-24035.856254813014</v>
      </c>
      <c r="E312" s="490">
        <v>0</v>
      </c>
      <c r="F312" s="490">
        <v>0</v>
      </c>
      <c r="G312" s="490">
        <v>0</v>
      </c>
      <c r="H312" s="487">
        <f t="shared" si="60"/>
        <v>27067.878941159128</v>
      </c>
      <c r="I312" s="490">
        <v>3187.6957755102044</v>
      </c>
      <c r="J312" s="345">
        <f>'B) D RI'!U312</f>
        <v>3479.7743061224487</v>
      </c>
      <c r="K312" s="62">
        <f t="shared" si="61"/>
        <v>8.4913620518968109</v>
      </c>
      <c r="L312" s="33">
        <f>'B) D RI'!S312</f>
        <v>70</v>
      </c>
      <c r="M312" s="433">
        <f t="shared" si="64"/>
        <v>61.508637948103186</v>
      </c>
      <c r="N312" s="428">
        <f>+'J) Plafonnement effort'!H311+'J) Plafonnement effort'!I311-'K) Plafonnement aide'!I311</f>
        <v>1.1826753939512638</v>
      </c>
      <c r="O312" s="144">
        <f t="shared" si="56"/>
        <v>62.69131334205445</v>
      </c>
      <c r="P312" s="47">
        <f t="shared" si="57"/>
        <v>0</v>
      </c>
      <c r="Q312" s="55">
        <f t="shared" si="63"/>
        <v>0</v>
      </c>
      <c r="R312" s="144">
        <f t="shared" si="58"/>
        <v>62.69131334205445</v>
      </c>
      <c r="S312" s="124">
        <f t="shared" si="59"/>
        <v>-7.3086866579455503</v>
      </c>
      <c r="T312" s="143">
        <f t="shared" si="62"/>
        <v>0</v>
      </c>
      <c r="V312" s="12"/>
    </row>
    <row r="313" spans="1:22" x14ac:dyDescent="0.25">
      <c r="A313" s="49">
        <f>'A) Base RI'!A313</f>
        <v>5938</v>
      </c>
      <c r="B313" s="341" t="str">
        <f>'A) Base RI'!B313</f>
        <v>Yverdon-les-Bains</v>
      </c>
      <c r="C313" s="489">
        <v>14154546.090809014</v>
      </c>
      <c r="D313" s="489">
        <v>-24649826.468754783</v>
      </c>
      <c r="E313" s="490">
        <v>4122869.1619457733</v>
      </c>
      <c r="F313" s="490">
        <v>0</v>
      </c>
      <c r="G313" s="490">
        <v>0</v>
      </c>
      <c r="H313" s="487">
        <f t="shared" si="60"/>
        <v>-6372411.2159999963</v>
      </c>
      <c r="I313" s="490">
        <v>796551.402</v>
      </c>
      <c r="J313" s="345">
        <f>'B) D RI'!U313</f>
        <v>762770.29813333345</v>
      </c>
      <c r="K313" s="62">
        <f t="shared" si="61"/>
        <v>-7.9999999999999956</v>
      </c>
      <c r="L313" s="33">
        <f>'B) D RI'!S313</f>
        <v>75</v>
      </c>
      <c r="M313" s="433">
        <f t="shared" si="64"/>
        <v>83</v>
      </c>
      <c r="N313" s="428">
        <f>+'J) Plafonnement effort'!H312+'J) Plafonnement effort'!I312-'K) Plafonnement aide'!I312</f>
        <v>-26.802709972187422</v>
      </c>
      <c r="O313" s="144">
        <f t="shared" si="56"/>
        <v>56.197290027812578</v>
      </c>
      <c r="P313" s="47">
        <f t="shared" si="57"/>
        <v>0</v>
      </c>
      <c r="Q313" s="55">
        <f t="shared" si="63"/>
        <v>0</v>
      </c>
      <c r="R313" s="144">
        <f t="shared" si="58"/>
        <v>56.197290027812578</v>
      </c>
      <c r="S313" s="124">
        <f t="shared" si="59"/>
        <v>-18.802709972187422</v>
      </c>
      <c r="T313" s="143">
        <f t="shared" si="62"/>
        <v>0</v>
      </c>
      <c r="V313" s="12"/>
    </row>
    <row r="314" spans="1:22" x14ac:dyDescent="0.25">
      <c r="A314" s="50">
        <f>'A) Base RI'!A314</f>
        <v>5939</v>
      </c>
      <c r="B314" s="342" t="str">
        <f>'A) Base RI'!B314</f>
        <v>Yvonand</v>
      </c>
      <c r="C314" s="489">
        <v>1614820.7107145288</v>
      </c>
      <c r="D314" s="489">
        <v>-789934.79994163336</v>
      </c>
      <c r="E314" s="490">
        <v>0</v>
      </c>
      <c r="F314" s="490">
        <v>0</v>
      </c>
      <c r="G314" s="490">
        <v>0</v>
      </c>
      <c r="H314" s="487">
        <f t="shared" si="60"/>
        <v>824885.91077289544</v>
      </c>
      <c r="I314" s="490">
        <v>92890.042937062928</v>
      </c>
      <c r="J314" s="346">
        <f>'B) D RI'!U314</f>
        <v>105336.86867132869</v>
      </c>
      <c r="K314" s="62">
        <f t="shared" si="61"/>
        <v>8.880240386278988</v>
      </c>
      <c r="L314" s="88">
        <f>'B) D RI'!S314</f>
        <v>71.5</v>
      </c>
      <c r="M314" s="436">
        <f t="shared" si="64"/>
        <v>62.619759613721016</v>
      </c>
      <c r="N314" s="429">
        <f>+'J) Plafonnement effort'!H313+'J) Plafonnement effort'!I313-'K) Plafonnement aide'!I313</f>
        <v>3.7759134259869711</v>
      </c>
      <c r="O314" s="145">
        <f t="shared" si="56"/>
        <v>66.395673039707987</v>
      </c>
      <c r="P314" s="47">
        <f t="shared" si="57"/>
        <v>0</v>
      </c>
      <c r="Q314" s="55">
        <f t="shared" si="63"/>
        <v>0</v>
      </c>
      <c r="R314" s="145">
        <f t="shared" si="58"/>
        <v>66.395673039707987</v>
      </c>
      <c r="S314" s="126">
        <f t="shared" si="59"/>
        <v>-5.1043269602920134</v>
      </c>
      <c r="T314" s="143">
        <f t="shared" si="62"/>
        <v>0</v>
      </c>
      <c r="V314" s="12"/>
    </row>
    <row r="315" spans="1:22" x14ac:dyDescent="0.25">
      <c r="A315" s="30"/>
      <c r="B315" s="117">
        <f>COUNTA(B7:B314)</f>
        <v>308</v>
      </c>
      <c r="C315" s="491">
        <f>SUM(C7:C314)</f>
        <v>844273246.0000006</v>
      </c>
      <c r="D315" s="492">
        <f t="shared" ref="D315:J315" si="65">SUM(D7:D314)</f>
        <v>175267699.01716468</v>
      </c>
      <c r="E315" s="492">
        <f t="shared" si="65"/>
        <v>7174574.3002752736</v>
      </c>
      <c r="F315" s="492">
        <f t="shared" si="65"/>
        <v>-21696675.101369523</v>
      </c>
      <c r="G315" s="492">
        <f t="shared" si="65"/>
        <v>-99094.469572776216</v>
      </c>
      <c r="H315" s="488">
        <f t="shared" si="65"/>
        <v>1004919749.7464979</v>
      </c>
      <c r="I315" s="493">
        <f t="shared" si="65"/>
        <v>39272473.833379671</v>
      </c>
      <c r="J315" s="96">
        <f t="shared" si="65"/>
        <v>39865815.115802124</v>
      </c>
      <c r="K315" s="59">
        <f>H315/I315</f>
        <v>25.588399498591443</v>
      </c>
      <c r="L315" s="19">
        <f>'B) D RI'!S315</f>
        <v>67.601348705527727</v>
      </c>
      <c r="M315" s="19"/>
      <c r="N315" s="429">
        <f>SUM(N7:N314)</f>
        <v>4050.5663098194013</v>
      </c>
      <c r="O315" s="97"/>
      <c r="P315" s="113"/>
      <c r="Q315" s="37">
        <f>SUM(Q7:Q314)</f>
        <v>0</v>
      </c>
      <c r="R315" s="116"/>
      <c r="S315" s="97"/>
      <c r="T315" s="147"/>
    </row>
    <row r="316" spans="1:22" x14ac:dyDescent="0.25">
      <c r="T316" s="22"/>
    </row>
    <row r="317" spans="1:22" s="6" customFormat="1" x14ac:dyDescent="0.25">
      <c r="K317" s="274"/>
      <c r="N317" s="15"/>
    </row>
    <row r="320" spans="1:22" s="6" customFormat="1" x14ac:dyDescent="0.25">
      <c r="K320" s="274"/>
      <c r="M320" s="274"/>
      <c r="N320" s="15"/>
      <c r="O320" s="274"/>
      <c r="P320" s="274"/>
    </row>
  </sheetData>
  <mergeCells count="17">
    <mergeCell ref="C4:I4"/>
    <mergeCell ref="C5:C6"/>
    <mergeCell ref="B5:B6"/>
    <mergeCell ref="A5:A6"/>
    <mergeCell ref="K5:K6"/>
    <mergeCell ref="E5:E6"/>
    <mergeCell ref="D5:D6"/>
    <mergeCell ref="S5:S6"/>
    <mergeCell ref="R5:R6"/>
    <mergeCell ref="Q5:Q6"/>
    <mergeCell ref="O5:O6"/>
    <mergeCell ref="N5:N6"/>
    <mergeCell ref="M5:M6"/>
    <mergeCell ref="L5:L6"/>
    <mergeCell ref="H5:H6"/>
    <mergeCell ref="G5:G6"/>
    <mergeCell ref="F5:F6"/>
  </mergeCells>
  <phoneticPr fontId="0" type="noConversion"/>
  <printOptions horizontalCentered="1"/>
  <pageMargins left="0" right="0" top="0" bottom="0" header="0.51181102362204722" footer="0.51181102362204722"/>
  <pageSetup paperSize="9" scale="63" orientation="landscape"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6">
    <tabColor rgb="FF00B050"/>
    <pageSetUpPr fitToPage="1"/>
  </sheetPr>
  <dimension ref="A1:U316"/>
  <sheetViews>
    <sheetView workbookViewId="0"/>
  </sheetViews>
  <sheetFormatPr baseColWidth="10" defaultColWidth="9.375" defaultRowHeight="15" x14ac:dyDescent="0.25"/>
  <cols>
    <col min="1" max="1" width="8.125" style="210" customWidth="1"/>
    <col min="2" max="2" width="17.875" style="210" bestFit="1" customWidth="1"/>
    <col min="3" max="3" width="11.5" style="210" customWidth="1"/>
    <col min="4" max="4" width="10.5" style="210" customWidth="1"/>
    <col min="5" max="5" width="5.625" style="210" bestFit="1" customWidth="1"/>
    <col min="6" max="6" width="12" style="210" bestFit="1" customWidth="1"/>
    <col min="7" max="7" width="16.625" style="210" customWidth="1"/>
    <col min="8" max="8" width="12" style="210" bestFit="1" customWidth="1"/>
    <col min="9" max="9" width="13.625" style="210" customWidth="1"/>
    <col min="10" max="10" width="11.375" style="210" bestFit="1" customWidth="1"/>
    <col min="11" max="11" width="20.5" style="210" customWidth="1"/>
    <col min="12" max="12" width="9.75" style="210" bestFit="1" customWidth="1"/>
    <col min="13" max="13" width="14.5" style="210" customWidth="1"/>
    <col min="14" max="14" width="10.75" style="210" bestFit="1" customWidth="1"/>
    <col min="15" max="15" width="13.125" style="212" customWidth="1"/>
    <col min="16" max="16" width="9.375" style="211"/>
    <col min="17" max="17" width="9.875" style="212" customWidth="1"/>
    <col min="18" max="18" width="11.75" style="212" bestFit="1" customWidth="1"/>
    <col min="19" max="21" width="9.375" style="211"/>
    <col min="22" max="248" width="9.375" style="210"/>
    <col min="249" max="249" width="5" style="210" customWidth="1"/>
    <col min="250" max="250" width="17.875" style="210" bestFit="1" customWidth="1"/>
    <col min="251" max="251" width="9.875" style="210" customWidth="1"/>
    <col min="252" max="252" width="8.875" style="210" customWidth="1"/>
    <col min="253" max="253" width="7.375" style="210" bestFit="1" customWidth="1"/>
    <col min="254" max="254" width="10.125" style="210" bestFit="1" customWidth="1"/>
    <col min="255" max="255" width="9.375" style="210"/>
    <col min="256" max="256" width="10.125" style="210" bestFit="1" customWidth="1"/>
    <col min="257" max="257" width="10.75" style="210" customWidth="1"/>
    <col min="258" max="260" width="9.375" style="210"/>
    <col min="261" max="262" width="10.75" style="210" customWidth="1"/>
    <col min="263" max="267" width="9.375" style="210"/>
    <col min="268" max="268" width="1.625" style="210" bestFit="1" customWidth="1"/>
    <col min="269" max="269" width="9.375" style="210"/>
    <col min="270" max="270" width="8.875" style="210" customWidth="1"/>
    <col min="271" max="271" width="13.125" style="210" customWidth="1"/>
    <col min="272" max="272" width="9.375" style="210"/>
    <col min="273" max="273" width="9.875" style="210" customWidth="1"/>
    <col min="274" max="274" width="11.75" style="210" bestFit="1" customWidth="1"/>
    <col min="275" max="504" width="9.375" style="210"/>
    <col min="505" max="505" width="5" style="210" customWidth="1"/>
    <col min="506" max="506" width="17.875" style="210" bestFit="1" customWidth="1"/>
    <col min="507" max="507" width="9.875" style="210" customWidth="1"/>
    <col min="508" max="508" width="8.875" style="210" customWidth="1"/>
    <col min="509" max="509" width="7.375" style="210" bestFit="1" customWidth="1"/>
    <col min="510" max="510" width="10.125" style="210" bestFit="1" customWidth="1"/>
    <col min="511" max="511" width="9.375" style="210"/>
    <col min="512" max="512" width="10.125" style="210" bestFit="1" customWidth="1"/>
    <col min="513" max="513" width="10.75" style="210" customWidth="1"/>
    <col min="514" max="516" width="9.375" style="210"/>
    <col min="517" max="518" width="10.75" style="210" customWidth="1"/>
    <col min="519" max="523" width="9.375" style="210"/>
    <col min="524" max="524" width="1.625" style="210" bestFit="1" customWidth="1"/>
    <col min="525" max="525" width="9.375" style="210"/>
    <col min="526" max="526" width="8.875" style="210" customWidth="1"/>
    <col min="527" max="527" width="13.125" style="210" customWidth="1"/>
    <col min="528" max="528" width="9.375" style="210"/>
    <col min="529" max="529" width="9.875" style="210" customWidth="1"/>
    <col min="530" max="530" width="11.75" style="210" bestFit="1" customWidth="1"/>
    <col min="531" max="760" width="9.375" style="210"/>
    <col min="761" max="761" width="5" style="210" customWidth="1"/>
    <col min="762" max="762" width="17.875" style="210" bestFit="1" customWidth="1"/>
    <col min="763" max="763" width="9.875" style="210" customWidth="1"/>
    <col min="764" max="764" width="8.875" style="210" customWidth="1"/>
    <col min="765" max="765" width="7.375" style="210" bestFit="1" customWidth="1"/>
    <col min="766" max="766" width="10.125" style="210" bestFit="1" customWidth="1"/>
    <col min="767" max="767" width="9.375" style="210"/>
    <col min="768" max="768" width="10.125" style="210" bestFit="1" customWidth="1"/>
    <col min="769" max="769" width="10.75" style="210" customWidth="1"/>
    <col min="770" max="772" width="9.375" style="210"/>
    <col min="773" max="774" width="10.75" style="210" customWidth="1"/>
    <col min="775" max="779" width="9.375" style="210"/>
    <col min="780" max="780" width="1.625" style="210" bestFit="1" customWidth="1"/>
    <col min="781" max="781" width="9.375" style="210"/>
    <col min="782" max="782" width="8.875" style="210" customWidth="1"/>
    <col min="783" max="783" width="13.125" style="210" customWidth="1"/>
    <col min="784" max="784" width="9.375" style="210"/>
    <col min="785" max="785" width="9.875" style="210" customWidth="1"/>
    <col min="786" max="786" width="11.75" style="210" bestFit="1" customWidth="1"/>
    <col min="787" max="1016" width="9.375" style="210"/>
    <col min="1017" max="1017" width="5" style="210" customWidth="1"/>
    <col min="1018" max="1018" width="17.875" style="210" bestFit="1" customWidth="1"/>
    <col min="1019" max="1019" width="9.875" style="210" customWidth="1"/>
    <col min="1020" max="1020" width="8.875" style="210" customWidth="1"/>
    <col min="1021" max="1021" width="7.375" style="210" bestFit="1" customWidth="1"/>
    <col min="1022" max="1022" width="10.125" style="210" bestFit="1" customWidth="1"/>
    <col min="1023" max="1023" width="9.375" style="210"/>
    <col min="1024" max="1024" width="10.125" style="210" bestFit="1" customWidth="1"/>
    <col min="1025" max="1025" width="10.75" style="210" customWidth="1"/>
    <col min="1026" max="1028" width="9.375" style="210"/>
    <col min="1029" max="1030" width="10.75" style="210" customWidth="1"/>
    <col min="1031" max="1035" width="9.375" style="210"/>
    <col min="1036" max="1036" width="1.625" style="210" bestFit="1" customWidth="1"/>
    <col min="1037" max="1037" width="9.375" style="210"/>
    <col min="1038" max="1038" width="8.875" style="210" customWidth="1"/>
    <col min="1039" max="1039" width="13.125" style="210" customWidth="1"/>
    <col min="1040" max="1040" width="9.375" style="210"/>
    <col min="1041" max="1041" width="9.875" style="210" customWidth="1"/>
    <col min="1042" max="1042" width="11.75" style="210" bestFit="1" customWidth="1"/>
    <col min="1043" max="1272" width="9.375" style="210"/>
    <col min="1273" max="1273" width="5" style="210" customWidth="1"/>
    <col min="1274" max="1274" width="17.875" style="210" bestFit="1" customWidth="1"/>
    <col min="1275" max="1275" width="9.875" style="210" customWidth="1"/>
    <col min="1276" max="1276" width="8.875" style="210" customWidth="1"/>
    <col min="1277" max="1277" width="7.375" style="210" bestFit="1" customWidth="1"/>
    <col min="1278" max="1278" width="10.125" style="210" bestFit="1" customWidth="1"/>
    <col min="1279" max="1279" width="9.375" style="210"/>
    <col min="1280" max="1280" width="10.125" style="210" bestFit="1" customWidth="1"/>
    <col min="1281" max="1281" width="10.75" style="210" customWidth="1"/>
    <col min="1282" max="1284" width="9.375" style="210"/>
    <col min="1285" max="1286" width="10.75" style="210" customWidth="1"/>
    <col min="1287" max="1291" width="9.375" style="210"/>
    <col min="1292" max="1292" width="1.625" style="210" bestFit="1" customWidth="1"/>
    <col min="1293" max="1293" width="9.375" style="210"/>
    <col min="1294" max="1294" width="8.875" style="210" customWidth="1"/>
    <col min="1295" max="1295" width="13.125" style="210" customWidth="1"/>
    <col min="1296" max="1296" width="9.375" style="210"/>
    <col min="1297" max="1297" width="9.875" style="210" customWidth="1"/>
    <col min="1298" max="1298" width="11.75" style="210" bestFit="1" customWidth="1"/>
    <col min="1299" max="1528" width="9.375" style="210"/>
    <col min="1529" max="1529" width="5" style="210" customWidth="1"/>
    <col min="1530" max="1530" width="17.875" style="210" bestFit="1" customWidth="1"/>
    <col min="1531" max="1531" width="9.875" style="210" customWidth="1"/>
    <col min="1532" max="1532" width="8.875" style="210" customWidth="1"/>
    <col min="1533" max="1533" width="7.375" style="210" bestFit="1" customWidth="1"/>
    <col min="1534" max="1534" width="10.125" style="210" bestFit="1" customWidth="1"/>
    <col min="1535" max="1535" width="9.375" style="210"/>
    <col min="1536" max="1536" width="10.125" style="210" bestFit="1" customWidth="1"/>
    <col min="1537" max="1537" width="10.75" style="210" customWidth="1"/>
    <col min="1538" max="1540" width="9.375" style="210"/>
    <col min="1541" max="1542" width="10.75" style="210" customWidth="1"/>
    <col min="1543" max="1547" width="9.375" style="210"/>
    <col min="1548" max="1548" width="1.625" style="210" bestFit="1" customWidth="1"/>
    <col min="1549" max="1549" width="9.375" style="210"/>
    <col min="1550" max="1550" width="8.875" style="210" customWidth="1"/>
    <col min="1551" max="1551" width="13.125" style="210" customWidth="1"/>
    <col min="1552" max="1552" width="9.375" style="210"/>
    <col min="1553" max="1553" width="9.875" style="210" customWidth="1"/>
    <col min="1554" max="1554" width="11.75" style="210" bestFit="1" customWidth="1"/>
    <col min="1555" max="1784" width="9.375" style="210"/>
    <col min="1785" max="1785" width="5" style="210" customWidth="1"/>
    <col min="1786" max="1786" width="17.875" style="210" bestFit="1" customWidth="1"/>
    <col min="1787" max="1787" width="9.875" style="210" customWidth="1"/>
    <col min="1788" max="1788" width="8.875" style="210" customWidth="1"/>
    <col min="1789" max="1789" width="7.375" style="210" bestFit="1" customWidth="1"/>
    <col min="1790" max="1790" width="10.125" style="210" bestFit="1" customWidth="1"/>
    <col min="1791" max="1791" width="9.375" style="210"/>
    <col min="1792" max="1792" width="10.125" style="210" bestFit="1" customWidth="1"/>
    <col min="1793" max="1793" width="10.75" style="210" customWidth="1"/>
    <col min="1794" max="1796" width="9.375" style="210"/>
    <col min="1797" max="1798" width="10.75" style="210" customWidth="1"/>
    <col min="1799" max="1803" width="9.375" style="210"/>
    <col min="1804" max="1804" width="1.625" style="210" bestFit="1" customWidth="1"/>
    <col min="1805" max="1805" width="9.375" style="210"/>
    <col min="1806" max="1806" width="8.875" style="210" customWidth="1"/>
    <col min="1807" max="1807" width="13.125" style="210" customWidth="1"/>
    <col min="1808" max="1808" width="9.375" style="210"/>
    <col min="1809" max="1809" width="9.875" style="210" customWidth="1"/>
    <col min="1810" max="1810" width="11.75" style="210" bestFit="1" customWidth="1"/>
    <col min="1811" max="2040" width="9.375" style="210"/>
    <col min="2041" max="2041" width="5" style="210" customWidth="1"/>
    <col min="2042" max="2042" width="17.875" style="210" bestFit="1" customWidth="1"/>
    <col min="2043" max="2043" width="9.875" style="210" customWidth="1"/>
    <col min="2044" max="2044" width="8.875" style="210" customWidth="1"/>
    <col min="2045" max="2045" width="7.375" style="210" bestFit="1" customWidth="1"/>
    <col min="2046" max="2046" width="10.125" style="210" bestFit="1" customWidth="1"/>
    <col min="2047" max="2047" width="9.375" style="210"/>
    <col min="2048" max="2048" width="10.125" style="210" bestFit="1" customWidth="1"/>
    <col min="2049" max="2049" width="10.75" style="210" customWidth="1"/>
    <col min="2050" max="2052" width="9.375" style="210"/>
    <col min="2053" max="2054" width="10.75" style="210" customWidth="1"/>
    <col min="2055" max="2059" width="9.375" style="210"/>
    <col min="2060" max="2060" width="1.625" style="210" bestFit="1" customWidth="1"/>
    <col min="2061" max="2061" width="9.375" style="210"/>
    <col min="2062" max="2062" width="8.875" style="210" customWidth="1"/>
    <col min="2063" max="2063" width="13.125" style="210" customWidth="1"/>
    <col min="2064" max="2064" width="9.375" style="210"/>
    <col min="2065" max="2065" width="9.875" style="210" customWidth="1"/>
    <col min="2066" max="2066" width="11.75" style="210" bestFit="1" customWidth="1"/>
    <col min="2067" max="2296" width="9.375" style="210"/>
    <col min="2297" max="2297" width="5" style="210" customWidth="1"/>
    <col min="2298" max="2298" width="17.875" style="210" bestFit="1" customWidth="1"/>
    <col min="2299" max="2299" width="9.875" style="210" customWidth="1"/>
    <col min="2300" max="2300" width="8.875" style="210" customWidth="1"/>
    <col min="2301" max="2301" width="7.375" style="210" bestFit="1" customWidth="1"/>
    <col min="2302" max="2302" width="10.125" style="210" bestFit="1" customWidth="1"/>
    <col min="2303" max="2303" width="9.375" style="210"/>
    <col min="2304" max="2304" width="10.125" style="210" bestFit="1" customWidth="1"/>
    <col min="2305" max="2305" width="10.75" style="210" customWidth="1"/>
    <col min="2306" max="2308" width="9.375" style="210"/>
    <col min="2309" max="2310" width="10.75" style="210" customWidth="1"/>
    <col min="2311" max="2315" width="9.375" style="210"/>
    <col min="2316" max="2316" width="1.625" style="210" bestFit="1" customWidth="1"/>
    <col min="2317" max="2317" width="9.375" style="210"/>
    <col min="2318" max="2318" width="8.875" style="210" customWidth="1"/>
    <col min="2319" max="2319" width="13.125" style="210" customWidth="1"/>
    <col min="2320" max="2320" width="9.375" style="210"/>
    <col min="2321" max="2321" width="9.875" style="210" customWidth="1"/>
    <col min="2322" max="2322" width="11.75" style="210" bestFit="1" customWidth="1"/>
    <col min="2323" max="2552" width="9.375" style="210"/>
    <col min="2553" max="2553" width="5" style="210" customWidth="1"/>
    <col min="2554" max="2554" width="17.875" style="210" bestFit="1" customWidth="1"/>
    <col min="2555" max="2555" width="9.875" style="210" customWidth="1"/>
    <col min="2556" max="2556" width="8.875" style="210" customWidth="1"/>
    <col min="2557" max="2557" width="7.375" style="210" bestFit="1" customWidth="1"/>
    <col min="2558" max="2558" width="10.125" style="210" bestFit="1" customWidth="1"/>
    <col min="2559" max="2559" width="9.375" style="210"/>
    <col min="2560" max="2560" width="10.125" style="210" bestFit="1" customWidth="1"/>
    <col min="2561" max="2561" width="10.75" style="210" customWidth="1"/>
    <col min="2562" max="2564" width="9.375" style="210"/>
    <col min="2565" max="2566" width="10.75" style="210" customWidth="1"/>
    <col min="2567" max="2571" width="9.375" style="210"/>
    <col min="2572" max="2572" width="1.625" style="210" bestFit="1" customWidth="1"/>
    <col min="2573" max="2573" width="9.375" style="210"/>
    <col min="2574" max="2574" width="8.875" style="210" customWidth="1"/>
    <col min="2575" max="2575" width="13.125" style="210" customWidth="1"/>
    <col min="2576" max="2576" width="9.375" style="210"/>
    <col min="2577" max="2577" width="9.875" style="210" customWidth="1"/>
    <col min="2578" max="2578" width="11.75" style="210" bestFit="1" customWidth="1"/>
    <col min="2579" max="2808" width="9.375" style="210"/>
    <col min="2809" max="2809" width="5" style="210" customWidth="1"/>
    <col min="2810" max="2810" width="17.875" style="210" bestFit="1" customWidth="1"/>
    <col min="2811" max="2811" width="9.875" style="210" customWidth="1"/>
    <col min="2812" max="2812" width="8.875" style="210" customWidth="1"/>
    <col min="2813" max="2813" width="7.375" style="210" bestFit="1" customWidth="1"/>
    <col min="2814" max="2814" width="10.125" style="210" bestFit="1" customWidth="1"/>
    <col min="2815" max="2815" width="9.375" style="210"/>
    <col min="2816" max="2816" width="10.125" style="210" bestFit="1" customWidth="1"/>
    <col min="2817" max="2817" width="10.75" style="210" customWidth="1"/>
    <col min="2818" max="2820" width="9.375" style="210"/>
    <col min="2821" max="2822" width="10.75" style="210" customWidth="1"/>
    <col min="2823" max="2827" width="9.375" style="210"/>
    <col min="2828" max="2828" width="1.625" style="210" bestFit="1" customWidth="1"/>
    <col min="2829" max="2829" width="9.375" style="210"/>
    <col min="2830" max="2830" width="8.875" style="210" customWidth="1"/>
    <col min="2831" max="2831" width="13.125" style="210" customWidth="1"/>
    <col min="2832" max="2832" width="9.375" style="210"/>
    <col min="2833" max="2833" width="9.875" style="210" customWidth="1"/>
    <col min="2834" max="2834" width="11.75" style="210" bestFit="1" customWidth="1"/>
    <col min="2835" max="3064" width="9.375" style="210"/>
    <col min="3065" max="3065" width="5" style="210" customWidth="1"/>
    <col min="3066" max="3066" width="17.875" style="210" bestFit="1" customWidth="1"/>
    <col min="3067" max="3067" width="9.875" style="210" customWidth="1"/>
    <col min="3068" max="3068" width="8.875" style="210" customWidth="1"/>
    <col min="3069" max="3069" width="7.375" style="210" bestFit="1" customWidth="1"/>
    <col min="3070" max="3070" width="10.125" style="210" bestFit="1" customWidth="1"/>
    <col min="3071" max="3071" width="9.375" style="210"/>
    <col min="3072" max="3072" width="10.125" style="210" bestFit="1" customWidth="1"/>
    <col min="3073" max="3073" width="10.75" style="210" customWidth="1"/>
    <col min="3074" max="3076" width="9.375" style="210"/>
    <col min="3077" max="3078" width="10.75" style="210" customWidth="1"/>
    <col min="3079" max="3083" width="9.375" style="210"/>
    <col min="3084" max="3084" width="1.625" style="210" bestFit="1" customWidth="1"/>
    <col min="3085" max="3085" width="9.375" style="210"/>
    <col min="3086" max="3086" width="8.875" style="210" customWidth="1"/>
    <col min="3087" max="3087" width="13.125" style="210" customWidth="1"/>
    <col min="3088" max="3088" width="9.375" style="210"/>
    <col min="3089" max="3089" width="9.875" style="210" customWidth="1"/>
    <col min="3090" max="3090" width="11.75" style="210" bestFit="1" customWidth="1"/>
    <col min="3091" max="3320" width="9.375" style="210"/>
    <col min="3321" max="3321" width="5" style="210" customWidth="1"/>
    <col min="3322" max="3322" width="17.875" style="210" bestFit="1" customWidth="1"/>
    <col min="3323" max="3323" width="9.875" style="210" customWidth="1"/>
    <col min="3324" max="3324" width="8.875" style="210" customWidth="1"/>
    <col min="3325" max="3325" width="7.375" style="210" bestFit="1" customWidth="1"/>
    <col min="3326" max="3326" width="10.125" style="210" bestFit="1" customWidth="1"/>
    <col min="3327" max="3327" width="9.375" style="210"/>
    <col min="3328" max="3328" width="10.125" style="210" bestFit="1" customWidth="1"/>
    <col min="3329" max="3329" width="10.75" style="210" customWidth="1"/>
    <col min="3330" max="3332" width="9.375" style="210"/>
    <col min="3333" max="3334" width="10.75" style="210" customWidth="1"/>
    <col min="3335" max="3339" width="9.375" style="210"/>
    <col min="3340" max="3340" width="1.625" style="210" bestFit="1" customWidth="1"/>
    <col min="3341" max="3341" width="9.375" style="210"/>
    <col min="3342" max="3342" width="8.875" style="210" customWidth="1"/>
    <col min="3343" max="3343" width="13.125" style="210" customWidth="1"/>
    <col min="3344" max="3344" width="9.375" style="210"/>
    <col min="3345" max="3345" width="9.875" style="210" customWidth="1"/>
    <col min="3346" max="3346" width="11.75" style="210" bestFit="1" customWidth="1"/>
    <col min="3347" max="3576" width="9.375" style="210"/>
    <col min="3577" max="3577" width="5" style="210" customWidth="1"/>
    <col min="3578" max="3578" width="17.875" style="210" bestFit="1" customWidth="1"/>
    <col min="3579" max="3579" width="9.875" style="210" customWidth="1"/>
    <col min="3580" max="3580" width="8.875" style="210" customWidth="1"/>
    <col min="3581" max="3581" width="7.375" style="210" bestFit="1" customWidth="1"/>
    <col min="3582" max="3582" width="10.125" style="210" bestFit="1" customWidth="1"/>
    <col min="3583" max="3583" width="9.375" style="210"/>
    <col min="3584" max="3584" width="10.125" style="210" bestFit="1" customWidth="1"/>
    <col min="3585" max="3585" width="10.75" style="210" customWidth="1"/>
    <col min="3586" max="3588" width="9.375" style="210"/>
    <col min="3589" max="3590" width="10.75" style="210" customWidth="1"/>
    <col min="3591" max="3595" width="9.375" style="210"/>
    <col min="3596" max="3596" width="1.625" style="210" bestFit="1" customWidth="1"/>
    <col min="3597" max="3597" width="9.375" style="210"/>
    <col min="3598" max="3598" width="8.875" style="210" customWidth="1"/>
    <col min="3599" max="3599" width="13.125" style="210" customWidth="1"/>
    <col min="3600" max="3600" width="9.375" style="210"/>
    <col min="3601" max="3601" width="9.875" style="210" customWidth="1"/>
    <col min="3602" max="3602" width="11.75" style="210" bestFit="1" customWidth="1"/>
    <col min="3603" max="3832" width="9.375" style="210"/>
    <col min="3833" max="3833" width="5" style="210" customWidth="1"/>
    <col min="3834" max="3834" width="17.875" style="210" bestFit="1" customWidth="1"/>
    <col min="3835" max="3835" width="9.875" style="210" customWidth="1"/>
    <col min="3836" max="3836" width="8.875" style="210" customWidth="1"/>
    <col min="3837" max="3837" width="7.375" style="210" bestFit="1" customWidth="1"/>
    <col min="3838" max="3838" width="10.125" style="210" bestFit="1" customWidth="1"/>
    <col min="3839" max="3839" width="9.375" style="210"/>
    <col min="3840" max="3840" width="10.125" style="210" bestFit="1" customWidth="1"/>
    <col min="3841" max="3841" width="10.75" style="210" customWidth="1"/>
    <col min="3842" max="3844" width="9.375" style="210"/>
    <col min="3845" max="3846" width="10.75" style="210" customWidth="1"/>
    <col min="3847" max="3851" width="9.375" style="210"/>
    <col min="3852" max="3852" width="1.625" style="210" bestFit="1" customWidth="1"/>
    <col min="3853" max="3853" width="9.375" style="210"/>
    <col min="3854" max="3854" width="8.875" style="210" customWidth="1"/>
    <col min="3855" max="3855" width="13.125" style="210" customWidth="1"/>
    <col min="3856" max="3856" width="9.375" style="210"/>
    <col min="3857" max="3857" width="9.875" style="210" customWidth="1"/>
    <col min="3858" max="3858" width="11.75" style="210" bestFit="1" customWidth="1"/>
    <col min="3859" max="4088" width="9.375" style="210"/>
    <col min="4089" max="4089" width="5" style="210" customWidth="1"/>
    <col min="4090" max="4090" width="17.875" style="210" bestFit="1" customWidth="1"/>
    <col min="4091" max="4091" width="9.875" style="210" customWidth="1"/>
    <col min="4092" max="4092" width="8.875" style="210" customWidth="1"/>
    <col min="4093" max="4093" width="7.375" style="210" bestFit="1" customWidth="1"/>
    <col min="4094" max="4094" width="10.125" style="210" bestFit="1" customWidth="1"/>
    <col min="4095" max="4095" width="9.375" style="210"/>
    <col min="4096" max="4096" width="10.125" style="210" bestFit="1" customWidth="1"/>
    <col min="4097" max="4097" width="10.75" style="210" customWidth="1"/>
    <col min="4098" max="4100" width="9.375" style="210"/>
    <col min="4101" max="4102" width="10.75" style="210" customWidth="1"/>
    <col min="4103" max="4107" width="9.375" style="210"/>
    <col min="4108" max="4108" width="1.625" style="210" bestFit="1" customWidth="1"/>
    <col min="4109" max="4109" width="9.375" style="210"/>
    <col min="4110" max="4110" width="8.875" style="210" customWidth="1"/>
    <col min="4111" max="4111" width="13.125" style="210" customWidth="1"/>
    <col min="4112" max="4112" width="9.375" style="210"/>
    <col min="4113" max="4113" width="9.875" style="210" customWidth="1"/>
    <col min="4114" max="4114" width="11.75" style="210" bestFit="1" customWidth="1"/>
    <col min="4115" max="4344" width="9.375" style="210"/>
    <col min="4345" max="4345" width="5" style="210" customWidth="1"/>
    <col min="4346" max="4346" width="17.875" style="210" bestFit="1" customWidth="1"/>
    <col min="4347" max="4347" width="9.875" style="210" customWidth="1"/>
    <col min="4348" max="4348" width="8.875" style="210" customWidth="1"/>
    <col min="4349" max="4349" width="7.375" style="210" bestFit="1" customWidth="1"/>
    <col min="4350" max="4350" width="10.125" style="210" bestFit="1" customWidth="1"/>
    <col min="4351" max="4351" width="9.375" style="210"/>
    <col min="4352" max="4352" width="10.125" style="210" bestFit="1" customWidth="1"/>
    <col min="4353" max="4353" width="10.75" style="210" customWidth="1"/>
    <col min="4354" max="4356" width="9.375" style="210"/>
    <col min="4357" max="4358" width="10.75" style="210" customWidth="1"/>
    <col min="4359" max="4363" width="9.375" style="210"/>
    <col min="4364" max="4364" width="1.625" style="210" bestFit="1" customWidth="1"/>
    <col min="4365" max="4365" width="9.375" style="210"/>
    <col min="4366" max="4366" width="8.875" style="210" customWidth="1"/>
    <col min="4367" max="4367" width="13.125" style="210" customWidth="1"/>
    <col min="4368" max="4368" width="9.375" style="210"/>
    <col min="4369" max="4369" width="9.875" style="210" customWidth="1"/>
    <col min="4370" max="4370" width="11.75" style="210" bestFit="1" customWidth="1"/>
    <col min="4371" max="4600" width="9.375" style="210"/>
    <col min="4601" max="4601" width="5" style="210" customWidth="1"/>
    <col min="4602" max="4602" width="17.875" style="210" bestFit="1" customWidth="1"/>
    <col min="4603" max="4603" width="9.875" style="210" customWidth="1"/>
    <col min="4604" max="4604" width="8.875" style="210" customWidth="1"/>
    <col min="4605" max="4605" width="7.375" style="210" bestFit="1" customWidth="1"/>
    <col min="4606" max="4606" width="10.125" style="210" bestFit="1" customWidth="1"/>
    <col min="4607" max="4607" width="9.375" style="210"/>
    <col min="4608" max="4608" width="10.125" style="210" bestFit="1" customWidth="1"/>
    <col min="4609" max="4609" width="10.75" style="210" customWidth="1"/>
    <col min="4610" max="4612" width="9.375" style="210"/>
    <col min="4613" max="4614" width="10.75" style="210" customWidth="1"/>
    <col min="4615" max="4619" width="9.375" style="210"/>
    <col min="4620" max="4620" width="1.625" style="210" bestFit="1" customWidth="1"/>
    <col min="4621" max="4621" width="9.375" style="210"/>
    <col min="4622" max="4622" width="8.875" style="210" customWidth="1"/>
    <col min="4623" max="4623" width="13.125" style="210" customWidth="1"/>
    <col min="4624" max="4624" width="9.375" style="210"/>
    <col min="4625" max="4625" width="9.875" style="210" customWidth="1"/>
    <col min="4626" max="4626" width="11.75" style="210" bestFit="1" customWidth="1"/>
    <col min="4627" max="4856" width="9.375" style="210"/>
    <col min="4857" max="4857" width="5" style="210" customWidth="1"/>
    <col min="4858" max="4858" width="17.875" style="210" bestFit="1" customWidth="1"/>
    <col min="4859" max="4859" width="9.875" style="210" customWidth="1"/>
    <col min="4860" max="4860" width="8.875" style="210" customWidth="1"/>
    <col min="4861" max="4861" width="7.375" style="210" bestFit="1" customWidth="1"/>
    <col min="4862" max="4862" width="10.125" style="210" bestFit="1" customWidth="1"/>
    <col min="4863" max="4863" width="9.375" style="210"/>
    <col min="4864" max="4864" width="10.125" style="210" bestFit="1" customWidth="1"/>
    <col min="4865" max="4865" width="10.75" style="210" customWidth="1"/>
    <col min="4866" max="4868" width="9.375" style="210"/>
    <col min="4869" max="4870" width="10.75" style="210" customWidth="1"/>
    <col min="4871" max="4875" width="9.375" style="210"/>
    <col min="4876" max="4876" width="1.625" style="210" bestFit="1" customWidth="1"/>
    <col min="4877" max="4877" width="9.375" style="210"/>
    <col min="4878" max="4878" width="8.875" style="210" customWidth="1"/>
    <col min="4879" max="4879" width="13.125" style="210" customWidth="1"/>
    <col min="4880" max="4880" width="9.375" style="210"/>
    <col min="4881" max="4881" width="9.875" style="210" customWidth="1"/>
    <col min="4882" max="4882" width="11.75" style="210" bestFit="1" customWidth="1"/>
    <col min="4883" max="5112" width="9.375" style="210"/>
    <col min="5113" max="5113" width="5" style="210" customWidth="1"/>
    <col min="5114" max="5114" width="17.875" style="210" bestFit="1" customWidth="1"/>
    <col min="5115" max="5115" width="9.875" style="210" customWidth="1"/>
    <col min="5116" max="5116" width="8.875" style="210" customWidth="1"/>
    <col min="5117" max="5117" width="7.375" style="210" bestFit="1" customWidth="1"/>
    <col min="5118" max="5118" width="10.125" style="210" bestFit="1" customWidth="1"/>
    <col min="5119" max="5119" width="9.375" style="210"/>
    <col min="5120" max="5120" width="10.125" style="210" bestFit="1" customWidth="1"/>
    <col min="5121" max="5121" width="10.75" style="210" customWidth="1"/>
    <col min="5122" max="5124" width="9.375" style="210"/>
    <col min="5125" max="5126" width="10.75" style="210" customWidth="1"/>
    <col min="5127" max="5131" width="9.375" style="210"/>
    <col min="5132" max="5132" width="1.625" style="210" bestFit="1" customWidth="1"/>
    <col min="5133" max="5133" width="9.375" style="210"/>
    <col min="5134" max="5134" width="8.875" style="210" customWidth="1"/>
    <col min="5135" max="5135" width="13.125" style="210" customWidth="1"/>
    <col min="5136" max="5136" width="9.375" style="210"/>
    <col min="5137" max="5137" width="9.875" style="210" customWidth="1"/>
    <col min="5138" max="5138" width="11.75" style="210" bestFit="1" customWidth="1"/>
    <col min="5139" max="5368" width="9.375" style="210"/>
    <col min="5369" max="5369" width="5" style="210" customWidth="1"/>
    <col min="5370" max="5370" width="17.875" style="210" bestFit="1" customWidth="1"/>
    <col min="5371" max="5371" width="9.875" style="210" customWidth="1"/>
    <col min="5372" max="5372" width="8.875" style="210" customWidth="1"/>
    <col min="5373" max="5373" width="7.375" style="210" bestFit="1" customWidth="1"/>
    <col min="5374" max="5374" width="10.125" style="210" bestFit="1" customWidth="1"/>
    <col min="5375" max="5375" width="9.375" style="210"/>
    <col min="5376" max="5376" width="10.125" style="210" bestFit="1" customWidth="1"/>
    <col min="5377" max="5377" width="10.75" style="210" customWidth="1"/>
    <col min="5378" max="5380" width="9.375" style="210"/>
    <col min="5381" max="5382" width="10.75" style="210" customWidth="1"/>
    <col min="5383" max="5387" width="9.375" style="210"/>
    <col min="5388" max="5388" width="1.625" style="210" bestFit="1" customWidth="1"/>
    <col min="5389" max="5389" width="9.375" style="210"/>
    <col min="5390" max="5390" width="8.875" style="210" customWidth="1"/>
    <col min="5391" max="5391" width="13.125" style="210" customWidth="1"/>
    <col min="5392" max="5392" width="9.375" style="210"/>
    <col min="5393" max="5393" width="9.875" style="210" customWidth="1"/>
    <col min="5394" max="5394" width="11.75" style="210" bestFit="1" customWidth="1"/>
    <col min="5395" max="5624" width="9.375" style="210"/>
    <col min="5625" max="5625" width="5" style="210" customWidth="1"/>
    <col min="5626" max="5626" width="17.875" style="210" bestFit="1" customWidth="1"/>
    <col min="5627" max="5627" width="9.875" style="210" customWidth="1"/>
    <col min="5628" max="5628" width="8.875" style="210" customWidth="1"/>
    <col min="5629" max="5629" width="7.375" style="210" bestFit="1" customWidth="1"/>
    <col min="5630" max="5630" width="10.125" style="210" bestFit="1" customWidth="1"/>
    <col min="5631" max="5631" width="9.375" style="210"/>
    <col min="5632" max="5632" width="10.125" style="210" bestFit="1" customWidth="1"/>
    <col min="5633" max="5633" width="10.75" style="210" customWidth="1"/>
    <col min="5634" max="5636" width="9.375" style="210"/>
    <col min="5637" max="5638" width="10.75" style="210" customWidth="1"/>
    <col min="5639" max="5643" width="9.375" style="210"/>
    <col min="5644" max="5644" width="1.625" style="210" bestFit="1" customWidth="1"/>
    <col min="5645" max="5645" width="9.375" style="210"/>
    <col min="5646" max="5646" width="8.875" style="210" customWidth="1"/>
    <col min="5647" max="5647" width="13.125" style="210" customWidth="1"/>
    <col min="5648" max="5648" width="9.375" style="210"/>
    <col min="5649" max="5649" width="9.875" style="210" customWidth="1"/>
    <col min="5650" max="5650" width="11.75" style="210" bestFit="1" customWidth="1"/>
    <col min="5651" max="5880" width="9.375" style="210"/>
    <col min="5881" max="5881" width="5" style="210" customWidth="1"/>
    <col min="5882" max="5882" width="17.875" style="210" bestFit="1" customWidth="1"/>
    <col min="5883" max="5883" width="9.875" style="210" customWidth="1"/>
    <col min="5884" max="5884" width="8.875" style="210" customWidth="1"/>
    <col min="5885" max="5885" width="7.375" style="210" bestFit="1" customWidth="1"/>
    <col min="5886" max="5886" width="10.125" style="210" bestFit="1" customWidth="1"/>
    <col min="5887" max="5887" width="9.375" style="210"/>
    <col min="5888" max="5888" width="10.125" style="210" bestFit="1" customWidth="1"/>
    <col min="5889" max="5889" width="10.75" style="210" customWidth="1"/>
    <col min="5890" max="5892" width="9.375" style="210"/>
    <col min="5893" max="5894" width="10.75" style="210" customWidth="1"/>
    <col min="5895" max="5899" width="9.375" style="210"/>
    <col min="5900" max="5900" width="1.625" style="210" bestFit="1" customWidth="1"/>
    <col min="5901" max="5901" width="9.375" style="210"/>
    <col min="5902" max="5902" width="8.875" style="210" customWidth="1"/>
    <col min="5903" max="5903" width="13.125" style="210" customWidth="1"/>
    <col min="5904" max="5904" width="9.375" style="210"/>
    <col min="5905" max="5905" width="9.875" style="210" customWidth="1"/>
    <col min="5906" max="5906" width="11.75" style="210" bestFit="1" customWidth="1"/>
    <col min="5907" max="6136" width="9.375" style="210"/>
    <col min="6137" max="6137" width="5" style="210" customWidth="1"/>
    <col min="6138" max="6138" width="17.875" style="210" bestFit="1" customWidth="1"/>
    <col min="6139" max="6139" width="9.875" style="210" customWidth="1"/>
    <col min="6140" max="6140" width="8.875" style="210" customWidth="1"/>
    <col min="6141" max="6141" width="7.375" style="210" bestFit="1" customWidth="1"/>
    <col min="6142" max="6142" width="10.125" style="210" bestFit="1" customWidth="1"/>
    <col min="6143" max="6143" width="9.375" style="210"/>
    <col min="6144" max="6144" width="10.125" style="210" bestFit="1" customWidth="1"/>
    <col min="6145" max="6145" width="10.75" style="210" customWidth="1"/>
    <col min="6146" max="6148" width="9.375" style="210"/>
    <col min="6149" max="6150" width="10.75" style="210" customWidth="1"/>
    <col min="6151" max="6155" width="9.375" style="210"/>
    <col min="6156" max="6156" width="1.625" style="210" bestFit="1" customWidth="1"/>
    <col min="6157" max="6157" width="9.375" style="210"/>
    <col min="6158" max="6158" width="8.875" style="210" customWidth="1"/>
    <col min="6159" max="6159" width="13.125" style="210" customWidth="1"/>
    <col min="6160" max="6160" width="9.375" style="210"/>
    <col min="6161" max="6161" width="9.875" style="210" customWidth="1"/>
    <col min="6162" max="6162" width="11.75" style="210" bestFit="1" customWidth="1"/>
    <col min="6163" max="6392" width="9.375" style="210"/>
    <col min="6393" max="6393" width="5" style="210" customWidth="1"/>
    <col min="6394" max="6394" width="17.875" style="210" bestFit="1" customWidth="1"/>
    <col min="6395" max="6395" width="9.875" style="210" customWidth="1"/>
    <col min="6396" max="6396" width="8.875" style="210" customWidth="1"/>
    <col min="6397" max="6397" width="7.375" style="210" bestFit="1" customWidth="1"/>
    <col min="6398" max="6398" width="10.125" style="210" bestFit="1" customWidth="1"/>
    <col min="6399" max="6399" width="9.375" style="210"/>
    <col min="6400" max="6400" width="10.125" style="210" bestFit="1" customWidth="1"/>
    <col min="6401" max="6401" width="10.75" style="210" customWidth="1"/>
    <col min="6402" max="6404" width="9.375" style="210"/>
    <col min="6405" max="6406" width="10.75" style="210" customWidth="1"/>
    <col min="6407" max="6411" width="9.375" style="210"/>
    <col min="6412" max="6412" width="1.625" style="210" bestFit="1" customWidth="1"/>
    <col min="6413" max="6413" width="9.375" style="210"/>
    <col min="6414" max="6414" width="8.875" style="210" customWidth="1"/>
    <col min="6415" max="6415" width="13.125" style="210" customWidth="1"/>
    <col min="6416" max="6416" width="9.375" style="210"/>
    <col min="6417" max="6417" width="9.875" style="210" customWidth="1"/>
    <col min="6418" max="6418" width="11.75" style="210" bestFit="1" customWidth="1"/>
    <col min="6419" max="6648" width="9.375" style="210"/>
    <col min="6649" max="6649" width="5" style="210" customWidth="1"/>
    <col min="6650" max="6650" width="17.875" style="210" bestFit="1" customWidth="1"/>
    <col min="6651" max="6651" width="9.875" style="210" customWidth="1"/>
    <col min="6652" max="6652" width="8.875" style="210" customWidth="1"/>
    <col min="6653" max="6653" width="7.375" style="210" bestFit="1" customWidth="1"/>
    <col min="6654" max="6654" width="10.125" style="210" bestFit="1" customWidth="1"/>
    <col min="6655" max="6655" width="9.375" style="210"/>
    <col min="6656" max="6656" width="10.125" style="210" bestFit="1" customWidth="1"/>
    <col min="6657" max="6657" width="10.75" style="210" customWidth="1"/>
    <col min="6658" max="6660" width="9.375" style="210"/>
    <col min="6661" max="6662" width="10.75" style="210" customWidth="1"/>
    <col min="6663" max="6667" width="9.375" style="210"/>
    <col min="6668" max="6668" width="1.625" style="210" bestFit="1" customWidth="1"/>
    <col min="6669" max="6669" width="9.375" style="210"/>
    <col min="6670" max="6670" width="8.875" style="210" customWidth="1"/>
    <col min="6671" max="6671" width="13.125" style="210" customWidth="1"/>
    <col min="6672" max="6672" width="9.375" style="210"/>
    <col min="6673" max="6673" width="9.875" style="210" customWidth="1"/>
    <col min="6674" max="6674" width="11.75" style="210" bestFit="1" customWidth="1"/>
    <col min="6675" max="6904" width="9.375" style="210"/>
    <col min="6905" max="6905" width="5" style="210" customWidth="1"/>
    <col min="6906" max="6906" width="17.875" style="210" bestFit="1" customWidth="1"/>
    <col min="6907" max="6907" width="9.875" style="210" customWidth="1"/>
    <col min="6908" max="6908" width="8.875" style="210" customWidth="1"/>
    <col min="6909" max="6909" width="7.375" style="210" bestFit="1" customWidth="1"/>
    <col min="6910" max="6910" width="10.125" style="210" bestFit="1" customWidth="1"/>
    <col min="6911" max="6911" width="9.375" style="210"/>
    <col min="6912" max="6912" width="10.125" style="210" bestFit="1" customWidth="1"/>
    <col min="6913" max="6913" width="10.75" style="210" customWidth="1"/>
    <col min="6914" max="6916" width="9.375" style="210"/>
    <col min="6917" max="6918" width="10.75" style="210" customWidth="1"/>
    <col min="6919" max="6923" width="9.375" style="210"/>
    <col min="6924" max="6924" width="1.625" style="210" bestFit="1" customWidth="1"/>
    <col min="6925" max="6925" width="9.375" style="210"/>
    <col min="6926" max="6926" width="8.875" style="210" customWidth="1"/>
    <col min="6927" max="6927" width="13.125" style="210" customWidth="1"/>
    <col min="6928" max="6928" width="9.375" style="210"/>
    <col min="6929" max="6929" width="9.875" style="210" customWidth="1"/>
    <col min="6930" max="6930" width="11.75" style="210" bestFit="1" customWidth="1"/>
    <col min="6931" max="7160" width="9.375" style="210"/>
    <col min="7161" max="7161" width="5" style="210" customWidth="1"/>
    <col min="7162" max="7162" width="17.875" style="210" bestFit="1" customWidth="1"/>
    <col min="7163" max="7163" width="9.875" style="210" customWidth="1"/>
    <col min="7164" max="7164" width="8.875" style="210" customWidth="1"/>
    <col min="7165" max="7165" width="7.375" style="210" bestFit="1" customWidth="1"/>
    <col min="7166" max="7166" width="10.125" style="210" bestFit="1" customWidth="1"/>
    <col min="7167" max="7167" width="9.375" style="210"/>
    <col min="7168" max="7168" width="10.125" style="210" bestFit="1" customWidth="1"/>
    <col min="7169" max="7169" width="10.75" style="210" customWidth="1"/>
    <col min="7170" max="7172" width="9.375" style="210"/>
    <col min="7173" max="7174" width="10.75" style="210" customWidth="1"/>
    <col min="7175" max="7179" width="9.375" style="210"/>
    <col min="7180" max="7180" width="1.625" style="210" bestFit="1" customWidth="1"/>
    <col min="7181" max="7181" width="9.375" style="210"/>
    <col min="7182" max="7182" width="8.875" style="210" customWidth="1"/>
    <col min="7183" max="7183" width="13.125" style="210" customWidth="1"/>
    <col min="7184" max="7184" width="9.375" style="210"/>
    <col min="7185" max="7185" width="9.875" style="210" customWidth="1"/>
    <col min="7186" max="7186" width="11.75" style="210" bestFit="1" customWidth="1"/>
    <col min="7187" max="7416" width="9.375" style="210"/>
    <col min="7417" max="7417" width="5" style="210" customWidth="1"/>
    <col min="7418" max="7418" width="17.875" style="210" bestFit="1" customWidth="1"/>
    <col min="7419" max="7419" width="9.875" style="210" customWidth="1"/>
    <col min="7420" max="7420" width="8.875" style="210" customWidth="1"/>
    <col min="7421" max="7421" width="7.375" style="210" bestFit="1" customWidth="1"/>
    <col min="7422" max="7422" width="10.125" style="210" bestFit="1" customWidth="1"/>
    <col min="7423" max="7423" width="9.375" style="210"/>
    <col min="7424" max="7424" width="10.125" style="210" bestFit="1" customWidth="1"/>
    <col min="7425" max="7425" width="10.75" style="210" customWidth="1"/>
    <col min="7426" max="7428" width="9.375" style="210"/>
    <col min="7429" max="7430" width="10.75" style="210" customWidth="1"/>
    <col min="7431" max="7435" width="9.375" style="210"/>
    <col min="7436" max="7436" width="1.625" style="210" bestFit="1" customWidth="1"/>
    <col min="7437" max="7437" width="9.375" style="210"/>
    <col min="7438" max="7438" width="8.875" style="210" customWidth="1"/>
    <col min="7439" max="7439" width="13.125" style="210" customWidth="1"/>
    <col min="7440" max="7440" width="9.375" style="210"/>
    <col min="7441" max="7441" width="9.875" style="210" customWidth="1"/>
    <col min="7442" max="7442" width="11.75" style="210" bestFit="1" customWidth="1"/>
    <col min="7443" max="7672" width="9.375" style="210"/>
    <col min="7673" max="7673" width="5" style="210" customWidth="1"/>
    <col min="7674" max="7674" width="17.875" style="210" bestFit="1" customWidth="1"/>
    <col min="7675" max="7675" width="9.875" style="210" customWidth="1"/>
    <col min="7676" max="7676" width="8.875" style="210" customWidth="1"/>
    <col min="7677" max="7677" width="7.375" style="210" bestFit="1" customWidth="1"/>
    <col min="7678" max="7678" width="10.125" style="210" bestFit="1" customWidth="1"/>
    <col min="7679" max="7679" width="9.375" style="210"/>
    <col min="7680" max="7680" width="10.125" style="210" bestFit="1" customWidth="1"/>
    <col min="7681" max="7681" width="10.75" style="210" customWidth="1"/>
    <col min="7682" max="7684" width="9.375" style="210"/>
    <col min="7685" max="7686" width="10.75" style="210" customWidth="1"/>
    <col min="7687" max="7691" width="9.375" style="210"/>
    <col min="7692" max="7692" width="1.625" style="210" bestFit="1" customWidth="1"/>
    <col min="7693" max="7693" width="9.375" style="210"/>
    <col min="7694" max="7694" width="8.875" style="210" customWidth="1"/>
    <col min="7695" max="7695" width="13.125" style="210" customWidth="1"/>
    <col min="7696" max="7696" width="9.375" style="210"/>
    <col min="7697" max="7697" width="9.875" style="210" customWidth="1"/>
    <col min="7698" max="7698" width="11.75" style="210" bestFit="1" customWidth="1"/>
    <col min="7699" max="7928" width="9.375" style="210"/>
    <col min="7929" max="7929" width="5" style="210" customWidth="1"/>
    <col min="7930" max="7930" width="17.875" style="210" bestFit="1" customWidth="1"/>
    <col min="7931" max="7931" width="9.875" style="210" customWidth="1"/>
    <col min="7932" max="7932" width="8.875" style="210" customWidth="1"/>
    <col min="7933" max="7933" width="7.375" style="210" bestFit="1" customWidth="1"/>
    <col min="7934" max="7934" width="10.125" style="210" bestFit="1" customWidth="1"/>
    <col min="7935" max="7935" width="9.375" style="210"/>
    <col min="7936" max="7936" width="10.125" style="210" bestFit="1" customWidth="1"/>
    <col min="7937" max="7937" width="10.75" style="210" customWidth="1"/>
    <col min="7938" max="7940" width="9.375" style="210"/>
    <col min="7941" max="7942" width="10.75" style="210" customWidth="1"/>
    <col min="7943" max="7947" width="9.375" style="210"/>
    <col min="7948" max="7948" width="1.625" style="210" bestFit="1" customWidth="1"/>
    <col min="7949" max="7949" width="9.375" style="210"/>
    <col min="7950" max="7950" width="8.875" style="210" customWidth="1"/>
    <col min="7951" max="7951" width="13.125" style="210" customWidth="1"/>
    <col min="7952" max="7952" width="9.375" style="210"/>
    <col min="7953" max="7953" width="9.875" style="210" customWidth="1"/>
    <col min="7954" max="7954" width="11.75" style="210" bestFit="1" customWidth="1"/>
    <col min="7955" max="8184" width="9.375" style="210"/>
    <col min="8185" max="8185" width="5" style="210" customWidth="1"/>
    <col min="8186" max="8186" width="17.875" style="210" bestFit="1" customWidth="1"/>
    <col min="8187" max="8187" width="9.875" style="210" customWidth="1"/>
    <col min="8188" max="8188" width="8.875" style="210" customWidth="1"/>
    <col min="8189" max="8189" width="7.375" style="210" bestFit="1" customWidth="1"/>
    <col min="8190" max="8190" width="10.125" style="210" bestFit="1" customWidth="1"/>
    <col min="8191" max="8191" width="9.375" style="210"/>
    <col min="8192" max="8192" width="10.125" style="210" bestFit="1" customWidth="1"/>
    <col min="8193" max="8193" width="10.75" style="210" customWidth="1"/>
    <col min="8194" max="8196" width="9.375" style="210"/>
    <col min="8197" max="8198" width="10.75" style="210" customWidth="1"/>
    <col min="8199" max="8203" width="9.375" style="210"/>
    <col min="8204" max="8204" width="1.625" style="210" bestFit="1" customWidth="1"/>
    <col min="8205" max="8205" width="9.375" style="210"/>
    <col min="8206" max="8206" width="8.875" style="210" customWidth="1"/>
    <col min="8207" max="8207" width="13.125" style="210" customWidth="1"/>
    <col min="8208" max="8208" width="9.375" style="210"/>
    <col min="8209" max="8209" width="9.875" style="210" customWidth="1"/>
    <col min="8210" max="8210" width="11.75" style="210" bestFit="1" customWidth="1"/>
    <col min="8211" max="8440" width="9.375" style="210"/>
    <col min="8441" max="8441" width="5" style="210" customWidth="1"/>
    <col min="8442" max="8442" width="17.875" style="210" bestFit="1" customWidth="1"/>
    <col min="8443" max="8443" width="9.875" style="210" customWidth="1"/>
    <col min="8444" max="8444" width="8.875" style="210" customWidth="1"/>
    <col min="8445" max="8445" width="7.375" style="210" bestFit="1" customWidth="1"/>
    <col min="8446" max="8446" width="10.125" style="210" bestFit="1" customWidth="1"/>
    <col min="8447" max="8447" width="9.375" style="210"/>
    <col min="8448" max="8448" width="10.125" style="210" bestFit="1" customWidth="1"/>
    <col min="8449" max="8449" width="10.75" style="210" customWidth="1"/>
    <col min="8450" max="8452" width="9.375" style="210"/>
    <col min="8453" max="8454" width="10.75" style="210" customWidth="1"/>
    <col min="8455" max="8459" width="9.375" style="210"/>
    <col min="8460" max="8460" width="1.625" style="210" bestFit="1" customWidth="1"/>
    <col min="8461" max="8461" width="9.375" style="210"/>
    <col min="8462" max="8462" width="8.875" style="210" customWidth="1"/>
    <col min="8463" max="8463" width="13.125" style="210" customWidth="1"/>
    <col min="8464" max="8464" width="9.375" style="210"/>
    <col min="8465" max="8465" width="9.875" style="210" customWidth="1"/>
    <col min="8466" max="8466" width="11.75" style="210" bestFit="1" customWidth="1"/>
    <col min="8467" max="8696" width="9.375" style="210"/>
    <col min="8697" max="8697" width="5" style="210" customWidth="1"/>
    <col min="8698" max="8698" width="17.875" style="210" bestFit="1" customWidth="1"/>
    <col min="8699" max="8699" width="9.875" style="210" customWidth="1"/>
    <col min="8700" max="8700" width="8.875" style="210" customWidth="1"/>
    <col min="8701" max="8701" width="7.375" style="210" bestFit="1" customWidth="1"/>
    <col min="8702" max="8702" width="10.125" style="210" bestFit="1" customWidth="1"/>
    <col min="8703" max="8703" width="9.375" style="210"/>
    <col min="8704" max="8704" width="10.125" style="210" bestFit="1" customWidth="1"/>
    <col min="8705" max="8705" width="10.75" style="210" customWidth="1"/>
    <col min="8706" max="8708" width="9.375" style="210"/>
    <col min="8709" max="8710" width="10.75" style="210" customWidth="1"/>
    <col min="8711" max="8715" width="9.375" style="210"/>
    <col min="8716" max="8716" width="1.625" style="210" bestFit="1" customWidth="1"/>
    <col min="8717" max="8717" width="9.375" style="210"/>
    <col min="8718" max="8718" width="8.875" style="210" customWidth="1"/>
    <col min="8719" max="8719" width="13.125" style="210" customWidth="1"/>
    <col min="8720" max="8720" width="9.375" style="210"/>
    <col min="8721" max="8721" width="9.875" style="210" customWidth="1"/>
    <col min="8722" max="8722" width="11.75" style="210" bestFit="1" customWidth="1"/>
    <col min="8723" max="8952" width="9.375" style="210"/>
    <col min="8953" max="8953" width="5" style="210" customWidth="1"/>
    <col min="8954" max="8954" width="17.875" style="210" bestFit="1" customWidth="1"/>
    <col min="8955" max="8955" width="9.875" style="210" customWidth="1"/>
    <col min="8956" max="8956" width="8.875" style="210" customWidth="1"/>
    <col min="8957" max="8957" width="7.375" style="210" bestFit="1" customWidth="1"/>
    <col min="8958" max="8958" width="10.125" style="210" bestFit="1" customWidth="1"/>
    <col min="8959" max="8959" width="9.375" style="210"/>
    <col min="8960" max="8960" width="10.125" style="210" bestFit="1" customWidth="1"/>
    <col min="8961" max="8961" width="10.75" style="210" customWidth="1"/>
    <col min="8962" max="8964" width="9.375" style="210"/>
    <col min="8965" max="8966" width="10.75" style="210" customWidth="1"/>
    <col min="8967" max="8971" width="9.375" style="210"/>
    <col min="8972" max="8972" width="1.625" style="210" bestFit="1" customWidth="1"/>
    <col min="8973" max="8973" width="9.375" style="210"/>
    <col min="8974" max="8974" width="8.875" style="210" customWidth="1"/>
    <col min="8975" max="8975" width="13.125" style="210" customWidth="1"/>
    <col min="8976" max="8976" width="9.375" style="210"/>
    <col min="8977" max="8977" width="9.875" style="210" customWidth="1"/>
    <col min="8978" max="8978" width="11.75" style="210" bestFit="1" customWidth="1"/>
    <col min="8979" max="9208" width="9.375" style="210"/>
    <col min="9209" max="9209" width="5" style="210" customWidth="1"/>
    <col min="9210" max="9210" width="17.875" style="210" bestFit="1" customWidth="1"/>
    <col min="9211" max="9211" width="9.875" style="210" customWidth="1"/>
    <col min="9212" max="9212" width="8.875" style="210" customWidth="1"/>
    <col min="9213" max="9213" width="7.375" style="210" bestFit="1" customWidth="1"/>
    <col min="9214" max="9214" width="10.125" style="210" bestFit="1" customWidth="1"/>
    <col min="9215" max="9215" width="9.375" style="210"/>
    <col min="9216" max="9216" width="10.125" style="210" bestFit="1" customWidth="1"/>
    <col min="9217" max="9217" width="10.75" style="210" customWidth="1"/>
    <col min="9218" max="9220" width="9.375" style="210"/>
    <col min="9221" max="9222" width="10.75" style="210" customWidth="1"/>
    <col min="9223" max="9227" width="9.375" style="210"/>
    <col min="9228" max="9228" width="1.625" style="210" bestFit="1" customWidth="1"/>
    <col min="9229" max="9229" width="9.375" style="210"/>
    <col min="9230" max="9230" width="8.875" style="210" customWidth="1"/>
    <col min="9231" max="9231" width="13.125" style="210" customWidth="1"/>
    <col min="9232" max="9232" width="9.375" style="210"/>
    <col min="9233" max="9233" width="9.875" style="210" customWidth="1"/>
    <col min="9234" max="9234" width="11.75" style="210" bestFit="1" customWidth="1"/>
    <col min="9235" max="9464" width="9.375" style="210"/>
    <col min="9465" max="9465" width="5" style="210" customWidth="1"/>
    <col min="9466" max="9466" width="17.875" style="210" bestFit="1" customWidth="1"/>
    <col min="9467" max="9467" width="9.875" style="210" customWidth="1"/>
    <col min="9468" max="9468" width="8.875" style="210" customWidth="1"/>
    <col min="9469" max="9469" width="7.375" style="210" bestFit="1" customWidth="1"/>
    <col min="9470" max="9470" width="10.125" style="210" bestFit="1" customWidth="1"/>
    <col min="9471" max="9471" width="9.375" style="210"/>
    <col min="9472" max="9472" width="10.125" style="210" bestFit="1" customWidth="1"/>
    <col min="9473" max="9473" width="10.75" style="210" customWidth="1"/>
    <col min="9474" max="9476" width="9.375" style="210"/>
    <col min="9477" max="9478" width="10.75" style="210" customWidth="1"/>
    <col min="9479" max="9483" width="9.375" style="210"/>
    <col min="9484" max="9484" width="1.625" style="210" bestFit="1" customWidth="1"/>
    <col min="9485" max="9485" width="9.375" style="210"/>
    <col min="9486" max="9486" width="8.875" style="210" customWidth="1"/>
    <col min="9487" max="9487" width="13.125" style="210" customWidth="1"/>
    <col min="9488" max="9488" width="9.375" style="210"/>
    <col min="9489" max="9489" width="9.875" style="210" customWidth="1"/>
    <col min="9490" max="9490" width="11.75" style="210" bestFit="1" customWidth="1"/>
    <col min="9491" max="9720" width="9.375" style="210"/>
    <col min="9721" max="9721" width="5" style="210" customWidth="1"/>
    <col min="9722" max="9722" width="17.875" style="210" bestFit="1" customWidth="1"/>
    <col min="9723" max="9723" width="9.875" style="210" customWidth="1"/>
    <col min="9724" max="9724" width="8.875" style="210" customWidth="1"/>
    <col min="9725" max="9725" width="7.375" style="210" bestFit="1" customWidth="1"/>
    <col min="9726" max="9726" width="10.125" style="210" bestFit="1" customWidth="1"/>
    <col min="9727" max="9727" width="9.375" style="210"/>
    <col min="9728" max="9728" width="10.125" style="210" bestFit="1" customWidth="1"/>
    <col min="9729" max="9729" width="10.75" style="210" customWidth="1"/>
    <col min="9730" max="9732" width="9.375" style="210"/>
    <col min="9733" max="9734" width="10.75" style="210" customWidth="1"/>
    <col min="9735" max="9739" width="9.375" style="210"/>
    <col min="9740" max="9740" width="1.625" style="210" bestFit="1" customWidth="1"/>
    <col min="9741" max="9741" width="9.375" style="210"/>
    <col min="9742" max="9742" width="8.875" style="210" customWidth="1"/>
    <col min="9743" max="9743" width="13.125" style="210" customWidth="1"/>
    <col min="9744" max="9744" width="9.375" style="210"/>
    <col min="9745" max="9745" width="9.875" style="210" customWidth="1"/>
    <col min="9746" max="9746" width="11.75" style="210" bestFit="1" customWidth="1"/>
    <col min="9747" max="9976" width="9.375" style="210"/>
    <col min="9977" max="9977" width="5" style="210" customWidth="1"/>
    <col min="9978" max="9978" width="17.875" style="210" bestFit="1" customWidth="1"/>
    <col min="9979" max="9979" width="9.875" style="210" customWidth="1"/>
    <col min="9980" max="9980" width="8.875" style="210" customWidth="1"/>
    <col min="9981" max="9981" width="7.375" style="210" bestFit="1" customWidth="1"/>
    <col min="9982" max="9982" width="10.125" style="210" bestFit="1" customWidth="1"/>
    <col min="9983" max="9983" width="9.375" style="210"/>
    <col min="9984" max="9984" width="10.125" style="210" bestFit="1" customWidth="1"/>
    <col min="9985" max="9985" width="10.75" style="210" customWidth="1"/>
    <col min="9986" max="9988" width="9.375" style="210"/>
    <col min="9989" max="9990" width="10.75" style="210" customWidth="1"/>
    <col min="9991" max="9995" width="9.375" style="210"/>
    <col min="9996" max="9996" width="1.625" style="210" bestFit="1" customWidth="1"/>
    <col min="9997" max="9997" width="9.375" style="210"/>
    <col min="9998" max="9998" width="8.875" style="210" customWidth="1"/>
    <col min="9999" max="9999" width="13.125" style="210" customWidth="1"/>
    <col min="10000" max="10000" width="9.375" style="210"/>
    <col min="10001" max="10001" width="9.875" style="210" customWidth="1"/>
    <col min="10002" max="10002" width="11.75" style="210" bestFit="1" customWidth="1"/>
    <col min="10003" max="10232" width="9.375" style="210"/>
    <col min="10233" max="10233" width="5" style="210" customWidth="1"/>
    <col min="10234" max="10234" width="17.875" style="210" bestFit="1" customWidth="1"/>
    <col min="10235" max="10235" width="9.875" style="210" customWidth="1"/>
    <col min="10236" max="10236" width="8.875" style="210" customWidth="1"/>
    <col min="10237" max="10237" width="7.375" style="210" bestFit="1" customWidth="1"/>
    <col min="10238" max="10238" width="10.125" style="210" bestFit="1" customWidth="1"/>
    <col min="10239" max="10239" width="9.375" style="210"/>
    <col min="10240" max="10240" width="10.125" style="210" bestFit="1" customWidth="1"/>
    <col min="10241" max="10241" width="10.75" style="210" customWidth="1"/>
    <col min="10242" max="10244" width="9.375" style="210"/>
    <col min="10245" max="10246" width="10.75" style="210" customWidth="1"/>
    <col min="10247" max="10251" width="9.375" style="210"/>
    <col min="10252" max="10252" width="1.625" style="210" bestFit="1" customWidth="1"/>
    <col min="10253" max="10253" width="9.375" style="210"/>
    <col min="10254" max="10254" width="8.875" style="210" customWidth="1"/>
    <col min="10255" max="10255" width="13.125" style="210" customWidth="1"/>
    <col min="10256" max="10256" width="9.375" style="210"/>
    <col min="10257" max="10257" width="9.875" style="210" customWidth="1"/>
    <col min="10258" max="10258" width="11.75" style="210" bestFit="1" customWidth="1"/>
    <col min="10259" max="10488" width="9.375" style="210"/>
    <col min="10489" max="10489" width="5" style="210" customWidth="1"/>
    <col min="10490" max="10490" width="17.875" style="210" bestFit="1" customWidth="1"/>
    <col min="10491" max="10491" width="9.875" style="210" customWidth="1"/>
    <col min="10492" max="10492" width="8.875" style="210" customWidth="1"/>
    <col min="10493" max="10493" width="7.375" style="210" bestFit="1" customWidth="1"/>
    <col min="10494" max="10494" width="10.125" style="210" bestFit="1" customWidth="1"/>
    <col min="10495" max="10495" width="9.375" style="210"/>
    <col min="10496" max="10496" width="10.125" style="210" bestFit="1" customWidth="1"/>
    <col min="10497" max="10497" width="10.75" style="210" customWidth="1"/>
    <col min="10498" max="10500" width="9.375" style="210"/>
    <col min="10501" max="10502" width="10.75" style="210" customWidth="1"/>
    <col min="10503" max="10507" width="9.375" style="210"/>
    <col min="10508" max="10508" width="1.625" style="210" bestFit="1" customWidth="1"/>
    <col min="10509" max="10509" width="9.375" style="210"/>
    <col min="10510" max="10510" width="8.875" style="210" customWidth="1"/>
    <col min="10511" max="10511" width="13.125" style="210" customWidth="1"/>
    <col min="10512" max="10512" width="9.375" style="210"/>
    <col min="10513" max="10513" width="9.875" style="210" customWidth="1"/>
    <col min="10514" max="10514" width="11.75" style="210" bestFit="1" customWidth="1"/>
    <col min="10515" max="10744" width="9.375" style="210"/>
    <col min="10745" max="10745" width="5" style="210" customWidth="1"/>
    <col min="10746" max="10746" width="17.875" style="210" bestFit="1" customWidth="1"/>
    <col min="10747" max="10747" width="9.875" style="210" customWidth="1"/>
    <col min="10748" max="10748" width="8.875" style="210" customWidth="1"/>
    <col min="10749" max="10749" width="7.375" style="210" bestFit="1" customWidth="1"/>
    <col min="10750" max="10750" width="10.125" style="210" bestFit="1" customWidth="1"/>
    <col min="10751" max="10751" width="9.375" style="210"/>
    <col min="10752" max="10752" width="10.125" style="210" bestFit="1" customWidth="1"/>
    <col min="10753" max="10753" width="10.75" style="210" customWidth="1"/>
    <col min="10754" max="10756" width="9.375" style="210"/>
    <col min="10757" max="10758" width="10.75" style="210" customWidth="1"/>
    <col min="10759" max="10763" width="9.375" style="210"/>
    <col min="10764" max="10764" width="1.625" style="210" bestFit="1" customWidth="1"/>
    <col min="10765" max="10765" width="9.375" style="210"/>
    <col min="10766" max="10766" width="8.875" style="210" customWidth="1"/>
    <col min="10767" max="10767" width="13.125" style="210" customWidth="1"/>
    <col min="10768" max="10768" width="9.375" style="210"/>
    <col min="10769" max="10769" width="9.875" style="210" customWidth="1"/>
    <col min="10770" max="10770" width="11.75" style="210" bestFit="1" customWidth="1"/>
    <col min="10771" max="11000" width="9.375" style="210"/>
    <col min="11001" max="11001" width="5" style="210" customWidth="1"/>
    <col min="11002" max="11002" width="17.875" style="210" bestFit="1" customWidth="1"/>
    <col min="11003" max="11003" width="9.875" style="210" customWidth="1"/>
    <col min="11004" max="11004" width="8.875" style="210" customWidth="1"/>
    <col min="11005" max="11005" width="7.375" style="210" bestFit="1" customWidth="1"/>
    <col min="11006" max="11006" width="10.125" style="210" bestFit="1" customWidth="1"/>
    <col min="11007" max="11007" width="9.375" style="210"/>
    <col min="11008" max="11008" width="10.125" style="210" bestFit="1" customWidth="1"/>
    <col min="11009" max="11009" width="10.75" style="210" customWidth="1"/>
    <col min="11010" max="11012" width="9.375" style="210"/>
    <col min="11013" max="11014" width="10.75" style="210" customWidth="1"/>
    <col min="11015" max="11019" width="9.375" style="210"/>
    <col min="11020" max="11020" width="1.625" style="210" bestFit="1" customWidth="1"/>
    <col min="11021" max="11021" width="9.375" style="210"/>
    <col min="11022" max="11022" width="8.875" style="210" customWidth="1"/>
    <col min="11023" max="11023" width="13.125" style="210" customWidth="1"/>
    <col min="11024" max="11024" width="9.375" style="210"/>
    <col min="11025" max="11025" width="9.875" style="210" customWidth="1"/>
    <col min="11026" max="11026" width="11.75" style="210" bestFit="1" customWidth="1"/>
    <col min="11027" max="11256" width="9.375" style="210"/>
    <col min="11257" max="11257" width="5" style="210" customWidth="1"/>
    <col min="11258" max="11258" width="17.875" style="210" bestFit="1" customWidth="1"/>
    <col min="11259" max="11259" width="9.875" style="210" customWidth="1"/>
    <col min="11260" max="11260" width="8.875" style="210" customWidth="1"/>
    <col min="11261" max="11261" width="7.375" style="210" bestFit="1" customWidth="1"/>
    <col min="11262" max="11262" width="10.125" style="210" bestFit="1" customWidth="1"/>
    <col min="11263" max="11263" width="9.375" style="210"/>
    <col min="11264" max="11264" width="10.125" style="210" bestFit="1" customWidth="1"/>
    <col min="11265" max="11265" width="10.75" style="210" customWidth="1"/>
    <col min="11266" max="11268" width="9.375" style="210"/>
    <col min="11269" max="11270" width="10.75" style="210" customWidth="1"/>
    <col min="11271" max="11275" width="9.375" style="210"/>
    <col min="11276" max="11276" width="1.625" style="210" bestFit="1" customWidth="1"/>
    <col min="11277" max="11277" width="9.375" style="210"/>
    <col min="11278" max="11278" width="8.875" style="210" customWidth="1"/>
    <col min="11279" max="11279" width="13.125" style="210" customWidth="1"/>
    <col min="11280" max="11280" width="9.375" style="210"/>
    <col min="11281" max="11281" width="9.875" style="210" customWidth="1"/>
    <col min="11282" max="11282" width="11.75" style="210" bestFit="1" customWidth="1"/>
    <col min="11283" max="11512" width="9.375" style="210"/>
    <col min="11513" max="11513" width="5" style="210" customWidth="1"/>
    <col min="11514" max="11514" width="17.875" style="210" bestFit="1" customWidth="1"/>
    <col min="11515" max="11515" width="9.875" style="210" customWidth="1"/>
    <col min="11516" max="11516" width="8.875" style="210" customWidth="1"/>
    <col min="11517" max="11517" width="7.375" style="210" bestFit="1" customWidth="1"/>
    <col min="11518" max="11518" width="10.125" style="210" bestFit="1" customWidth="1"/>
    <col min="11519" max="11519" width="9.375" style="210"/>
    <col min="11520" max="11520" width="10.125" style="210" bestFit="1" customWidth="1"/>
    <col min="11521" max="11521" width="10.75" style="210" customWidth="1"/>
    <col min="11522" max="11524" width="9.375" style="210"/>
    <col min="11525" max="11526" width="10.75" style="210" customWidth="1"/>
    <col min="11527" max="11531" width="9.375" style="210"/>
    <col min="11532" max="11532" width="1.625" style="210" bestFit="1" customWidth="1"/>
    <col min="11533" max="11533" width="9.375" style="210"/>
    <col min="11534" max="11534" width="8.875" style="210" customWidth="1"/>
    <col min="11535" max="11535" width="13.125" style="210" customWidth="1"/>
    <col min="11536" max="11536" width="9.375" style="210"/>
    <col min="11537" max="11537" width="9.875" style="210" customWidth="1"/>
    <col min="11538" max="11538" width="11.75" style="210" bestFit="1" customWidth="1"/>
    <col min="11539" max="11768" width="9.375" style="210"/>
    <col min="11769" max="11769" width="5" style="210" customWidth="1"/>
    <col min="11770" max="11770" width="17.875" style="210" bestFit="1" customWidth="1"/>
    <col min="11771" max="11771" width="9.875" style="210" customWidth="1"/>
    <col min="11772" max="11772" width="8.875" style="210" customWidth="1"/>
    <col min="11773" max="11773" width="7.375" style="210" bestFit="1" customWidth="1"/>
    <col min="11774" max="11774" width="10.125" style="210" bestFit="1" customWidth="1"/>
    <col min="11775" max="11775" width="9.375" style="210"/>
    <col min="11776" max="11776" width="10.125" style="210" bestFit="1" customWidth="1"/>
    <col min="11777" max="11777" width="10.75" style="210" customWidth="1"/>
    <col min="11778" max="11780" width="9.375" style="210"/>
    <col min="11781" max="11782" width="10.75" style="210" customWidth="1"/>
    <col min="11783" max="11787" width="9.375" style="210"/>
    <col min="11788" max="11788" width="1.625" style="210" bestFit="1" customWidth="1"/>
    <col min="11789" max="11789" width="9.375" style="210"/>
    <col min="11790" max="11790" width="8.875" style="210" customWidth="1"/>
    <col min="11791" max="11791" width="13.125" style="210" customWidth="1"/>
    <col min="11792" max="11792" width="9.375" style="210"/>
    <col min="11793" max="11793" width="9.875" style="210" customWidth="1"/>
    <col min="11794" max="11794" width="11.75" style="210" bestFit="1" customWidth="1"/>
    <col min="11795" max="12024" width="9.375" style="210"/>
    <col min="12025" max="12025" width="5" style="210" customWidth="1"/>
    <col min="12026" max="12026" width="17.875" style="210" bestFit="1" customWidth="1"/>
    <col min="12027" max="12027" width="9.875" style="210" customWidth="1"/>
    <col min="12028" max="12028" width="8.875" style="210" customWidth="1"/>
    <col min="12029" max="12029" width="7.375" style="210" bestFit="1" customWidth="1"/>
    <col min="12030" max="12030" width="10.125" style="210" bestFit="1" customWidth="1"/>
    <col min="12031" max="12031" width="9.375" style="210"/>
    <col min="12032" max="12032" width="10.125" style="210" bestFit="1" customWidth="1"/>
    <col min="12033" max="12033" width="10.75" style="210" customWidth="1"/>
    <col min="12034" max="12036" width="9.375" style="210"/>
    <col min="12037" max="12038" width="10.75" style="210" customWidth="1"/>
    <col min="12039" max="12043" width="9.375" style="210"/>
    <col min="12044" max="12044" width="1.625" style="210" bestFit="1" customWidth="1"/>
    <col min="12045" max="12045" width="9.375" style="210"/>
    <col min="12046" max="12046" width="8.875" style="210" customWidth="1"/>
    <col min="12047" max="12047" width="13.125" style="210" customWidth="1"/>
    <col min="12048" max="12048" width="9.375" style="210"/>
    <col min="12049" max="12049" width="9.875" style="210" customWidth="1"/>
    <col min="12050" max="12050" width="11.75" style="210" bestFit="1" customWidth="1"/>
    <col min="12051" max="12280" width="9.375" style="210"/>
    <col min="12281" max="12281" width="5" style="210" customWidth="1"/>
    <col min="12282" max="12282" width="17.875" style="210" bestFit="1" customWidth="1"/>
    <col min="12283" max="12283" width="9.875" style="210" customWidth="1"/>
    <col min="12284" max="12284" width="8.875" style="210" customWidth="1"/>
    <col min="12285" max="12285" width="7.375" style="210" bestFit="1" customWidth="1"/>
    <col min="12286" max="12286" width="10.125" style="210" bestFit="1" customWidth="1"/>
    <col min="12287" max="12287" width="9.375" style="210"/>
    <col min="12288" max="12288" width="10.125" style="210" bestFit="1" customWidth="1"/>
    <col min="12289" max="12289" width="10.75" style="210" customWidth="1"/>
    <col min="12290" max="12292" width="9.375" style="210"/>
    <col min="12293" max="12294" width="10.75" style="210" customWidth="1"/>
    <col min="12295" max="12299" width="9.375" style="210"/>
    <col min="12300" max="12300" width="1.625" style="210" bestFit="1" customWidth="1"/>
    <col min="12301" max="12301" width="9.375" style="210"/>
    <col min="12302" max="12302" width="8.875" style="210" customWidth="1"/>
    <col min="12303" max="12303" width="13.125" style="210" customWidth="1"/>
    <col min="12304" max="12304" width="9.375" style="210"/>
    <col min="12305" max="12305" width="9.875" style="210" customWidth="1"/>
    <col min="12306" max="12306" width="11.75" style="210" bestFit="1" customWidth="1"/>
    <col min="12307" max="12536" width="9.375" style="210"/>
    <col min="12537" max="12537" width="5" style="210" customWidth="1"/>
    <col min="12538" max="12538" width="17.875" style="210" bestFit="1" customWidth="1"/>
    <col min="12539" max="12539" width="9.875" style="210" customWidth="1"/>
    <col min="12540" max="12540" width="8.875" style="210" customWidth="1"/>
    <col min="12541" max="12541" width="7.375" style="210" bestFit="1" customWidth="1"/>
    <col min="12542" max="12542" width="10.125" style="210" bestFit="1" customWidth="1"/>
    <col min="12543" max="12543" width="9.375" style="210"/>
    <col min="12544" max="12544" width="10.125" style="210" bestFit="1" customWidth="1"/>
    <col min="12545" max="12545" width="10.75" style="210" customWidth="1"/>
    <col min="12546" max="12548" width="9.375" style="210"/>
    <col min="12549" max="12550" width="10.75" style="210" customWidth="1"/>
    <col min="12551" max="12555" width="9.375" style="210"/>
    <col min="12556" max="12556" width="1.625" style="210" bestFit="1" customWidth="1"/>
    <col min="12557" max="12557" width="9.375" style="210"/>
    <col min="12558" max="12558" width="8.875" style="210" customWidth="1"/>
    <col min="12559" max="12559" width="13.125" style="210" customWidth="1"/>
    <col min="12560" max="12560" width="9.375" style="210"/>
    <col min="12561" max="12561" width="9.875" style="210" customWidth="1"/>
    <col min="12562" max="12562" width="11.75" style="210" bestFit="1" customWidth="1"/>
    <col min="12563" max="12792" width="9.375" style="210"/>
    <col min="12793" max="12793" width="5" style="210" customWidth="1"/>
    <col min="12794" max="12794" width="17.875" style="210" bestFit="1" customWidth="1"/>
    <col min="12795" max="12795" width="9.875" style="210" customWidth="1"/>
    <col min="12796" max="12796" width="8.875" style="210" customWidth="1"/>
    <col min="12797" max="12797" width="7.375" style="210" bestFit="1" customWidth="1"/>
    <col min="12798" max="12798" width="10.125" style="210" bestFit="1" customWidth="1"/>
    <col min="12799" max="12799" width="9.375" style="210"/>
    <col min="12800" max="12800" width="10.125" style="210" bestFit="1" customWidth="1"/>
    <col min="12801" max="12801" width="10.75" style="210" customWidth="1"/>
    <col min="12802" max="12804" width="9.375" style="210"/>
    <col min="12805" max="12806" width="10.75" style="210" customWidth="1"/>
    <col min="12807" max="12811" width="9.375" style="210"/>
    <col min="12812" max="12812" width="1.625" style="210" bestFit="1" customWidth="1"/>
    <col min="12813" max="12813" width="9.375" style="210"/>
    <col min="12814" max="12814" width="8.875" style="210" customWidth="1"/>
    <col min="12815" max="12815" width="13.125" style="210" customWidth="1"/>
    <col min="12816" max="12816" width="9.375" style="210"/>
    <col min="12817" max="12817" width="9.875" style="210" customWidth="1"/>
    <col min="12818" max="12818" width="11.75" style="210" bestFit="1" customWidth="1"/>
    <col min="12819" max="13048" width="9.375" style="210"/>
    <col min="13049" max="13049" width="5" style="210" customWidth="1"/>
    <col min="13050" max="13050" width="17.875" style="210" bestFit="1" customWidth="1"/>
    <col min="13051" max="13051" width="9.875" style="210" customWidth="1"/>
    <col min="13052" max="13052" width="8.875" style="210" customWidth="1"/>
    <col min="13053" max="13053" width="7.375" style="210" bestFit="1" customWidth="1"/>
    <col min="13054" max="13054" width="10.125" style="210" bestFit="1" customWidth="1"/>
    <col min="13055" max="13055" width="9.375" style="210"/>
    <col min="13056" max="13056" width="10.125" style="210" bestFit="1" customWidth="1"/>
    <col min="13057" max="13057" width="10.75" style="210" customWidth="1"/>
    <col min="13058" max="13060" width="9.375" style="210"/>
    <col min="13061" max="13062" width="10.75" style="210" customWidth="1"/>
    <col min="13063" max="13067" width="9.375" style="210"/>
    <col min="13068" max="13068" width="1.625" style="210" bestFit="1" customWidth="1"/>
    <col min="13069" max="13069" width="9.375" style="210"/>
    <col min="13070" max="13070" width="8.875" style="210" customWidth="1"/>
    <col min="13071" max="13071" width="13.125" style="210" customWidth="1"/>
    <col min="13072" max="13072" width="9.375" style="210"/>
    <col min="13073" max="13073" width="9.875" style="210" customWidth="1"/>
    <col min="13074" max="13074" width="11.75" style="210" bestFit="1" customWidth="1"/>
    <col min="13075" max="13304" width="9.375" style="210"/>
    <col min="13305" max="13305" width="5" style="210" customWidth="1"/>
    <col min="13306" max="13306" width="17.875" style="210" bestFit="1" customWidth="1"/>
    <col min="13307" max="13307" width="9.875" style="210" customWidth="1"/>
    <col min="13308" max="13308" width="8.875" style="210" customWidth="1"/>
    <col min="13309" max="13309" width="7.375" style="210" bestFit="1" customWidth="1"/>
    <col min="13310" max="13310" width="10.125" style="210" bestFit="1" customWidth="1"/>
    <col min="13311" max="13311" width="9.375" style="210"/>
    <col min="13312" max="13312" width="10.125" style="210" bestFit="1" customWidth="1"/>
    <col min="13313" max="13313" width="10.75" style="210" customWidth="1"/>
    <col min="13314" max="13316" width="9.375" style="210"/>
    <col min="13317" max="13318" width="10.75" style="210" customWidth="1"/>
    <col min="13319" max="13323" width="9.375" style="210"/>
    <col min="13324" max="13324" width="1.625" style="210" bestFit="1" customWidth="1"/>
    <col min="13325" max="13325" width="9.375" style="210"/>
    <col min="13326" max="13326" width="8.875" style="210" customWidth="1"/>
    <col min="13327" max="13327" width="13.125" style="210" customWidth="1"/>
    <col min="13328" max="13328" width="9.375" style="210"/>
    <col min="13329" max="13329" width="9.875" style="210" customWidth="1"/>
    <col min="13330" max="13330" width="11.75" style="210" bestFit="1" customWidth="1"/>
    <col min="13331" max="13560" width="9.375" style="210"/>
    <col min="13561" max="13561" width="5" style="210" customWidth="1"/>
    <col min="13562" max="13562" width="17.875" style="210" bestFit="1" customWidth="1"/>
    <col min="13563" max="13563" width="9.875" style="210" customWidth="1"/>
    <col min="13564" max="13564" width="8.875" style="210" customWidth="1"/>
    <col min="13565" max="13565" width="7.375" style="210" bestFit="1" customWidth="1"/>
    <col min="13566" max="13566" width="10.125" style="210" bestFit="1" customWidth="1"/>
    <col min="13567" max="13567" width="9.375" style="210"/>
    <col min="13568" max="13568" width="10.125" style="210" bestFit="1" customWidth="1"/>
    <col min="13569" max="13569" width="10.75" style="210" customWidth="1"/>
    <col min="13570" max="13572" width="9.375" style="210"/>
    <col min="13573" max="13574" width="10.75" style="210" customWidth="1"/>
    <col min="13575" max="13579" width="9.375" style="210"/>
    <col min="13580" max="13580" width="1.625" style="210" bestFit="1" customWidth="1"/>
    <col min="13581" max="13581" width="9.375" style="210"/>
    <col min="13582" max="13582" width="8.875" style="210" customWidth="1"/>
    <col min="13583" max="13583" width="13.125" style="210" customWidth="1"/>
    <col min="13584" max="13584" width="9.375" style="210"/>
    <col min="13585" max="13585" width="9.875" style="210" customWidth="1"/>
    <col min="13586" max="13586" width="11.75" style="210" bestFit="1" customWidth="1"/>
    <col min="13587" max="13816" width="9.375" style="210"/>
    <col min="13817" max="13817" width="5" style="210" customWidth="1"/>
    <col min="13818" max="13818" width="17.875" style="210" bestFit="1" customWidth="1"/>
    <col min="13819" max="13819" width="9.875" style="210" customWidth="1"/>
    <col min="13820" max="13820" width="8.875" style="210" customWidth="1"/>
    <col min="13821" max="13821" width="7.375" style="210" bestFit="1" customWidth="1"/>
    <col min="13822" max="13822" width="10.125" style="210" bestFit="1" customWidth="1"/>
    <col min="13823" max="13823" width="9.375" style="210"/>
    <col min="13824" max="13824" width="10.125" style="210" bestFit="1" customWidth="1"/>
    <col min="13825" max="13825" width="10.75" style="210" customWidth="1"/>
    <col min="13826" max="13828" width="9.375" style="210"/>
    <col min="13829" max="13830" width="10.75" style="210" customWidth="1"/>
    <col min="13831" max="13835" width="9.375" style="210"/>
    <col min="13836" max="13836" width="1.625" style="210" bestFit="1" customWidth="1"/>
    <col min="13837" max="13837" width="9.375" style="210"/>
    <col min="13838" max="13838" width="8.875" style="210" customWidth="1"/>
    <col min="13839" max="13839" width="13.125" style="210" customWidth="1"/>
    <col min="13840" max="13840" width="9.375" style="210"/>
    <col min="13841" max="13841" width="9.875" style="210" customWidth="1"/>
    <col min="13842" max="13842" width="11.75" style="210" bestFit="1" customWidth="1"/>
    <col min="13843" max="14072" width="9.375" style="210"/>
    <col min="14073" max="14073" width="5" style="210" customWidth="1"/>
    <col min="14074" max="14074" width="17.875" style="210" bestFit="1" customWidth="1"/>
    <col min="14075" max="14075" width="9.875" style="210" customWidth="1"/>
    <col min="14076" max="14076" width="8.875" style="210" customWidth="1"/>
    <col min="14077" max="14077" width="7.375" style="210" bestFit="1" customWidth="1"/>
    <col min="14078" max="14078" width="10.125" style="210" bestFit="1" customWidth="1"/>
    <col min="14079" max="14079" width="9.375" style="210"/>
    <col min="14080" max="14080" width="10.125" style="210" bestFit="1" customWidth="1"/>
    <col min="14081" max="14081" width="10.75" style="210" customWidth="1"/>
    <col min="14082" max="14084" width="9.375" style="210"/>
    <col min="14085" max="14086" width="10.75" style="210" customWidth="1"/>
    <col min="14087" max="14091" width="9.375" style="210"/>
    <col min="14092" max="14092" width="1.625" style="210" bestFit="1" customWidth="1"/>
    <col min="14093" max="14093" width="9.375" style="210"/>
    <col min="14094" max="14094" width="8.875" style="210" customWidth="1"/>
    <col min="14095" max="14095" width="13.125" style="210" customWidth="1"/>
    <col min="14096" max="14096" width="9.375" style="210"/>
    <col min="14097" max="14097" width="9.875" style="210" customWidth="1"/>
    <col min="14098" max="14098" width="11.75" style="210" bestFit="1" customWidth="1"/>
    <col min="14099" max="14328" width="9.375" style="210"/>
    <col min="14329" max="14329" width="5" style="210" customWidth="1"/>
    <col min="14330" max="14330" width="17.875" style="210" bestFit="1" customWidth="1"/>
    <col min="14331" max="14331" width="9.875" style="210" customWidth="1"/>
    <col min="14332" max="14332" width="8.875" style="210" customWidth="1"/>
    <col min="14333" max="14333" width="7.375" style="210" bestFit="1" customWidth="1"/>
    <col min="14334" max="14334" width="10.125" style="210" bestFit="1" customWidth="1"/>
    <col min="14335" max="14335" width="9.375" style="210"/>
    <col min="14336" max="14336" width="10.125" style="210" bestFit="1" customWidth="1"/>
    <col min="14337" max="14337" width="10.75" style="210" customWidth="1"/>
    <col min="14338" max="14340" width="9.375" style="210"/>
    <col min="14341" max="14342" width="10.75" style="210" customWidth="1"/>
    <col min="14343" max="14347" width="9.375" style="210"/>
    <col min="14348" max="14348" width="1.625" style="210" bestFit="1" customWidth="1"/>
    <col min="14349" max="14349" width="9.375" style="210"/>
    <col min="14350" max="14350" width="8.875" style="210" customWidth="1"/>
    <col min="14351" max="14351" width="13.125" style="210" customWidth="1"/>
    <col min="14352" max="14352" width="9.375" style="210"/>
    <col min="14353" max="14353" width="9.875" style="210" customWidth="1"/>
    <col min="14354" max="14354" width="11.75" style="210" bestFit="1" customWidth="1"/>
    <col min="14355" max="14584" width="9.375" style="210"/>
    <col min="14585" max="14585" width="5" style="210" customWidth="1"/>
    <col min="14586" max="14586" width="17.875" style="210" bestFit="1" customWidth="1"/>
    <col min="14587" max="14587" width="9.875" style="210" customWidth="1"/>
    <col min="14588" max="14588" width="8.875" style="210" customWidth="1"/>
    <col min="14589" max="14589" width="7.375" style="210" bestFit="1" customWidth="1"/>
    <col min="14590" max="14590" width="10.125" style="210" bestFit="1" customWidth="1"/>
    <col min="14591" max="14591" width="9.375" style="210"/>
    <col min="14592" max="14592" width="10.125" style="210" bestFit="1" customWidth="1"/>
    <col min="14593" max="14593" width="10.75" style="210" customWidth="1"/>
    <col min="14594" max="14596" width="9.375" style="210"/>
    <col min="14597" max="14598" width="10.75" style="210" customWidth="1"/>
    <col min="14599" max="14603" width="9.375" style="210"/>
    <col min="14604" max="14604" width="1.625" style="210" bestFit="1" customWidth="1"/>
    <col min="14605" max="14605" width="9.375" style="210"/>
    <col min="14606" max="14606" width="8.875" style="210" customWidth="1"/>
    <col min="14607" max="14607" width="13.125" style="210" customWidth="1"/>
    <col min="14608" max="14608" width="9.375" style="210"/>
    <col min="14609" max="14609" width="9.875" style="210" customWidth="1"/>
    <col min="14610" max="14610" width="11.75" style="210" bestFit="1" customWidth="1"/>
    <col min="14611" max="14840" width="9.375" style="210"/>
    <col min="14841" max="14841" width="5" style="210" customWidth="1"/>
    <col min="14842" max="14842" width="17.875" style="210" bestFit="1" customWidth="1"/>
    <col min="14843" max="14843" width="9.875" style="210" customWidth="1"/>
    <col min="14844" max="14844" width="8.875" style="210" customWidth="1"/>
    <col min="14845" max="14845" width="7.375" style="210" bestFit="1" customWidth="1"/>
    <col min="14846" max="14846" width="10.125" style="210" bestFit="1" customWidth="1"/>
    <col min="14847" max="14847" width="9.375" style="210"/>
    <col min="14848" max="14848" width="10.125" style="210" bestFit="1" customWidth="1"/>
    <col min="14849" max="14849" width="10.75" style="210" customWidth="1"/>
    <col min="14850" max="14852" width="9.375" style="210"/>
    <col min="14853" max="14854" width="10.75" style="210" customWidth="1"/>
    <col min="14855" max="14859" width="9.375" style="210"/>
    <col min="14860" max="14860" width="1.625" style="210" bestFit="1" customWidth="1"/>
    <col min="14861" max="14861" width="9.375" style="210"/>
    <col min="14862" max="14862" width="8.875" style="210" customWidth="1"/>
    <col min="14863" max="14863" width="13.125" style="210" customWidth="1"/>
    <col min="14864" max="14864" width="9.375" style="210"/>
    <col min="14865" max="14865" width="9.875" style="210" customWidth="1"/>
    <col min="14866" max="14866" width="11.75" style="210" bestFit="1" customWidth="1"/>
    <col min="14867" max="15096" width="9.375" style="210"/>
    <col min="15097" max="15097" width="5" style="210" customWidth="1"/>
    <col min="15098" max="15098" width="17.875" style="210" bestFit="1" customWidth="1"/>
    <col min="15099" max="15099" width="9.875" style="210" customWidth="1"/>
    <col min="15100" max="15100" width="8.875" style="210" customWidth="1"/>
    <col min="15101" max="15101" width="7.375" style="210" bestFit="1" customWidth="1"/>
    <col min="15102" max="15102" width="10.125" style="210" bestFit="1" customWidth="1"/>
    <col min="15103" max="15103" width="9.375" style="210"/>
    <col min="15104" max="15104" width="10.125" style="210" bestFit="1" customWidth="1"/>
    <col min="15105" max="15105" width="10.75" style="210" customWidth="1"/>
    <col min="15106" max="15108" width="9.375" style="210"/>
    <col min="15109" max="15110" width="10.75" style="210" customWidth="1"/>
    <col min="15111" max="15115" width="9.375" style="210"/>
    <col min="15116" max="15116" width="1.625" style="210" bestFit="1" customWidth="1"/>
    <col min="15117" max="15117" width="9.375" style="210"/>
    <col min="15118" max="15118" width="8.875" style="210" customWidth="1"/>
    <col min="15119" max="15119" width="13.125" style="210" customWidth="1"/>
    <col min="15120" max="15120" width="9.375" style="210"/>
    <col min="15121" max="15121" width="9.875" style="210" customWidth="1"/>
    <col min="15122" max="15122" width="11.75" style="210" bestFit="1" customWidth="1"/>
    <col min="15123" max="15352" width="9.375" style="210"/>
    <col min="15353" max="15353" width="5" style="210" customWidth="1"/>
    <col min="15354" max="15354" width="17.875" style="210" bestFit="1" customWidth="1"/>
    <col min="15355" max="15355" width="9.875" style="210" customWidth="1"/>
    <col min="15356" max="15356" width="8.875" style="210" customWidth="1"/>
    <col min="15357" max="15357" width="7.375" style="210" bestFit="1" customWidth="1"/>
    <col min="15358" max="15358" width="10.125" style="210" bestFit="1" customWidth="1"/>
    <col min="15359" max="15359" width="9.375" style="210"/>
    <col min="15360" max="15360" width="10.125" style="210" bestFit="1" customWidth="1"/>
    <col min="15361" max="15361" width="10.75" style="210" customWidth="1"/>
    <col min="15362" max="15364" width="9.375" style="210"/>
    <col min="15365" max="15366" width="10.75" style="210" customWidth="1"/>
    <col min="15367" max="15371" width="9.375" style="210"/>
    <col min="15372" max="15372" width="1.625" style="210" bestFit="1" customWidth="1"/>
    <col min="15373" max="15373" width="9.375" style="210"/>
    <col min="15374" max="15374" width="8.875" style="210" customWidth="1"/>
    <col min="15375" max="15375" width="13.125" style="210" customWidth="1"/>
    <col min="15376" max="15376" width="9.375" style="210"/>
    <col min="15377" max="15377" width="9.875" style="210" customWidth="1"/>
    <col min="15378" max="15378" width="11.75" style="210" bestFit="1" customWidth="1"/>
    <col min="15379" max="15608" width="9.375" style="210"/>
    <col min="15609" max="15609" width="5" style="210" customWidth="1"/>
    <col min="15610" max="15610" width="17.875" style="210" bestFit="1" customWidth="1"/>
    <col min="15611" max="15611" width="9.875" style="210" customWidth="1"/>
    <col min="15612" max="15612" width="8.875" style="210" customWidth="1"/>
    <col min="15613" max="15613" width="7.375" style="210" bestFit="1" customWidth="1"/>
    <col min="15614" max="15614" width="10.125" style="210" bestFit="1" customWidth="1"/>
    <col min="15615" max="15615" width="9.375" style="210"/>
    <col min="15616" max="15616" width="10.125" style="210" bestFit="1" customWidth="1"/>
    <col min="15617" max="15617" width="10.75" style="210" customWidth="1"/>
    <col min="15618" max="15620" width="9.375" style="210"/>
    <col min="15621" max="15622" width="10.75" style="210" customWidth="1"/>
    <col min="15623" max="15627" width="9.375" style="210"/>
    <col min="15628" max="15628" width="1.625" style="210" bestFit="1" customWidth="1"/>
    <col min="15629" max="15629" width="9.375" style="210"/>
    <col min="15630" max="15630" width="8.875" style="210" customWidth="1"/>
    <col min="15631" max="15631" width="13.125" style="210" customWidth="1"/>
    <col min="15632" max="15632" width="9.375" style="210"/>
    <col min="15633" max="15633" width="9.875" style="210" customWidth="1"/>
    <col min="15634" max="15634" width="11.75" style="210" bestFit="1" customWidth="1"/>
    <col min="15635" max="15864" width="9.375" style="210"/>
    <col min="15865" max="15865" width="5" style="210" customWidth="1"/>
    <col min="15866" max="15866" width="17.875" style="210" bestFit="1" customWidth="1"/>
    <col min="15867" max="15867" width="9.875" style="210" customWidth="1"/>
    <col min="15868" max="15868" width="8.875" style="210" customWidth="1"/>
    <col min="15869" max="15869" width="7.375" style="210" bestFit="1" customWidth="1"/>
    <col min="15870" max="15870" width="10.125" style="210" bestFit="1" customWidth="1"/>
    <col min="15871" max="15871" width="9.375" style="210"/>
    <col min="15872" max="15872" width="10.125" style="210" bestFit="1" customWidth="1"/>
    <col min="15873" max="15873" width="10.75" style="210" customWidth="1"/>
    <col min="15874" max="15876" width="9.375" style="210"/>
    <col min="15877" max="15878" width="10.75" style="210" customWidth="1"/>
    <col min="15879" max="15883" width="9.375" style="210"/>
    <col min="15884" max="15884" width="1.625" style="210" bestFit="1" customWidth="1"/>
    <col min="15885" max="15885" width="9.375" style="210"/>
    <col min="15886" max="15886" width="8.875" style="210" customWidth="1"/>
    <col min="15887" max="15887" width="13.125" style="210" customWidth="1"/>
    <col min="15888" max="15888" width="9.375" style="210"/>
    <col min="15889" max="15889" width="9.875" style="210" customWidth="1"/>
    <col min="15890" max="15890" width="11.75" style="210" bestFit="1" customWidth="1"/>
    <col min="15891" max="16120" width="9.375" style="210"/>
    <col min="16121" max="16121" width="5" style="210" customWidth="1"/>
    <col min="16122" max="16122" width="17.875" style="210" bestFit="1" customWidth="1"/>
    <col min="16123" max="16123" width="9.875" style="210" customWidth="1"/>
    <col min="16124" max="16124" width="8.875" style="210" customWidth="1"/>
    <col min="16125" max="16125" width="7.375" style="210" bestFit="1" customWidth="1"/>
    <col min="16126" max="16126" width="10.125" style="210" bestFit="1" customWidth="1"/>
    <col min="16127" max="16127" width="9.375" style="210"/>
    <col min="16128" max="16128" width="10.125" style="210" bestFit="1" customWidth="1"/>
    <col min="16129" max="16129" width="10.75" style="210" customWidth="1"/>
    <col min="16130" max="16132" width="9.375" style="210"/>
    <col min="16133" max="16134" width="10.75" style="210" customWidth="1"/>
    <col min="16135" max="16139" width="9.375" style="210"/>
    <col min="16140" max="16140" width="1.625" style="210" bestFit="1" customWidth="1"/>
    <col min="16141" max="16141" width="9.375" style="210"/>
    <col min="16142" max="16142" width="8.875" style="210" customWidth="1"/>
    <col min="16143" max="16143" width="13.125" style="210" customWidth="1"/>
    <col min="16144" max="16144" width="9.375" style="210"/>
    <col min="16145" max="16145" width="9.875" style="210" customWidth="1"/>
    <col min="16146" max="16146" width="11.75" style="210" bestFit="1" customWidth="1"/>
    <col min="16147" max="16384" width="9.375" style="210"/>
  </cols>
  <sheetData>
    <row r="1" spans="1:21" s="43" customFormat="1" ht="21" x14ac:dyDescent="0.2">
      <c r="A1" s="199" t="s">
        <v>568</v>
      </c>
      <c r="B1" s="42"/>
      <c r="C1" s="42"/>
      <c r="D1" s="205"/>
      <c r="E1" s="205"/>
      <c r="F1" s="205"/>
      <c r="G1" s="205"/>
      <c r="H1" s="206"/>
      <c r="I1" s="206"/>
      <c r="J1" s="206"/>
      <c r="K1" s="206"/>
      <c r="L1" s="206"/>
      <c r="N1" s="206"/>
      <c r="O1" s="207"/>
      <c r="P1" s="56"/>
      <c r="Q1" s="207"/>
      <c r="R1" s="207"/>
      <c r="S1" s="56"/>
      <c r="T1" s="56"/>
      <c r="U1" s="56"/>
    </row>
    <row r="2" spans="1:21" s="53" customFormat="1" ht="21" x14ac:dyDescent="0.35">
      <c r="A2" s="25">
        <f>Paramètres!B5</f>
        <v>2021</v>
      </c>
      <c r="O2" s="209"/>
      <c r="P2" s="208"/>
      <c r="Q2" s="209"/>
      <c r="R2" s="209"/>
      <c r="S2" s="208"/>
      <c r="T2" s="208"/>
      <c r="U2" s="208"/>
    </row>
    <row r="4" spans="1:21" s="221" customFormat="1" ht="60" x14ac:dyDescent="0.2">
      <c r="A4" s="624" t="s">
        <v>46</v>
      </c>
      <c r="B4" s="624" t="s">
        <v>94</v>
      </c>
      <c r="C4" s="624" t="s">
        <v>576</v>
      </c>
      <c r="D4" s="624" t="s">
        <v>296</v>
      </c>
      <c r="E4" s="624" t="s">
        <v>462</v>
      </c>
      <c r="F4" s="624" t="s">
        <v>466</v>
      </c>
      <c r="G4" s="624" t="s">
        <v>566</v>
      </c>
      <c r="H4" s="626" t="s">
        <v>331</v>
      </c>
      <c r="I4" s="224" t="s">
        <v>469</v>
      </c>
      <c r="J4" s="624" t="s">
        <v>567</v>
      </c>
      <c r="K4" s="624" t="s">
        <v>569</v>
      </c>
      <c r="L4" s="624" t="s">
        <v>509</v>
      </c>
      <c r="M4" s="224" t="s">
        <v>575</v>
      </c>
      <c r="N4" s="624" t="s">
        <v>467</v>
      </c>
      <c r="O4" s="219"/>
      <c r="P4" s="218"/>
      <c r="Q4" s="219"/>
      <c r="R4" s="220"/>
      <c r="S4" s="218"/>
      <c r="T4" s="218"/>
      <c r="U4" s="218"/>
    </row>
    <row r="5" spans="1:21" s="221" customFormat="1" x14ac:dyDescent="0.2">
      <c r="A5" s="625"/>
      <c r="B5" s="625"/>
      <c r="C5" s="625"/>
      <c r="D5" s="625"/>
      <c r="E5" s="625"/>
      <c r="F5" s="625"/>
      <c r="G5" s="625"/>
      <c r="H5" s="627"/>
      <c r="I5" s="417">
        <f>Paramètres!B60</f>
        <v>2</v>
      </c>
      <c r="J5" s="625"/>
      <c r="K5" s="625"/>
      <c r="L5" s="625"/>
      <c r="M5" s="416">
        <f>+M314/L314</f>
        <v>1.1689253731705458</v>
      </c>
      <c r="N5" s="625"/>
      <c r="O5" s="220"/>
      <c r="P5" s="218"/>
      <c r="Q5" s="220"/>
      <c r="R5" s="220"/>
      <c r="S5" s="218"/>
      <c r="T5" s="218"/>
      <c r="U5" s="218"/>
    </row>
    <row r="6" spans="1:21" x14ac:dyDescent="0.25">
      <c r="A6" s="299">
        <f>'A) Base RI'!A7</f>
        <v>5401</v>
      </c>
      <c r="B6" s="222" t="str">
        <f>'A) Base RI'!B7</f>
        <v>Aigle</v>
      </c>
      <c r="C6" s="237">
        <v>1</v>
      </c>
      <c r="D6" s="213">
        <f>'B) D RI'!AA7</f>
        <v>10828</v>
      </c>
      <c r="E6" s="214">
        <f>'B) D RI'!S7</f>
        <v>66</v>
      </c>
      <c r="F6" s="10">
        <f>'B) D RI'!R7</f>
        <v>18545436.701666664</v>
      </c>
      <c r="G6" s="10">
        <f>'B) D RI'!U7</f>
        <v>280991.46517676767</v>
      </c>
      <c r="H6" s="41">
        <f>'B) D RI'!T7</f>
        <v>16461898.109999998</v>
      </c>
      <c r="I6" s="54">
        <f>+H6/E6*$I$5</f>
        <v>498845.39727272722</v>
      </c>
      <c r="J6" s="86">
        <f t="shared" ref="J6:J36" si="0">+$I$314/$D$314*D6</f>
        <v>967727.13792262215</v>
      </c>
      <c r="K6" s="54">
        <f t="shared" ref="K6:K68" si="1">IF(C6=1,0,IF(J6&gt;I6,I6,J6))</f>
        <v>0</v>
      </c>
      <c r="L6" s="54">
        <f>'D) Ecrêtage'!C6</f>
        <v>280991.46517676767</v>
      </c>
      <c r="M6" s="54">
        <f t="shared" ref="M6:M36" si="2">+$M$5*L6</f>
        <v>328458.05328949157</v>
      </c>
      <c r="N6" s="100">
        <f t="shared" ref="N6:N69" si="3">+M6+K6</f>
        <v>328458.05328949157</v>
      </c>
      <c r="O6" s="411"/>
      <c r="P6" s="215"/>
      <c r="S6" s="216"/>
    </row>
    <row r="7" spans="1:21" x14ac:dyDescent="0.25">
      <c r="A7" s="300">
        <f>'A) Base RI'!A8</f>
        <v>5402</v>
      </c>
      <c r="B7" s="223" t="str">
        <f>'A) Base RI'!B8</f>
        <v>Bex</v>
      </c>
      <c r="C7" s="238">
        <v>1</v>
      </c>
      <c r="D7" s="213">
        <f>'B) D RI'!AA8</f>
        <v>8063</v>
      </c>
      <c r="E7" s="214">
        <f>'B) D RI'!S8</f>
        <v>71</v>
      </c>
      <c r="F7" s="10">
        <f>'B) D RI'!R8</f>
        <v>13682195.640000001</v>
      </c>
      <c r="G7" s="10">
        <f>'B) D RI'!U8</f>
        <v>192706.98084507044</v>
      </c>
      <c r="H7" s="41">
        <f>'B) D RI'!T8</f>
        <v>12200377.140000001</v>
      </c>
      <c r="I7" s="10">
        <f t="shared" ref="I7:I69" si="4">+H7/E7*$I$5</f>
        <v>343672.59549295774</v>
      </c>
      <c r="J7" s="31">
        <f t="shared" si="0"/>
        <v>720611.73929350777</v>
      </c>
      <c r="K7" s="10">
        <f t="shared" si="1"/>
        <v>0</v>
      </c>
      <c r="L7" s="10">
        <f>'D) Ecrêtage'!C7</f>
        <v>192706.98084507044</v>
      </c>
      <c r="M7" s="10">
        <f t="shared" si="2"/>
        <v>225260.07949689319</v>
      </c>
      <c r="N7" s="55">
        <f t="shared" si="3"/>
        <v>225260.07949689319</v>
      </c>
      <c r="O7" s="411"/>
      <c r="P7" s="215"/>
      <c r="S7" s="216"/>
    </row>
    <row r="8" spans="1:21" x14ac:dyDescent="0.25">
      <c r="A8" s="300">
        <f>'A) Base RI'!A9</f>
        <v>5403</v>
      </c>
      <c r="B8" s="223" t="str">
        <f>'A) Base RI'!B9</f>
        <v>Chessel</v>
      </c>
      <c r="C8" s="238">
        <v>0</v>
      </c>
      <c r="D8" s="213">
        <f>'B) D RI'!AA9</f>
        <v>497</v>
      </c>
      <c r="E8" s="214">
        <f>'B) D RI'!S9</f>
        <v>74</v>
      </c>
      <c r="F8" s="10">
        <f>'B) D RI'!R9</f>
        <v>894684.62</v>
      </c>
      <c r="G8" s="10">
        <f>'B) D RI'!U9</f>
        <v>12090.332702702703</v>
      </c>
      <c r="H8" s="41">
        <f>'B) D RI'!T9</f>
        <v>797831.12</v>
      </c>
      <c r="I8" s="10">
        <f t="shared" si="4"/>
        <v>21563.003243243242</v>
      </c>
      <c r="J8" s="31">
        <f t="shared" si="0"/>
        <v>44418.210892828152</v>
      </c>
      <c r="K8" s="10">
        <f t="shared" si="1"/>
        <v>21563.003243243242</v>
      </c>
      <c r="L8" s="10">
        <f>'D) Ecrêtage'!C8</f>
        <v>12090.332702702703</v>
      </c>
      <c r="M8" s="10">
        <f t="shared" si="2"/>
        <v>14132.696666262809</v>
      </c>
      <c r="N8" s="55">
        <f t="shared" si="3"/>
        <v>35695.699909506053</v>
      </c>
      <c r="O8" s="411"/>
      <c r="P8" s="215"/>
      <c r="S8" s="216"/>
    </row>
    <row r="9" spans="1:21" x14ac:dyDescent="0.25">
      <c r="A9" s="300">
        <f>'A) Base RI'!A10</f>
        <v>5404</v>
      </c>
      <c r="B9" s="223" t="str">
        <f>'A) Base RI'!B10</f>
        <v>Corbeyrier</v>
      </c>
      <c r="C9" s="238">
        <v>0</v>
      </c>
      <c r="D9" s="213">
        <f>'B) D RI'!AA10</f>
        <v>439</v>
      </c>
      <c r="E9" s="214">
        <f>'B) D RI'!S10</f>
        <v>74</v>
      </c>
      <c r="F9" s="10">
        <f>'B) D RI'!R10</f>
        <v>857002.79</v>
      </c>
      <c r="G9" s="10">
        <f>'B) D RI'!U10</f>
        <v>11581.118783783784</v>
      </c>
      <c r="H9" s="41">
        <f>'B) D RI'!T10</f>
        <v>766547.84</v>
      </c>
      <c r="I9" s="10">
        <f t="shared" si="4"/>
        <v>20717.50918918919</v>
      </c>
      <c r="J9" s="31">
        <f t="shared" si="0"/>
        <v>39234.59674436933</v>
      </c>
      <c r="K9" s="10">
        <f t="shared" si="1"/>
        <v>20717.50918918919</v>
      </c>
      <c r="L9" s="10">
        <f>'D) Ecrêtage'!C9</f>
        <v>11581.118783783784</v>
      </c>
      <c r="M9" s="10">
        <f t="shared" si="2"/>
        <v>13537.463596066877</v>
      </c>
      <c r="N9" s="55">
        <f t="shared" si="3"/>
        <v>34254.972785256068</v>
      </c>
      <c r="O9" s="411"/>
      <c r="P9" s="215"/>
      <c r="S9" s="216"/>
    </row>
    <row r="10" spans="1:21" x14ac:dyDescent="0.25">
      <c r="A10" s="300">
        <f>'A) Base RI'!A11</f>
        <v>5405</v>
      </c>
      <c r="B10" s="223" t="str">
        <f>'A) Base RI'!B11</f>
        <v>Gryon</v>
      </c>
      <c r="C10" s="238">
        <v>0</v>
      </c>
      <c r="D10" s="213">
        <f>'B) D RI'!AA11</f>
        <v>1382</v>
      </c>
      <c r="E10" s="214">
        <f>'B) D RI'!S11</f>
        <v>73.5</v>
      </c>
      <c r="F10" s="10">
        <f>'B) D RI'!R11</f>
        <v>5741168.4300000006</v>
      </c>
      <c r="G10" s="10">
        <f>'B) D RI'!U11</f>
        <v>78111.135102040818</v>
      </c>
      <c r="H10" s="41">
        <f>'B) D RI'!T11</f>
        <v>4938155.33</v>
      </c>
      <c r="I10" s="10">
        <f t="shared" si="4"/>
        <v>134371.57360544219</v>
      </c>
      <c r="J10" s="31">
        <f t="shared" si="0"/>
        <v>123513.01298569115</v>
      </c>
      <c r="K10" s="10">
        <f t="shared" si="1"/>
        <v>123513.01298569115</v>
      </c>
      <c r="L10" s="10">
        <f>'D) Ecrêtage'!C10</f>
        <v>78111.135102040818</v>
      </c>
      <c r="M10" s="10">
        <f t="shared" si="2"/>
        <v>91306.087747927988</v>
      </c>
      <c r="N10" s="55">
        <f t="shared" si="3"/>
        <v>214819.10073361913</v>
      </c>
      <c r="O10" s="411"/>
      <c r="P10" s="215"/>
      <c r="S10" s="216"/>
    </row>
    <row r="11" spans="1:21" x14ac:dyDescent="0.25">
      <c r="A11" s="300">
        <f>'A) Base RI'!A12</f>
        <v>5406</v>
      </c>
      <c r="B11" s="223" t="str">
        <f>'A) Base RI'!B12</f>
        <v>Lavey-Morcles</v>
      </c>
      <c r="C11" s="238">
        <v>0</v>
      </c>
      <c r="D11" s="213">
        <f>'B) D RI'!AA12</f>
        <v>966</v>
      </c>
      <c r="E11" s="214">
        <f>'B) D RI'!S12</f>
        <v>71.5</v>
      </c>
      <c r="F11" s="10">
        <f>'B) D RI'!R12</f>
        <v>1538238.2861538462</v>
      </c>
      <c r="G11" s="10">
        <f>'B) D RI'!U12</f>
        <v>21513.822183969878</v>
      </c>
      <c r="H11" s="41">
        <f>'B) D RI'!T12</f>
        <v>1371184.94</v>
      </c>
      <c r="I11" s="10">
        <f t="shared" si="4"/>
        <v>38354.823496503494</v>
      </c>
      <c r="J11" s="31">
        <f t="shared" si="0"/>
        <v>86333.987369158946</v>
      </c>
      <c r="K11" s="10">
        <f t="shared" si="1"/>
        <v>38354.823496503494</v>
      </c>
      <c r="L11" s="10">
        <f>'D) Ecrêtage'!C11</f>
        <v>21513.822183969878</v>
      </c>
      <c r="M11" s="10">
        <f t="shared" si="2"/>
        <v>25148.052624721757</v>
      </c>
      <c r="N11" s="55">
        <f t="shared" si="3"/>
        <v>63502.87612122525</v>
      </c>
      <c r="O11" s="411"/>
      <c r="P11" s="215"/>
      <c r="S11" s="216"/>
    </row>
    <row r="12" spans="1:21" x14ac:dyDescent="0.25">
      <c r="A12" s="300">
        <f>'A) Base RI'!A13</f>
        <v>5407</v>
      </c>
      <c r="B12" s="223" t="str">
        <f>'A) Base RI'!B13</f>
        <v>Leysin</v>
      </c>
      <c r="C12" s="238">
        <v>0</v>
      </c>
      <c r="D12" s="213">
        <f>'B) D RI'!AA13</f>
        <v>3637</v>
      </c>
      <c r="E12" s="214">
        <f>'B) D RI'!S13</f>
        <v>78</v>
      </c>
      <c r="F12" s="10">
        <f>'B) D RI'!R13</f>
        <v>7073620.6166666662</v>
      </c>
      <c r="G12" s="10">
        <f>'B) D RI'!U13</f>
        <v>90687.443803418792</v>
      </c>
      <c r="H12" s="41">
        <f>'B) D RI'!T13</f>
        <v>6168164.0999999996</v>
      </c>
      <c r="I12" s="10">
        <f t="shared" si="4"/>
        <v>158158.05384615384</v>
      </c>
      <c r="J12" s="31">
        <f t="shared" si="0"/>
        <v>325048.35617146076</v>
      </c>
      <c r="K12" s="10">
        <f t="shared" si="1"/>
        <v>158158.05384615384</v>
      </c>
      <c r="L12" s="10">
        <f>'D) Ecrêtage'!C12</f>
        <v>90687.443803418792</v>
      </c>
      <c r="M12" s="10">
        <f t="shared" si="2"/>
        <v>106006.85408979421</v>
      </c>
      <c r="N12" s="55">
        <f t="shared" si="3"/>
        <v>264164.90793594805</v>
      </c>
      <c r="O12" s="411"/>
      <c r="P12" s="215"/>
      <c r="S12" s="216"/>
    </row>
    <row r="13" spans="1:21" x14ac:dyDescent="0.25">
      <c r="A13" s="300">
        <f>'A) Base RI'!A14</f>
        <v>5408</v>
      </c>
      <c r="B13" s="223" t="str">
        <f>'A) Base RI'!B14</f>
        <v>Noville</v>
      </c>
      <c r="C13" s="238">
        <v>0</v>
      </c>
      <c r="D13" s="213">
        <f>'B) D RI'!AA14</f>
        <v>1169</v>
      </c>
      <c r="E13" s="214">
        <f>'B) D RI'!S14</f>
        <v>78.5</v>
      </c>
      <c r="F13" s="10">
        <f>'B) D RI'!R14</f>
        <v>3249071.2466666671</v>
      </c>
      <c r="G13" s="10">
        <f>'B) D RI'!U14</f>
        <v>41389.442632696395</v>
      </c>
      <c r="H13" s="41">
        <f>'B) D RI'!T14</f>
        <v>2877998.8800000004</v>
      </c>
      <c r="I13" s="10">
        <f t="shared" si="4"/>
        <v>73324.812229299365</v>
      </c>
      <c r="J13" s="31">
        <f t="shared" si="0"/>
        <v>104476.63688876481</v>
      </c>
      <c r="K13" s="10">
        <f t="shared" si="1"/>
        <v>73324.812229299365</v>
      </c>
      <c r="L13" s="10">
        <f>'D) Ecrêtage'!C13</f>
        <v>41389.442632696395</v>
      </c>
      <c r="M13" s="10">
        <f t="shared" si="2"/>
        <v>48381.169674745528</v>
      </c>
      <c r="N13" s="55">
        <f t="shared" si="3"/>
        <v>121705.98190404489</v>
      </c>
      <c r="O13" s="411"/>
      <c r="P13" s="215"/>
      <c r="S13" s="216"/>
    </row>
    <row r="14" spans="1:21" x14ac:dyDescent="0.25">
      <c r="A14" s="300">
        <f>'A) Base RI'!A15</f>
        <v>5409</v>
      </c>
      <c r="B14" s="223" t="str">
        <f>'A) Base RI'!B15</f>
        <v>Ollon</v>
      </c>
      <c r="C14" s="238">
        <v>1</v>
      </c>
      <c r="D14" s="213">
        <f>'B) D RI'!AA15</f>
        <v>7904</v>
      </c>
      <c r="E14" s="214">
        <f>'B) D RI'!S15</f>
        <v>68</v>
      </c>
      <c r="F14" s="10">
        <f>'B) D RI'!R15</f>
        <v>29121881.330769233</v>
      </c>
      <c r="G14" s="10">
        <f>'B) D RI'!U15</f>
        <v>428262.96074660635</v>
      </c>
      <c r="H14" s="41">
        <f>'B) D RI'!T15</f>
        <v>25849243.100000001</v>
      </c>
      <c r="I14" s="10">
        <f t="shared" si="4"/>
        <v>760271.85588235303</v>
      </c>
      <c r="J14" s="31">
        <f t="shared" si="0"/>
        <v>706401.48671411211</v>
      </c>
      <c r="K14" s="10">
        <f t="shared" si="1"/>
        <v>0</v>
      </c>
      <c r="L14" s="10">
        <f>'D) Ecrêtage'!C14</f>
        <v>428262.96074660635</v>
      </c>
      <c r="M14" s="10">
        <f t="shared" si="2"/>
        <v>500607.44120584964</v>
      </c>
      <c r="N14" s="55">
        <f t="shared" si="3"/>
        <v>500607.44120584964</v>
      </c>
      <c r="O14" s="411"/>
      <c r="P14" s="215"/>
      <c r="S14" s="216"/>
    </row>
    <row r="15" spans="1:21" x14ac:dyDescent="0.25">
      <c r="A15" s="300">
        <f>'A) Base RI'!A16</f>
        <v>5410</v>
      </c>
      <c r="B15" s="223" t="str">
        <f>'A) Base RI'!B16</f>
        <v>Ormont-Dessous</v>
      </c>
      <c r="C15" s="238">
        <v>0</v>
      </c>
      <c r="D15" s="213">
        <f>'B) D RI'!AA16</f>
        <v>1162</v>
      </c>
      <c r="E15" s="214">
        <f>'B) D RI'!S16</f>
        <v>77</v>
      </c>
      <c r="F15" s="10">
        <f>'B) D RI'!R16</f>
        <v>2973304.8</v>
      </c>
      <c r="G15" s="10">
        <f>'B) D RI'!U16</f>
        <v>38614.348051948051</v>
      </c>
      <c r="H15" s="41">
        <f>'B) D RI'!T16</f>
        <v>2568086.5499999998</v>
      </c>
      <c r="I15" s="10">
        <f t="shared" si="4"/>
        <v>66703.546753246745</v>
      </c>
      <c r="J15" s="31">
        <f t="shared" si="0"/>
        <v>103851.02828464047</v>
      </c>
      <c r="K15" s="10">
        <f t="shared" si="1"/>
        <v>66703.546753246745</v>
      </c>
      <c r="L15" s="10">
        <f>'D) Ecrêtage'!C15</f>
        <v>38614.348051948051</v>
      </c>
      <c r="M15" s="10">
        <f t="shared" si="2"/>
        <v>45137.291206360715</v>
      </c>
      <c r="N15" s="55">
        <f t="shared" si="3"/>
        <v>111840.83795960745</v>
      </c>
      <c r="O15" s="411"/>
      <c r="P15" s="215"/>
      <c r="S15" s="216"/>
    </row>
    <row r="16" spans="1:21" s="211" customFormat="1" x14ac:dyDescent="0.25">
      <c r="A16" s="300">
        <f>'A) Base RI'!A17</f>
        <v>5411</v>
      </c>
      <c r="B16" s="223" t="str">
        <f>'A) Base RI'!B17</f>
        <v>Ormont-Dessus</v>
      </c>
      <c r="C16" s="238">
        <v>0</v>
      </c>
      <c r="D16" s="213">
        <f>'B) D RI'!AA17</f>
        <v>1451</v>
      </c>
      <c r="E16" s="214">
        <f>'B) D RI'!S17</f>
        <v>76</v>
      </c>
      <c r="F16" s="10">
        <f>'B) D RI'!R17</f>
        <v>5883267.2533333339</v>
      </c>
      <c r="G16" s="10">
        <f>'B) D RI'!U17</f>
        <v>77411.411228070181</v>
      </c>
      <c r="H16" s="41">
        <f>'B) D RI'!T17</f>
        <v>5020122.07</v>
      </c>
      <c r="I16" s="10">
        <f t="shared" si="4"/>
        <v>132108.4755263158</v>
      </c>
      <c r="J16" s="31">
        <f t="shared" si="0"/>
        <v>129679.72636920252</v>
      </c>
      <c r="K16" s="10">
        <f t="shared" si="1"/>
        <v>129679.72636920252</v>
      </c>
      <c r="L16" s="10">
        <f>'D) Ecrêtage'!C16</f>
        <v>77411.411228070181</v>
      </c>
      <c r="M16" s="10">
        <f t="shared" si="2"/>
        <v>90488.162757430517</v>
      </c>
      <c r="N16" s="55">
        <f t="shared" si="3"/>
        <v>220167.88912663303</v>
      </c>
      <c r="O16" s="411"/>
      <c r="P16" s="215"/>
      <c r="Q16" s="212"/>
      <c r="R16" s="212"/>
      <c r="S16" s="216"/>
    </row>
    <row r="17" spans="1:19" s="211" customFormat="1" x14ac:dyDescent="0.25">
      <c r="A17" s="300">
        <f>'A) Base RI'!A18</f>
        <v>5412</v>
      </c>
      <c r="B17" s="223" t="str">
        <f>'A) Base RI'!B18</f>
        <v>Rennaz</v>
      </c>
      <c r="C17" s="238">
        <v>0</v>
      </c>
      <c r="D17" s="213">
        <f>'B) D RI'!AA18</f>
        <v>883</v>
      </c>
      <c r="E17" s="214">
        <f>'B) D RI'!S18</f>
        <v>69</v>
      </c>
      <c r="F17" s="10">
        <f>'B) D RI'!R18</f>
        <v>1992443.96</v>
      </c>
      <c r="G17" s="10">
        <f>'B) D RI'!U18</f>
        <v>28875.999420289856</v>
      </c>
      <c r="H17" s="41">
        <f>'B) D RI'!T18</f>
        <v>1591809.9100000001</v>
      </c>
      <c r="I17" s="10">
        <f t="shared" si="4"/>
        <v>46139.417681159423</v>
      </c>
      <c r="J17" s="31">
        <f t="shared" si="0"/>
        <v>78916.056777398902</v>
      </c>
      <c r="K17" s="10">
        <f t="shared" si="1"/>
        <v>46139.417681159423</v>
      </c>
      <c r="L17" s="10">
        <f>'D) Ecrêtage'!C17</f>
        <v>28875.999420289856</v>
      </c>
      <c r="M17" s="10">
        <f t="shared" si="2"/>
        <v>33753.888398034782</v>
      </c>
      <c r="N17" s="55">
        <f t="shared" si="3"/>
        <v>79893.306079194212</v>
      </c>
      <c r="O17" s="411"/>
      <c r="P17" s="215"/>
      <c r="Q17" s="212"/>
      <c r="R17" s="212"/>
      <c r="S17" s="216"/>
    </row>
    <row r="18" spans="1:19" s="211" customFormat="1" x14ac:dyDescent="0.25">
      <c r="A18" s="300">
        <f>'A) Base RI'!A19</f>
        <v>5413</v>
      </c>
      <c r="B18" s="223" t="str">
        <f>'A) Base RI'!B19</f>
        <v>Roche</v>
      </c>
      <c r="C18" s="238">
        <v>0</v>
      </c>
      <c r="D18" s="213">
        <f>'B) D RI'!AA19</f>
        <v>1874</v>
      </c>
      <c r="E18" s="214">
        <f>'B) D RI'!S19</f>
        <v>68</v>
      </c>
      <c r="F18" s="10">
        <f>'B) D RI'!R19</f>
        <v>2934100.8049999992</v>
      </c>
      <c r="G18" s="10">
        <f>'B) D RI'!U19</f>
        <v>43148.541249999987</v>
      </c>
      <c r="H18" s="41">
        <f>'B) D RI'!T19</f>
        <v>2616031.3799999994</v>
      </c>
      <c r="I18" s="10">
        <f t="shared" si="4"/>
        <v>76942.099411764691</v>
      </c>
      <c r="J18" s="31">
        <f t="shared" si="0"/>
        <v>167484.36058985908</v>
      </c>
      <c r="K18" s="10">
        <f t="shared" si="1"/>
        <v>76942.099411764691</v>
      </c>
      <c r="L18" s="10">
        <f>'D) Ecrêtage'!C18</f>
        <v>43148.541249999987</v>
      </c>
      <c r="M18" s="10">
        <f t="shared" si="2"/>
        <v>50437.424682420926</v>
      </c>
      <c r="N18" s="55">
        <f t="shared" si="3"/>
        <v>127379.52409418562</v>
      </c>
      <c r="O18" s="411"/>
      <c r="P18" s="215"/>
      <c r="Q18" s="212"/>
      <c r="R18" s="212"/>
      <c r="S18" s="216"/>
    </row>
    <row r="19" spans="1:19" s="211" customFormat="1" x14ac:dyDescent="0.25">
      <c r="A19" s="300">
        <f>'A) Base RI'!A20</f>
        <v>5414</v>
      </c>
      <c r="B19" s="223" t="str">
        <f>'A) Base RI'!B20</f>
        <v>Villeneuve</v>
      </c>
      <c r="C19" s="238">
        <v>0</v>
      </c>
      <c r="D19" s="213">
        <f>'B) D RI'!AA20</f>
        <v>5921</v>
      </c>
      <c r="E19" s="214">
        <f>'B) D RI'!S20</f>
        <v>67.5</v>
      </c>
      <c r="F19" s="10">
        <f>'B) D RI'!R20</f>
        <v>12535573.98</v>
      </c>
      <c r="G19" s="10">
        <f>'B) D RI'!U20</f>
        <v>185712.20711111111</v>
      </c>
      <c r="H19" s="41">
        <f>'B) D RI'!T20</f>
        <v>11089203.129999999</v>
      </c>
      <c r="I19" s="10">
        <f t="shared" si="4"/>
        <v>328568.98162962962</v>
      </c>
      <c r="J19" s="31">
        <f t="shared" si="0"/>
        <v>529175.50643145968</v>
      </c>
      <c r="K19" s="10">
        <f t="shared" si="1"/>
        <v>328568.98162962962</v>
      </c>
      <c r="L19" s="10">
        <f>'D) Ecrêtage'!C19</f>
        <v>185712.20711111111</v>
      </c>
      <c r="M19" s="10">
        <f t="shared" si="2"/>
        <v>217083.71099968124</v>
      </c>
      <c r="N19" s="55">
        <f t="shared" si="3"/>
        <v>545652.69262931088</v>
      </c>
      <c r="O19" s="411"/>
      <c r="P19" s="215"/>
      <c r="Q19" s="212"/>
      <c r="R19" s="212"/>
      <c r="S19" s="216"/>
    </row>
    <row r="20" spans="1:19" s="211" customFormat="1" x14ac:dyDescent="0.25">
      <c r="A20" s="300">
        <f>'A) Base RI'!A21</f>
        <v>5415</v>
      </c>
      <c r="B20" s="223" t="str">
        <f>'A) Base RI'!B21</f>
        <v>Yvorne</v>
      </c>
      <c r="C20" s="238">
        <v>0</v>
      </c>
      <c r="D20" s="213">
        <f>'B) D RI'!AA21</f>
        <v>1038</v>
      </c>
      <c r="E20" s="214">
        <f>'B) D RI'!S21</f>
        <v>71.5</v>
      </c>
      <c r="F20" s="10">
        <f>'B) D RI'!R21</f>
        <v>2567584.6366666663</v>
      </c>
      <c r="G20" s="10">
        <f>'B) D RI'!U21</f>
        <v>35910.274638694631</v>
      </c>
      <c r="H20" s="41">
        <f>'B) D RI'!T21</f>
        <v>2317624.5699999994</v>
      </c>
      <c r="I20" s="10">
        <f t="shared" si="4"/>
        <v>64828.659300699284</v>
      </c>
      <c r="J20" s="31">
        <f t="shared" si="0"/>
        <v>92768.81872586644</v>
      </c>
      <c r="K20" s="10">
        <f t="shared" si="1"/>
        <v>64828.659300699284</v>
      </c>
      <c r="L20" s="10">
        <f>'D) Ecrêtage'!C20</f>
        <v>35910.274638694631</v>
      </c>
      <c r="M20" s="10">
        <f t="shared" si="2"/>
        <v>41976.431182692912</v>
      </c>
      <c r="N20" s="55">
        <f t="shared" si="3"/>
        <v>106805.0904833922</v>
      </c>
      <c r="O20" s="411"/>
      <c r="P20" s="215"/>
      <c r="Q20" s="212"/>
      <c r="R20" s="212"/>
      <c r="S20" s="216"/>
    </row>
    <row r="21" spans="1:19" s="211" customFormat="1" x14ac:dyDescent="0.25">
      <c r="A21" s="300">
        <f>'A) Base RI'!A22</f>
        <v>5421</v>
      </c>
      <c r="B21" s="223" t="str">
        <f>'A) Base RI'!B22</f>
        <v>Apples</v>
      </c>
      <c r="C21" s="238">
        <v>0</v>
      </c>
      <c r="D21" s="213">
        <f>'B) D RI'!AA22</f>
        <v>1469</v>
      </c>
      <c r="E21" s="214">
        <f>'B) D RI'!S22</f>
        <v>74</v>
      </c>
      <c r="F21" s="10">
        <f>'B) D RI'!R22</f>
        <v>5071341.9700000007</v>
      </c>
      <c r="G21" s="10">
        <f>'B) D RI'!U22</f>
        <v>68531.648243243253</v>
      </c>
      <c r="H21" s="41">
        <f>'B) D RI'!T22</f>
        <v>4754632.370000001</v>
      </c>
      <c r="I21" s="10">
        <f t="shared" si="4"/>
        <v>128503.5775675676</v>
      </c>
      <c r="J21" s="31">
        <f t="shared" si="0"/>
        <v>131288.43420837939</v>
      </c>
      <c r="K21" s="10">
        <f t="shared" si="1"/>
        <v>128503.5775675676</v>
      </c>
      <c r="L21" s="10">
        <f>'D) Ecrêtage'!C21</f>
        <v>68531.648243243253</v>
      </c>
      <c r="M21" s="10">
        <f t="shared" si="2"/>
        <v>80108.382496725695</v>
      </c>
      <c r="N21" s="55">
        <f t="shared" si="3"/>
        <v>208611.96006429329</v>
      </c>
      <c r="O21" s="411"/>
      <c r="P21" s="215"/>
      <c r="Q21" s="212"/>
      <c r="R21" s="212"/>
      <c r="S21" s="216"/>
    </row>
    <row r="22" spans="1:19" s="211" customFormat="1" x14ac:dyDescent="0.25">
      <c r="A22" s="300">
        <f>'A) Base RI'!A23</f>
        <v>5422</v>
      </c>
      <c r="B22" s="223" t="str">
        <f>'A) Base RI'!B23</f>
        <v>Aubonne</v>
      </c>
      <c r="C22" s="238">
        <v>0</v>
      </c>
      <c r="D22" s="213">
        <f>'B) D RI'!AA23</f>
        <v>3781</v>
      </c>
      <c r="E22" s="214">
        <f>'B) D RI'!S23</f>
        <v>70</v>
      </c>
      <c r="F22" s="10">
        <f>'B) D RI'!R23</f>
        <v>25529453.949999999</v>
      </c>
      <c r="G22" s="10">
        <f>'B) D RI'!U23</f>
        <v>364706.48499999999</v>
      </c>
      <c r="H22" s="41">
        <f>'B) D RI'!T23</f>
        <v>24287119.379999999</v>
      </c>
      <c r="I22" s="10">
        <f t="shared" si="4"/>
        <v>693917.69657142856</v>
      </c>
      <c r="J22" s="31">
        <f t="shared" si="0"/>
        <v>337918.01888487575</v>
      </c>
      <c r="K22" s="10">
        <f t="shared" si="1"/>
        <v>337918.01888487575</v>
      </c>
      <c r="L22" s="10">
        <f>'D) Ecrêtage'!C22</f>
        <v>364706.48499999999</v>
      </c>
      <c r="M22" s="10">
        <f t="shared" si="2"/>
        <v>426314.66407634306</v>
      </c>
      <c r="N22" s="55">
        <f t="shared" si="3"/>
        <v>764232.68296121876</v>
      </c>
      <c r="O22" s="411"/>
      <c r="P22" s="215"/>
      <c r="Q22" s="212"/>
      <c r="R22" s="212"/>
      <c r="S22" s="216"/>
    </row>
    <row r="23" spans="1:19" s="211" customFormat="1" x14ac:dyDescent="0.25">
      <c r="A23" s="300">
        <f>'A) Base RI'!A24</f>
        <v>5423</v>
      </c>
      <c r="B23" s="223" t="str">
        <f>'A) Base RI'!B24</f>
        <v>Ballens</v>
      </c>
      <c r="C23" s="238">
        <v>0</v>
      </c>
      <c r="D23" s="213">
        <f>'B) D RI'!AA24</f>
        <v>567</v>
      </c>
      <c r="E23" s="214">
        <f>'B) D RI'!S24</f>
        <v>73</v>
      </c>
      <c r="F23" s="10">
        <f>'B) D RI'!R24</f>
        <v>1182194.1399999999</v>
      </c>
      <c r="G23" s="10">
        <f>'B) D RI'!U24</f>
        <v>16194.440273972601</v>
      </c>
      <c r="H23" s="41">
        <f>'B) D RI'!T24</f>
        <v>1098378.2899999998</v>
      </c>
      <c r="I23" s="10">
        <f t="shared" si="4"/>
        <v>30092.555890410953</v>
      </c>
      <c r="J23" s="31">
        <f t="shared" si="0"/>
        <v>50674.29693407155</v>
      </c>
      <c r="K23" s="10">
        <f t="shared" si="1"/>
        <v>30092.555890410953</v>
      </c>
      <c r="L23" s="10">
        <f>'D) Ecrêtage'!C23</f>
        <v>16194.440273972601</v>
      </c>
      <c r="M23" s="10">
        <f t="shared" si="2"/>
        <v>18930.092140541539</v>
      </c>
      <c r="N23" s="55">
        <f t="shared" si="3"/>
        <v>49022.648030952492</v>
      </c>
      <c r="O23" s="411"/>
      <c r="P23" s="215"/>
      <c r="Q23" s="212"/>
      <c r="R23" s="212"/>
      <c r="S23" s="216"/>
    </row>
    <row r="24" spans="1:19" s="211" customFormat="1" x14ac:dyDescent="0.25">
      <c r="A24" s="300">
        <f>'A) Base RI'!A25</f>
        <v>5424</v>
      </c>
      <c r="B24" s="223" t="str">
        <f>'A) Base RI'!B25</f>
        <v>Berolle</v>
      </c>
      <c r="C24" s="238">
        <v>0</v>
      </c>
      <c r="D24" s="213">
        <f>'B) D RI'!AA25</f>
        <v>308</v>
      </c>
      <c r="E24" s="214">
        <f>'B) D RI'!S25</f>
        <v>75.5</v>
      </c>
      <c r="F24" s="10">
        <f>'B) D RI'!R25</f>
        <v>626791.06999999995</v>
      </c>
      <c r="G24" s="10">
        <f>'B) D RI'!U25</f>
        <v>8301.8684768211915</v>
      </c>
      <c r="H24" s="41">
        <f>'B) D RI'!T25</f>
        <v>575508.47</v>
      </c>
      <c r="I24" s="10">
        <f t="shared" si="4"/>
        <v>15245.257483443707</v>
      </c>
      <c r="J24" s="31">
        <f t="shared" si="0"/>
        <v>27526.778581470968</v>
      </c>
      <c r="K24" s="10">
        <f t="shared" si="1"/>
        <v>15245.257483443707</v>
      </c>
      <c r="L24" s="10">
        <f>'D) Ecrêtage'!C24</f>
        <v>8301.8684768211915</v>
      </c>
      <c r="M24" s="10">
        <f t="shared" si="2"/>
        <v>9704.2647072810014</v>
      </c>
      <c r="N24" s="55">
        <f t="shared" si="3"/>
        <v>24949.522190724711</v>
      </c>
      <c r="O24" s="411"/>
      <c r="P24" s="215"/>
      <c r="Q24" s="212"/>
      <c r="R24" s="212"/>
      <c r="S24" s="216"/>
    </row>
    <row r="25" spans="1:19" s="211" customFormat="1" x14ac:dyDescent="0.25">
      <c r="A25" s="300">
        <f>'A) Base RI'!A26</f>
        <v>5425</v>
      </c>
      <c r="B25" s="223" t="str">
        <f>'A) Base RI'!B26</f>
        <v>Bière</v>
      </c>
      <c r="C25" s="238">
        <v>0</v>
      </c>
      <c r="D25" s="213">
        <f>'B) D RI'!AA26</f>
        <v>1634</v>
      </c>
      <c r="E25" s="214">
        <f>'B) D RI'!S26</f>
        <v>69</v>
      </c>
      <c r="F25" s="10">
        <f>'B) D RI'!R26</f>
        <v>3051904.3710344825</v>
      </c>
      <c r="G25" s="10">
        <f>'B) D RI'!U26</f>
        <v>44230.498130934531</v>
      </c>
      <c r="H25" s="41">
        <f>'B) D RI'!T26</f>
        <v>2818718.5399999996</v>
      </c>
      <c r="I25" s="10">
        <f t="shared" si="4"/>
        <v>81701.986666666649</v>
      </c>
      <c r="J25" s="31">
        <f t="shared" si="0"/>
        <v>146034.9227341674</v>
      </c>
      <c r="K25" s="10">
        <f t="shared" si="1"/>
        <v>81701.986666666649</v>
      </c>
      <c r="L25" s="10">
        <f>'D) Ecrêtage'!C25</f>
        <v>44230.498130934531</v>
      </c>
      <c r="M25" s="10">
        <f t="shared" si="2"/>
        <v>51702.151533221775</v>
      </c>
      <c r="N25" s="55">
        <f t="shared" si="3"/>
        <v>133404.13819988843</v>
      </c>
      <c r="O25" s="411"/>
      <c r="P25" s="215"/>
      <c r="Q25" s="212"/>
      <c r="R25" s="212"/>
      <c r="S25" s="216"/>
    </row>
    <row r="26" spans="1:19" s="211" customFormat="1" x14ac:dyDescent="0.25">
      <c r="A26" s="300">
        <f>'A) Base RI'!A27</f>
        <v>5426</v>
      </c>
      <c r="B26" s="223" t="str">
        <f>'A) Base RI'!B27</f>
        <v>Bougy-Villars</v>
      </c>
      <c r="C26" s="238">
        <v>0</v>
      </c>
      <c r="D26" s="213">
        <f>'B) D RI'!AA27</f>
        <v>497</v>
      </c>
      <c r="E26" s="214">
        <f>'B) D RI'!S27</f>
        <v>64.5</v>
      </c>
      <c r="F26" s="10">
        <f>'B) D RI'!R27</f>
        <v>3421319.8383333334</v>
      </c>
      <c r="G26" s="10">
        <f>'B) D RI'!U27</f>
        <v>53043.718423772611</v>
      </c>
      <c r="H26" s="41">
        <f>'B) D RI'!T27</f>
        <v>3118976.83</v>
      </c>
      <c r="I26" s="10">
        <f t="shared" si="4"/>
        <v>96712.459844961239</v>
      </c>
      <c r="J26" s="31">
        <f t="shared" si="0"/>
        <v>44418.210892828152</v>
      </c>
      <c r="K26" s="10">
        <f t="shared" si="1"/>
        <v>44418.210892828152</v>
      </c>
      <c r="L26" s="10">
        <f>'D) Ecrêtage'!C26</f>
        <v>53043.718423772611</v>
      </c>
      <c r="M26" s="10">
        <f t="shared" si="2"/>
        <v>62004.148352861754</v>
      </c>
      <c r="N26" s="55">
        <f t="shared" si="3"/>
        <v>106422.35924568991</v>
      </c>
      <c r="O26" s="411"/>
      <c r="P26" s="215"/>
      <c r="Q26" s="212"/>
      <c r="R26" s="212"/>
      <c r="S26" s="216"/>
    </row>
    <row r="27" spans="1:19" s="211" customFormat="1" x14ac:dyDescent="0.25">
      <c r="A27" s="300">
        <f>'A) Base RI'!A28</f>
        <v>5427</v>
      </c>
      <c r="B27" s="223" t="str">
        <f>'A) Base RI'!B28</f>
        <v>Féchy</v>
      </c>
      <c r="C27" s="238">
        <v>0</v>
      </c>
      <c r="D27" s="213">
        <f>'B) D RI'!AA28</f>
        <v>893</v>
      </c>
      <c r="E27" s="214">
        <f>'B) D RI'!S28</f>
        <v>64</v>
      </c>
      <c r="F27" s="10">
        <f>'B) D RI'!R28</f>
        <v>5645780.7084615389</v>
      </c>
      <c r="G27" s="10">
        <f>'B) D RI'!U28</f>
        <v>88215.323569711545</v>
      </c>
      <c r="H27" s="41">
        <f>'B) D RI'!T28</f>
        <v>5283187.1700000009</v>
      </c>
      <c r="I27" s="10">
        <f t="shared" si="4"/>
        <v>165099.59906250003</v>
      </c>
      <c r="J27" s="31">
        <f t="shared" si="0"/>
        <v>79809.783354719388</v>
      </c>
      <c r="K27" s="10">
        <f t="shared" si="1"/>
        <v>79809.783354719388</v>
      </c>
      <c r="L27" s="10">
        <f>'D) Ecrêtage'!C27</f>
        <v>88215.323569711545</v>
      </c>
      <c r="M27" s="10">
        <f t="shared" si="2"/>
        <v>103117.13002308551</v>
      </c>
      <c r="N27" s="55">
        <f t="shared" si="3"/>
        <v>182926.91337780491</v>
      </c>
      <c r="O27" s="411"/>
      <c r="P27" s="215"/>
      <c r="Q27" s="212"/>
      <c r="R27" s="212"/>
      <c r="S27" s="216"/>
    </row>
    <row r="28" spans="1:19" s="211" customFormat="1" x14ac:dyDescent="0.25">
      <c r="A28" s="300">
        <f>'A) Base RI'!A29</f>
        <v>5428</v>
      </c>
      <c r="B28" s="223" t="str">
        <f>'A) Base RI'!B29</f>
        <v>Gimel</v>
      </c>
      <c r="C28" s="238">
        <v>0</v>
      </c>
      <c r="D28" s="213">
        <f>'B) D RI'!AA29</f>
        <v>2402</v>
      </c>
      <c r="E28" s="214">
        <f>'B) D RI'!S29</f>
        <v>74.5</v>
      </c>
      <c r="F28" s="10">
        <f>'B) D RI'!R29</f>
        <v>5256623.0666666664</v>
      </c>
      <c r="G28" s="10">
        <f>'B) D RI'!U29</f>
        <v>70558.698881431759</v>
      </c>
      <c r="H28" s="41">
        <f>'B) D RI'!T29</f>
        <v>4845319.05</v>
      </c>
      <c r="I28" s="10">
        <f t="shared" si="4"/>
        <v>130075.67919463087</v>
      </c>
      <c r="J28" s="31">
        <f t="shared" si="0"/>
        <v>214673.12387238073</v>
      </c>
      <c r="K28" s="10">
        <f t="shared" si="1"/>
        <v>130075.67919463087</v>
      </c>
      <c r="L28" s="10">
        <f>'D) Ecrêtage'!C28</f>
        <v>70558.698881431759</v>
      </c>
      <c r="M28" s="10">
        <f t="shared" si="2"/>
        <v>82477.853420405794</v>
      </c>
      <c r="N28" s="55">
        <f t="shared" si="3"/>
        <v>212553.53261503665</v>
      </c>
      <c r="O28" s="411"/>
      <c r="P28" s="215"/>
      <c r="Q28" s="212"/>
      <c r="R28" s="212"/>
      <c r="S28" s="216"/>
    </row>
    <row r="29" spans="1:19" s="211" customFormat="1" x14ac:dyDescent="0.25">
      <c r="A29" s="300">
        <f>'A) Base RI'!A30</f>
        <v>5429</v>
      </c>
      <c r="B29" s="223" t="str">
        <f>'A) Base RI'!B30</f>
        <v>Longirod</v>
      </c>
      <c r="C29" s="238">
        <v>0</v>
      </c>
      <c r="D29" s="213">
        <f>'B) D RI'!AA30</f>
        <v>520</v>
      </c>
      <c r="E29" s="214">
        <f>'B) D RI'!S30</f>
        <v>77.5</v>
      </c>
      <c r="F29" s="10">
        <f>'B) D RI'!R30</f>
        <v>1439520.0599999998</v>
      </c>
      <c r="G29" s="10">
        <f>'B) D RI'!U30</f>
        <v>18574.452387096771</v>
      </c>
      <c r="H29" s="41">
        <f>'B) D RI'!T30</f>
        <v>1331073.9099999999</v>
      </c>
      <c r="I29" s="10">
        <f t="shared" si="4"/>
        <v>34350.294451612899</v>
      </c>
      <c r="J29" s="31">
        <f t="shared" si="0"/>
        <v>46473.782020665269</v>
      </c>
      <c r="K29" s="10">
        <f t="shared" si="1"/>
        <v>34350.294451612899</v>
      </c>
      <c r="L29" s="10">
        <f>'D) Ecrêtage'!C29</f>
        <v>18574.452387096771</v>
      </c>
      <c r="M29" s="10">
        <f t="shared" si="2"/>
        <v>21712.148688025627</v>
      </c>
      <c r="N29" s="55">
        <f t="shared" si="3"/>
        <v>56062.443139638526</v>
      </c>
      <c r="O29" s="411"/>
      <c r="P29" s="215"/>
      <c r="Q29" s="212"/>
      <c r="R29" s="212"/>
      <c r="S29" s="216"/>
    </row>
    <row r="30" spans="1:19" s="211" customFormat="1" x14ac:dyDescent="0.25">
      <c r="A30" s="300">
        <f>'A) Base RI'!A31</f>
        <v>5430</v>
      </c>
      <c r="B30" s="223" t="str">
        <f>'A) Base RI'!B31</f>
        <v>Marchissy</v>
      </c>
      <c r="C30" s="238">
        <v>0</v>
      </c>
      <c r="D30" s="213">
        <f>'B) D RI'!AA31</f>
        <v>485</v>
      </c>
      <c r="E30" s="214">
        <f>'B) D RI'!S31</f>
        <v>77.5</v>
      </c>
      <c r="F30" s="10">
        <f>'B) D RI'!R31</f>
        <v>1207526.0700000003</v>
      </c>
      <c r="G30" s="10">
        <f>'B) D RI'!U31</f>
        <v>15580.981548387101</v>
      </c>
      <c r="H30" s="41">
        <f>'B) D RI'!T31</f>
        <v>1112330.2700000003</v>
      </c>
      <c r="I30" s="10">
        <f t="shared" si="4"/>
        <v>28705.297290322585</v>
      </c>
      <c r="J30" s="31">
        <f t="shared" si="0"/>
        <v>43345.73900004357</v>
      </c>
      <c r="K30" s="10">
        <f t="shared" si="1"/>
        <v>28705.297290322585</v>
      </c>
      <c r="L30" s="10">
        <f>'D) Ecrêtage'!C30</f>
        <v>15580.981548387101</v>
      </c>
      <c r="M30" s="10">
        <f t="shared" si="2"/>
        <v>18213.004670811781</v>
      </c>
      <c r="N30" s="55">
        <f t="shared" si="3"/>
        <v>46918.301961134363</v>
      </c>
      <c r="O30" s="411"/>
      <c r="P30" s="215"/>
      <c r="Q30" s="212"/>
      <c r="R30" s="212"/>
      <c r="S30" s="216"/>
    </row>
    <row r="31" spans="1:19" s="211" customFormat="1" x14ac:dyDescent="0.25">
      <c r="A31" s="300">
        <f>'A) Base RI'!A32</f>
        <v>5431</v>
      </c>
      <c r="B31" s="223" t="str">
        <f>'A) Base RI'!B32</f>
        <v>Mollens</v>
      </c>
      <c r="C31" s="238">
        <v>0</v>
      </c>
      <c r="D31" s="213">
        <f>'B) D RI'!AA32</f>
        <v>319</v>
      </c>
      <c r="E31" s="214">
        <f>'B) D RI'!S32</f>
        <v>74</v>
      </c>
      <c r="F31" s="10">
        <f>'B) D RI'!R32</f>
        <v>774407.97</v>
      </c>
      <c r="G31" s="10">
        <f>'B) D RI'!U32</f>
        <v>10464.972567567567</v>
      </c>
      <c r="H31" s="41">
        <f>'B) D RI'!T32</f>
        <v>720292.87</v>
      </c>
      <c r="I31" s="10">
        <f t="shared" si="4"/>
        <v>19467.374864864865</v>
      </c>
      <c r="J31" s="31">
        <f t="shared" si="0"/>
        <v>28509.877816523502</v>
      </c>
      <c r="K31" s="10">
        <f t="shared" si="1"/>
        <v>19467.374864864865</v>
      </c>
      <c r="L31" s="10">
        <f>'D) Ecrêtage'!C31</f>
        <v>10464.972567567567</v>
      </c>
      <c r="M31" s="10">
        <f t="shared" si="2"/>
        <v>12232.771963763444</v>
      </c>
      <c r="N31" s="55">
        <f t="shared" si="3"/>
        <v>31700.146828628309</v>
      </c>
      <c r="O31" s="411"/>
      <c r="P31" s="215"/>
      <c r="Q31" s="212"/>
      <c r="R31" s="212"/>
      <c r="S31" s="216"/>
    </row>
    <row r="32" spans="1:19" s="211" customFormat="1" x14ac:dyDescent="0.25">
      <c r="A32" s="300">
        <f>'A) Base RI'!A33</f>
        <v>5434</v>
      </c>
      <c r="B32" s="223" t="str">
        <f>'A) Base RI'!B33</f>
        <v>Saint-George</v>
      </c>
      <c r="C32" s="238">
        <v>0</v>
      </c>
      <c r="D32" s="213">
        <f>'B) D RI'!AA33</f>
        <v>1072</v>
      </c>
      <c r="E32" s="214">
        <f>'B) D RI'!S33</f>
        <v>69.5</v>
      </c>
      <c r="F32" s="10">
        <f>'B) D RI'!R33</f>
        <v>3026360.0216666665</v>
      </c>
      <c r="G32" s="10">
        <f>'B) D RI'!U33</f>
        <v>43544.748513189443</v>
      </c>
      <c r="H32" s="41">
        <f>'B) D RI'!T33</f>
        <v>2781503.78</v>
      </c>
      <c r="I32" s="10">
        <f t="shared" si="4"/>
        <v>80043.274244604312</v>
      </c>
      <c r="J32" s="31">
        <f t="shared" si="0"/>
        <v>95807.48908875609</v>
      </c>
      <c r="K32" s="10">
        <f t="shared" si="1"/>
        <v>80043.274244604312</v>
      </c>
      <c r="L32" s="10">
        <f>'D) Ecrêtage'!C32</f>
        <v>43544.748513189443</v>
      </c>
      <c r="M32" s="10">
        <f t="shared" si="2"/>
        <v>50900.561405397537</v>
      </c>
      <c r="N32" s="55">
        <f t="shared" si="3"/>
        <v>130943.83565000186</v>
      </c>
      <c r="O32" s="411"/>
      <c r="P32" s="215"/>
      <c r="Q32" s="212"/>
      <c r="R32" s="212"/>
      <c r="S32" s="216"/>
    </row>
    <row r="33" spans="1:19" s="211" customFormat="1" x14ac:dyDescent="0.25">
      <c r="A33" s="300">
        <f>'A) Base RI'!A34</f>
        <v>5435</v>
      </c>
      <c r="B33" s="223" t="str">
        <f>'A) Base RI'!B34</f>
        <v>Saint-Livres</v>
      </c>
      <c r="C33" s="238">
        <v>0</v>
      </c>
      <c r="D33" s="213">
        <f>'B) D RI'!AA34</f>
        <v>674</v>
      </c>
      <c r="E33" s="214">
        <f>'B) D RI'!S34</f>
        <v>69</v>
      </c>
      <c r="F33" s="10">
        <f>'B) D RI'!R34</f>
        <v>1783947.3800000004</v>
      </c>
      <c r="G33" s="10">
        <f>'B) D RI'!U34</f>
        <v>25854.309855072468</v>
      </c>
      <c r="H33" s="41">
        <f>'B) D RI'!T34</f>
        <v>1655429.6800000004</v>
      </c>
      <c r="I33" s="10">
        <f t="shared" si="4"/>
        <v>47983.468985507257</v>
      </c>
      <c r="J33" s="31">
        <f t="shared" si="0"/>
        <v>60237.171311400751</v>
      </c>
      <c r="K33" s="10">
        <f t="shared" si="1"/>
        <v>47983.468985507257</v>
      </c>
      <c r="L33" s="10">
        <f>'D) Ecrêtage'!C33</f>
        <v>25854.309855072468</v>
      </c>
      <c r="M33" s="10">
        <f t="shared" si="2"/>
        <v>30221.758795407506</v>
      </c>
      <c r="N33" s="55">
        <f t="shared" si="3"/>
        <v>78205.227780914764</v>
      </c>
      <c r="O33" s="411"/>
      <c r="P33" s="215"/>
      <c r="Q33" s="212"/>
      <c r="R33" s="212"/>
      <c r="S33" s="216"/>
    </row>
    <row r="34" spans="1:19" s="211" customFormat="1" x14ac:dyDescent="0.25">
      <c r="A34" s="300">
        <f>'A) Base RI'!A35</f>
        <v>5436</v>
      </c>
      <c r="B34" s="223" t="str">
        <f>'A) Base RI'!B35</f>
        <v>Saint-Oyens</v>
      </c>
      <c r="C34" s="238">
        <v>0</v>
      </c>
      <c r="D34" s="213">
        <f>'B) D RI'!AA35</f>
        <v>458</v>
      </c>
      <c r="E34" s="214">
        <f>'B) D RI'!S35</f>
        <v>81</v>
      </c>
      <c r="F34" s="10">
        <f>'B) D RI'!R35</f>
        <v>1366335.51</v>
      </c>
      <c r="G34" s="10">
        <f>'B) D RI'!U35</f>
        <v>16868.339629629631</v>
      </c>
      <c r="H34" s="41">
        <f>'B) D RI'!T35</f>
        <v>1275667.01</v>
      </c>
      <c r="I34" s="10">
        <f t="shared" si="4"/>
        <v>31497.95086419753</v>
      </c>
      <c r="J34" s="31">
        <f t="shared" si="0"/>
        <v>40932.677241278259</v>
      </c>
      <c r="K34" s="10">
        <f t="shared" si="1"/>
        <v>31497.95086419753</v>
      </c>
      <c r="L34" s="10">
        <f>'D) Ecrêtage'!C34</f>
        <v>16868.339629629631</v>
      </c>
      <c r="M34" s="10">
        <f t="shared" si="2"/>
        <v>19717.830196332321</v>
      </c>
      <c r="N34" s="55">
        <f t="shared" si="3"/>
        <v>51215.781060529851</v>
      </c>
      <c r="O34" s="411"/>
      <c r="P34" s="215"/>
      <c r="Q34" s="212"/>
      <c r="R34" s="212"/>
      <c r="S34" s="216"/>
    </row>
    <row r="35" spans="1:19" s="211" customFormat="1" x14ac:dyDescent="0.25">
      <c r="A35" s="300">
        <f>'A) Base RI'!A36</f>
        <v>5437</v>
      </c>
      <c r="B35" s="223" t="str">
        <f>'A) Base RI'!B36</f>
        <v>Saubraz</v>
      </c>
      <c r="C35" s="238">
        <v>0</v>
      </c>
      <c r="D35" s="213">
        <f>'B) D RI'!AA36</f>
        <v>444</v>
      </c>
      <c r="E35" s="214">
        <f>'B) D RI'!S36</f>
        <v>80</v>
      </c>
      <c r="F35" s="10">
        <f>'B) D RI'!R36</f>
        <v>1084140.5899999999</v>
      </c>
      <c r="G35" s="10">
        <f>'B) D RI'!U36</f>
        <v>13551.757374999997</v>
      </c>
      <c r="H35" s="41">
        <f>'B) D RI'!T36</f>
        <v>1013211.2899999999</v>
      </c>
      <c r="I35" s="10">
        <f t="shared" si="4"/>
        <v>25330.282249999997</v>
      </c>
      <c r="J35" s="31">
        <f t="shared" si="0"/>
        <v>39681.460033029573</v>
      </c>
      <c r="K35" s="10">
        <f t="shared" si="1"/>
        <v>25330.282249999997</v>
      </c>
      <c r="L35" s="10">
        <f>'D) Ecrêtage'!C35</f>
        <v>13551.757374999997</v>
      </c>
      <c r="M35" s="10">
        <f t="shared" si="2"/>
        <v>15840.993046688567</v>
      </c>
      <c r="N35" s="55">
        <f t="shared" si="3"/>
        <v>41171.27529668856</v>
      </c>
      <c r="O35" s="411"/>
      <c r="P35" s="215"/>
      <c r="Q35" s="212"/>
      <c r="R35" s="212"/>
      <c r="S35" s="216"/>
    </row>
    <row r="36" spans="1:19" s="211" customFormat="1" x14ac:dyDescent="0.25">
      <c r="A36" s="300">
        <f>'A) Base RI'!A37</f>
        <v>5451</v>
      </c>
      <c r="B36" s="223" t="str">
        <f>'A) Base RI'!B37</f>
        <v>Avenches</v>
      </c>
      <c r="C36" s="238">
        <v>0</v>
      </c>
      <c r="D36" s="213">
        <f>'B) D RI'!AA37</f>
        <v>4616</v>
      </c>
      <c r="E36" s="214">
        <f>'B) D RI'!S37</f>
        <v>66.5</v>
      </c>
      <c r="F36" s="10">
        <f>'B) D RI'!R37</f>
        <v>9169741.6133333333</v>
      </c>
      <c r="G36" s="10">
        <f>'B) D RI'!U37</f>
        <v>137890.8513283208</v>
      </c>
      <c r="H36" s="41">
        <f>'B) D RI'!T37</f>
        <v>8056499.4300000006</v>
      </c>
      <c r="I36" s="10">
        <f t="shared" si="4"/>
        <v>242300.73473684213</v>
      </c>
      <c r="J36" s="31">
        <f t="shared" si="0"/>
        <v>412544.18809113634</v>
      </c>
      <c r="K36" s="10">
        <f t="shared" si="1"/>
        <v>242300.73473684213</v>
      </c>
      <c r="L36" s="10">
        <f>'D) Ecrêtage'!C36</f>
        <v>137890.8513283208</v>
      </c>
      <c r="M36" s="10">
        <f t="shared" si="2"/>
        <v>161184.11484576165</v>
      </c>
      <c r="N36" s="55">
        <f t="shared" si="3"/>
        <v>403484.84958260378</v>
      </c>
      <c r="O36" s="411"/>
      <c r="P36" s="215"/>
      <c r="Q36" s="212"/>
      <c r="R36" s="212"/>
      <c r="S36" s="216"/>
    </row>
    <row r="37" spans="1:19" s="211" customFormat="1" x14ac:dyDescent="0.25">
      <c r="A37" s="300">
        <f>'A) Base RI'!A38</f>
        <v>5456</v>
      </c>
      <c r="B37" s="223" t="str">
        <f>'A) Base RI'!B38</f>
        <v>Cudrefin</v>
      </c>
      <c r="C37" s="238">
        <v>0</v>
      </c>
      <c r="D37" s="213">
        <f>'B) D RI'!AA38</f>
        <v>1836</v>
      </c>
      <c r="E37" s="214">
        <f>'B) D RI'!S38</f>
        <v>59</v>
      </c>
      <c r="F37" s="10">
        <f>'B) D RI'!R38</f>
        <v>3784552.15</v>
      </c>
      <c r="G37" s="10">
        <f>'B) D RI'!U38</f>
        <v>64144.951694915253</v>
      </c>
      <c r="H37" s="41">
        <f>'B) D RI'!T38</f>
        <v>3419633.3</v>
      </c>
      <c r="I37" s="10">
        <f t="shared" si="4"/>
        <v>115919.77288135592</v>
      </c>
      <c r="J37" s="31">
        <f t="shared" ref="J37:J68" si="5">+$I$314/$D$314*D37</f>
        <v>164088.19959604123</v>
      </c>
      <c r="K37" s="10">
        <f t="shared" si="1"/>
        <v>115919.77288135592</v>
      </c>
      <c r="L37" s="10">
        <f>'D) Ecrêtage'!C37</f>
        <v>64144.951694915253</v>
      </c>
      <c r="M37" s="10">
        <f t="shared" ref="M37:M68" si="6">+$M$5*L37</f>
        <v>74980.661596985447</v>
      </c>
      <c r="N37" s="55">
        <f t="shared" si="3"/>
        <v>190900.43447834137</v>
      </c>
      <c r="O37" s="411"/>
      <c r="P37" s="215"/>
      <c r="Q37" s="212"/>
      <c r="R37" s="212"/>
      <c r="S37" s="216"/>
    </row>
    <row r="38" spans="1:19" s="211" customFormat="1" x14ac:dyDescent="0.25">
      <c r="A38" s="300">
        <f>'A) Base RI'!A39</f>
        <v>5458</v>
      </c>
      <c r="B38" s="223" t="str">
        <f>'A) Base RI'!B39</f>
        <v>Faoug</v>
      </c>
      <c r="C38" s="238">
        <v>0</v>
      </c>
      <c r="D38" s="213">
        <f>'B) D RI'!AA39</f>
        <v>866</v>
      </c>
      <c r="E38" s="214">
        <f>'B) D RI'!S39</f>
        <v>65</v>
      </c>
      <c r="F38" s="10">
        <f>'B) D RI'!R39</f>
        <v>2256887.9299999997</v>
      </c>
      <c r="G38" s="10">
        <f>'B) D RI'!U39</f>
        <v>34721.352769230762</v>
      </c>
      <c r="H38" s="41">
        <f>'B) D RI'!T39</f>
        <v>2054075.5799999998</v>
      </c>
      <c r="I38" s="10">
        <f t="shared" si="4"/>
        <v>63202.325538461533</v>
      </c>
      <c r="J38" s="31">
        <f t="shared" si="5"/>
        <v>77396.721595954077</v>
      </c>
      <c r="K38" s="10">
        <f t="shared" si="1"/>
        <v>63202.325538461533</v>
      </c>
      <c r="L38" s="10">
        <f>'D) Ecrêtage'!C38</f>
        <v>34721.352769230762</v>
      </c>
      <c r="M38" s="10">
        <f t="shared" si="6"/>
        <v>40586.670242759232</v>
      </c>
      <c r="N38" s="55">
        <f t="shared" si="3"/>
        <v>103788.99578122076</v>
      </c>
      <c r="O38" s="411"/>
      <c r="P38" s="215"/>
      <c r="Q38" s="212"/>
      <c r="R38" s="212"/>
      <c r="S38" s="216"/>
    </row>
    <row r="39" spans="1:19" s="211" customFormat="1" x14ac:dyDescent="0.25">
      <c r="A39" s="300">
        <f>'A) Base RI'!A40</f>
        <v>5464</v>
      </c>
      <c r="B39" s="223" t="str">
        <f>'A) Base RI'!B40</f>
        <v>Vully-les-Lacs</v>
      </c>
      <c r="C39" s="238">
        <v>0</v>
      </c>
      <c r="D39" s="213">
        <f>'B) D RI'!AA40</f>
        <v>3465</v>
      </c>
      <c r="E39" s="214">
        <f>'B) D RI'!S40</f>
        <v>67</v>
      </c>
      <c r="F39" s="10">
        <f>'B) D RI'!R40</f>
        <v>7984343.540000001</v>
      </c>
      <c r="G39" s="10">
        <f>'B) D RI'!U40</f>
        <v>119169.3065671642</v>
      </c>
      <c r="H39" s="41">
        <f>'B) D RI'!T40</f>
        <v>7252543.790000001</v>
      </c>
      <c r="I39" s="10">
        <f t="shared" si="4"/>
        <v>216493.84447761197</v>
      </c>
      <c r="J39" s="31">
        <f t="shared" si="5"/>
        <v>309676.25904154836</v>
      </c>
      <c r="K39" s="10">
        <f t="shared" si="1"/>
        <v>216493.84447761197</v>
      </c>
      <c r="L39" s="10">
        <f>'D) Ecrêtage'!C39</f>
        <v>119169.3065671642</v>
      </c>
      <c r="M39" s="10">
        <f t="shared" si="6"/>
        <v>139300.02614949757</v>
      </c>
      <c r="N39" s="55">
        <f t="shared" si="3"/>
        <v>355793.87062710954</v>
      </c>
      <c r="O39" s="411"/>
      <c r="P39" s="215"/>
      <c r="Q39" s="212"/>
      <c r="R39" s="212"/>
      <c r="S39" s="216"/>
    </row>
    <row r="40" spans="1:19" s="211" customFormat="1" x14ac:dyDescent="0.25">
      <c r="A40" s="300">
        <f>'A) Base RI'!A41</f>
        <v>5471</v>
      </c>
      <c r="B40" s="223" t="str">
        <f>'A) Base RI'!B41</f>
        <v>Bettens</v>
      </c>
      <c r="C40" s="238">
        <v>0</v>
      </c>
      <c r="D40" s="213">
        <f>'B) D RI'!AA41</f>
        <v>626</v>
      </c>
      <c r="E40" s="214">
        <f>'B) D RI'!S41</f>
        <v>70</v>
      </c>
      <c r="F40" s="10">
        <f>'B) D RI'!R41</f>
        <v>1602511.6588888885</v>
      </c>
      <c r="G40" s="10">
        <f>'B) D RI'!U41</f>
        <v>22893.023698412693</v>
      </c>
      <c r="H40" s="41">
        <f>'B) D RI'!T41</f>
        <v>1461051.0199999998</v>
      </c>
      <c r="I40" s="10">
        <f t="shared" si="4"/>
        <v>41744.314857142854</v>
      </c>
      <c r="J40" s="31">
        <f t="shared" si="5"/>
        <v>55947.283740262421</v>
      </c>
      <c r="K40" s="10">
        <f t="shared" si="1"/>
        <v>41744.314857142854</v>
      </c>
      <c r="L40" s="10">
        <f>'D) Ecrêtage'!C40</f>
        <v>22893.023698412693</v>
      </c>
      <c r="M40" s="10">
        <f t="shared" si="6"/>
        <v>26760.236269669207</v>
      </c>
      <c r="N40" s="55">
        <f t="shared" si="3"/>
        <v>68504.551126812061</v>
      </c>
      <c r="O40" s="411"/>
      <c r="P40" s="215"/>
      <c r="Q40" s="212"/>
      <c r="R40" s="212"/>
      <c r="S40" s="216"/>
    </row>
    <row r="41" spans="1:19" s="211" customFormat="1" x14ac:dyDescent="0.25">
      <c r="A41" s="300">
        <f>'A) Base RI'!A42</f>
        <v>5472</v>
      </c>
      <c r="B41" s="223" t="str">
        <f>'A) Base RI'!B42</f>
        <v>Bournens</v>
      </c>
      <c r="C41" s="238">
        <v>0</v>
      </c>
      <c r="D41" s="213">
        <f>'B) D RI'!AA42</f>
        <v>507</v>
      </c>
      <c r="E41" s="214">
        <f>'B) D RI'!S42</f>
        <v>72</v>
      </c>
      <c r="F41" s="10">
        <f>'B) D RI'!R42</f>
        <v>1596847.82</v>
      </c>
      <c r="G41" s="10">
        <f>'B) D RI'!U42</f>
        <v>22178.441944444447</v>
      </c>
      <c r="H41" s="41">
        <f>'B) D RI'!T42</f>
        <v>1484110.22</v>
      </c>
      <c r="I41" s="10">
        <f t="shared" si="4"/>
        <v>41225.283888888887</v>
      </c>
      <c r="J41" s="31">
        <f t="shared" si="5"/>
        <v>45311.937470148638</v>
      </c>
      <c r="K41" s="10">
        <f t="shared" si="1"/>
        <v>41225.283888888887</v>
      </c>
      <c r="L41" s="10">
        <f>'D) Ecrêtage'!C41</f>
        <v>22178.441944444447</v>
      </c>
      <c r="M41" s="10">
        <f t="shared" si="6"/>
        <v>25924.943526251009</v>
      </c>
      <c r="N41" s="55">
        <f t="shared" si="3"/>
        <v>67150.227415139903</v>
      </c>
      <c r="O41" s="411"/>
      <c r="P41" s="215"/>
      <c r="Q41" s="212"/>
      <c r="R41" s="212"/>
      <c r="S41" s="216"/>
    </row>
    <row r="42" spans="1:19" s="211" customFormat="1" x14ac:dyDescent="0.25">
      <c r="A42" s="300">
        <f>'A) Base RI'!A43</f>
        <v>5473</v>
      </c>
      <c r="B42" s="223" t="str">
        <f>'A) Base RI'!B43</f>
        <v>Boussens</v>
      </c>
      <c r="C42" s="238">
        <v>0</v>
      </c>
      <c r="D42" s="213">
        <f>'B) D RI'!AA43</f>
        <v>1001</v>
      </c>
      <c r="E42" s="214">
        <f>'B) D RI'!S43</f>
        <v>67.5</v>
      </c>
      <c r="F42" s="10">
        <f>'B) D RI'!R43</f>
        <v>2501483.3700000006</v>
      </c>
      <c r="G42" s="10">
        <f>'B) D RI'!U43</f>
        <v>37059.012888888894</v>
      </c>
      <c r="H42" s="41">
        <f>'B) D RI'!T43</f>
        <v>2300285.7700000005</v>
      </c>
      <c r="I42" s="10">
        <f t="shared" si="4"/>
        <v>68156.615407407415</v>
      </c>
      <c r="J42" s="31">
        <f t="shared" si="5"/>
        <v>89462.030389780644</v>
      </c>
      <c r="K42" s="10">
        <f t="shared" si="1"/>
        <v>68156.615407407415</v>
      </c>
      <c r="L42" s="10">
        <f>'D) Ecrêtage'!C42</f>
        <v>37059.012888888894</v>
      </c>
      <c r="M42" s="10">
        <f t="shared" si="6"/>
        <v>43319.220470476517</v>
      </c>
      <c r="N42" s="55">
        <f t="shared" si="3"/>
        <v>111475.83587788393</v>
      </c>
      <c r="O42" s="411"/>
      <c r="P42" s="215"/>
      <c r="Q42" s="212"/>
      <c r="R42" s="212"/>
      <c r="S42" s="216"/>
    </row>
    <row r="43" spans="1:19" s="211" customFormat="1" x14ac:dyDescent="0.25">
      <c r="A43" s="300">
        <f>'A) Base RI'!A44</f>
        <v>5474</v>
      </c>
      <c r="B43" s="223" t="str">
        <f>'A) Base RI'!B44</f>
        <v>La Chaux (Cossonay)</v>
      </c>
      <c r="C43" s="238">
        <v>0</v>
      </c>
      <c r="D43" s="213">
        <f>'B) D RI'!AA44</f>
        <v>398</v>
      </c>
      <c r="E43" s="214">
        <f>'B) D RI'!S44</f>
        <v>76</v>
      </c>
      <c r="F43" s="10">
        <f>'B) D RI'!R44</f>
        <v>980781.28666666674</v>
      </c>
      <c r="G43" s="10">
        <f>'B) D RI'!U44</f>
        <v>12905.016929824562</v>
      </c>
      <c r="H43" s="41">
        <f>'B) D RI'!T44</f>
        <v>905826.87000000011</v>
      </c>
      <c r="I43" s="10">
        <f t="shared" si="4"/>
        <v>23837.549210526318</v>
      </c>
      <c r="J43" s="31">
        <f t="shared" si="5"/>
        <v>35570.31777735534</v>
      </c>
      <c r="K43" s="10">
        <f t="shared" si="1"/>
        <v>23837.549210526318</v>
      </c>
      <c r="L43" s="10">
        <f>'D) Ecrêtage'!C43</f>
        <v>12905.016929824562</v>
      </c>
      <c r="M43" s="10">
        <f t="shared" si="6"/>
        <v>15085.001730467387</v>
      </c>
      <c r="N43" s="55">
        <f t="shared" si="3"/>
        <v>38922.550940993708</v>
      </c>
      <c r="O43" s="411"/>
      <c r="P43" s="215"/>
      <c r="Q43" s="212"/>
      <c r="R43" s="212"/>
      <c r="S43" s="216"/>
    </row>
    <row r="44" spans="1:19" s="211" customFormat="1" x14ac:dyDescent="0.25">
      <c r="A44" s="300">
        <f>'A) Base RI'!A45</f>
        <v>5475</v>
      </c>
      <c r="B44" s="223" t="str">
        <f>'A) Base RI'!B45</f>
        <v>Chavannes-le-Veyron</v>
      </c>
      <c r="C44" s="238">
        <v>0</v>
      </c>
      <c r="D44" s="213">
        <f>'B) D RI'!AA45</f>
        <v>155</v>
      </c>
      <c r="E44" s="214">
        <f>'B) D RI'!S45</f>
        <v>75</v>
      </c>
      <c r="F44" s="10">
        <f>'B) D RI'!R45</f>
        <v>320795.42</v>
      </c>
      <c r="G44" s="10">
        <f>'B) D RI'!U45</f>
        <v>4277.2722666666668</v>
      </c>
      <c r="H44" s="41">
        <f>'B) D RI'!T45</f>
        <v>295396.12</v>
      </c>
      <c r="I44" s="10">
        <f t="shared" si="4"/>
        <v>7877.2298666666666</v>
      </c>
      <c r="J44" s="31">
        <f t="shared" si="5"/>
        <v>13852.761948467532</v>
      </c>
      <c r="K44" s="10">
        <f t="shared" si="1"/>
        <v>7877.2298666666666</v>
      </c>
      <c r="L44" s="10">
        <f>'D) Ecrêtage'!C44</f>
        <v>4277.2722666666668</v>
      </c>
      <c r="M44" s="10">
        <f t="shared" si="6"/>
        <v>4999.8120804653599</v>
      </c>
      <c r="N44" s="55">
        <f t="shared" si="3"/>
        <v>12877.041947132027</v>
      </c>
      <c r="O44" s="411"/>
      <c r="P44" s="215"/>
      <c r="Q44" s="212"/>
      <c r="R44" s="212"/>
      <c r="S44" s="216"/>
    </row>
    <row r="45" spans="1:19" s="211" customFormat="1" x14ac:dyDescent="0.25">
      <c r="A45" s="300">
        <f>'A) Base RI'!A46</f>
        <v>5476</v>
      </c>
      <c r="B45" s="223" t="str">
        <f>'A) Base RI'!B46</f>
        <v>Chevilly</v>
      </c>
      <c r="C45" s="238">
        <v>0</v>
      </c>
      <c r="D45" s="213">
        <f>'B) D RI'!AA46</f>
        <v>322</v>
      </c>
      <c r="E45" s="214">
        <f>'B) D RI'!S46</f>
        <v>72.5</v>
      </c>
      <c r="F45" s="10">
        <f>'B) D RI'!R46</f>
        <v>875459.80000000016</v>
      </c>
      <c r="G45" s="10">
        <f>'B) D RI'!U46</f>
        <v>12075.307586206898</v>
      </c>
      <c r="H45" s="41">
        <f>'B) D RI'!T46</f>
        <v>813722.50000000012</v>
      </c>
      <c r="I45" s="10">
        <f t="shared" si="4"/>
        <v>22447.517241379315</v>
      </c>
      <c r="J45" s="31">
        <f t="shared" si="5"/>
        <v>28777.995789719647</v>
      </c>
      <c r="K45" s="10">
        <f t="shared" si="1"/>
        <v>22447.517241379315</v>
      </c>
      <c r="L45" s="10">
        <f>'D) Ecrêtage'!C45</f>
        <v>12075.307586206898</v>
      </c>
      <c r="M45" s="10">
        <f t="shared" si="6"/>
        <v>14115.13342635602</v>
      </c>
      <c r="N45" s="55">
        <f t="shared" si="3"/>
        <v>36562.650667735332</v>
      </c>
      <c r="O45" s="411"/>
      <c r="P45" s="215"/>
      <c r="Q45" s="212"/>
      <c r="R45" s="212"/>
      <c r="S45" s="216"/>
    </row>
    <row r="46" spans="1:19" s="211" customFormat="1" x14ac:dyDescent="0.25">
      <c r="A46" s="300">
        <f>'A) Base RI'!A47</f>
        <v>5477</v>
      </c>
      <c r="B46" s="223" t="str">
        <f>'A) Base RI'!B47</f>
        <v>Cossonay</v>
      </c>
      <c r="C46" s="238">
        <v>0</v>
      </c>
      <c r="D46" s="213">
        <f>'B) D RI'!AA47</f>
        <v>4326</v>
      </c>
      <c r="E46" s="214">
        <f>'B) D RI'!S47</f>
        <v>69.5</v>
      </c>
      <c r="F46" s="10">
        <f>'B) D RI'!R47</f>
        <v>9910559.8599999994</v>
      </c>
      <c r="G46" s="10">
        <f>'B) D RI'!U47</f>
        <v>142597.98359712231</v>
      </c>
      <c r="H46" s="41">
        <f>'B) D RI'!T47</f>
        <v>9096966.709999999</v>
      </c>
      <c r="I46" s="10">
        <f t="shared" si="4"/>
        <v>261783.21467625897</v>
      </c>
      <c r="J46" s="31">
        <f t="shared" si="5"/>
        <v>386626.11734884221</v>
      </c>
      <c r="K46" s="10">
        <f t="shared" si="1"/>
        <v>261783.21467625897</v>
      </c>
      <c r="L46" s="10">
        <f>'D) Ecrêtage'!C46</f>
        <v>142597.98359712231</v>
      </c>
      <c r="M46" s="10">
        <f t="shared" si="6"/>
        <v>166686.40118963356</v>
      </c>
      <c r="N46" s="55">
        <f t="shared" si="3"/>
        <v>428469.6158658925</v>
      </c>
      <c r="O46" s="411"/>
      <c r="P46" s="215"/>
      <c r="Q46" s="212"/>
      <c r="R46" s="212"/>
      <c r="S46" s="216"/>
    </row>
    <row r="47" spans="1:19" s="211" customFormat="1" x14ac:dyDescent="0.25">
      <c r="A47" s="300">
        <f>'A) Base RI'!A48</f>
        <v>5478</v>
      </c>
      <c r="B47" s="223" t="str">
        <f>'A) Base RI'!B48</f>
        <v>Cottens</v>
      </c>
      <c r="C47" s="238">
        <v>0</v>
      </c>
      <c r="D47" s="213">
        <f>'B) D RI'!AA48</f>
        <v>484</v>
      </c>
      <c r="E47" s="214">
        <f>'B) D RI'!S48</f>
        <v>74</v>
      </c>
      <c r="F47" s="10">
        <f>'B) D RI'!R48</f>
        <v>1164850.96</v>
      </c>
      <c r="G47" s="10">
        <f>'B) D RI'!U48</f>
        <v>15741.229189189189</v>
      </c>
      <c r="H47" s="41">
        <f>'B) D RI'!T48</f>
        <v>1084683.46</v>
      </c>
      <c r="I47" s="10">
        <f t="shared" si="4"/>
        <v>29315.769189189188</v>
      </c>
      <c r="J47" s="31">
        <f t="shared" si="5"/>
        <v>43256.366342311521</v>
      </c>
      <c r="K47" s="10">
        <f t="shared" si="1"/>
        <v>29315.769189189188</v>
      </c>
      <c r="L47" s="10">
        <f>'D) Ecrêtage'!C47</f>
        <v>15741.229189189189</v>
      </c>
      <c r="M47" s="10">
        <f t="shared" si="6"/>
        <v>18400.32220413606</v>
      </c>
      <c r="N47" s="55">
        <f t="shared" si="3"/>
        <v>47716.091393325245</v>
      </c>
      <c r="O47" s="411"/>
      <c r="P47" s="215"/>
      <c r="Q47" s="212"/>
      <c r="R47" s="212"/>
      <c r="S47" s="216"/>
    </row>
    <row r="48" spans="1:19" s="211" customFormat="1" x14ac:dyDescent="0.25">
      <c r="A48" s="300">
        <f>'A) Base RI'!A49</f>
        <v>5479</v>
      </c>
      <c r="B48" s="223" t="str">
        <f>'A) Base RI'!B49</f>
        <v>Cuarnens</v>
      </c>
      <c r="C48" s="238">
        <v>0</v>
      </c>
      <c r="D48" s="213">
        <f>'B) D RI'!AA49</f>
        <v>531</v>
      </c>
      <c r="E48" s="214">
        <f>'B) D RI'!S49</f>
        <v>77</v>
      </c>
      <c r="F48" s="10">
        <f>'B) D RI'!R49</f>
        <v>1384835.4899999998</v>
      </c>
      <c r="G48" s="10">
        <f>'B) D RI'!U49</f>
        <v>17984.87649350649</v>
      </c>
      <c r="H48" s="41">
        <f>'B) D RI'!T49</f>
        <v>1292567.7899999998</v>
      </c>
      <c r="I48" s="10">
        <f t="shared" si="4"/>
        <v>33573.189350649343</v>
      </c>
      <c r="J48" s="31">
        <f t="shared" si="5"/>
        <v>47456.881255717803</v>
      </c>
      <c r="K48" s="10">
        <f t="shared" si="1"/>
        <v>33573.189350649343</v>
      </c>
      <c r="L48" s="10">
        <f>'D) Ecrêtage'!C48</f>
        <v>17984.87649350649</v>
      </c>
      <c r="M48" s="10">
        <f t="shared" si="6"/>
        <v>21022.978466598252</v>
      </c>
      <c r="N48" s="55">
        <f t="shared" si="3"/>
        <v>54596.167817247595</v>
      </c>
      <c r="O48" s="411"/>
      <c r="P48" s="215"/>
      <c r="Q48" s="212"/>
      <c r="R48" s="212"/>
      <c r="S48" s="216"/>
    </row>
    <row r="49" spans="1:19" s="211" customFormat="1" x14ac:dyDescent="0.25">
      <c r="A49" s="300">
        <f>'A) Base RI'!A50</f>
        <v>5480</v>
      </c>
      <c r="B49" s="223" t="str">
        <f>'A) Base RI'!B50</f>
        <v>Daillens</v>
      </c>
      <c r="C49" s="238">
        <v>0</v>
      </c>
      <c r="D49" s="213">
        <f>'B) D RI'!AA50</f>
        <v>1051</v>
      </c>
      <c r="E49" s="214">
        <f>'B) D RI'!S50</f>
        <v>66</v>
      </c>
      <c r="F49" s="10">
        <f>'B) D RI'!R50</f>
        <v>2724787.6233333335</v>
      </c>
      <c r="G49" s="10">
        <f>'B) D RI'!U50</f>
        <v>41284.66095959596</v>
      </c>
      <c r="H49" s="41">
        <f>'B) D RI'!T50</f>
        <v>2399603.64</v>
      </c>
      <c r="I49" s="10">
        <f t="shared" si="4"/>
        <v>72715.261818181825</v>
      </c>
      <c r="J49" s="31">
        <f t="shared" si="5"/>
        <v>93930.663276383071</v>
      </c>
      <c r="K49" s="10">
        <f t="shared" si="1"/>
        <v>72715.261818181825</v>
      </c>
      <c r="L49" s="10">
        <f>'D) Ecrêtage'!C49</f>
        <v>41284.66095959596</v>
      </c>
      <c r="M49" s="10">
        <f t="shared" si="6"/>
        <v>48258.687718415167</v>
      </c>
      <c r="N49" s="55">
        <f t="shared" si="3"/>
        <v>120973.94953659699</v>
      </c>
      <c r="O49" s="411"/>
      <c r="P49" s="215"/>
      <c r="Q49" s="212"/>
      <c r="R49" s="212"/>
      <c r="S49" s="216"/>
    </row>
    <row r="50" spans="1:19" s="211" customFormat="1" x14ac:dyDescent="0.25">
      <c r="A50" s="300">
        <f>'A) Base RI'!A51</f>
        <v>5481</v>
      </c>
      <c r="B50" s="223" t="str">
        <f>'A) Base RI'!B51</f>
        <v>Dizy</v>
      </c>
      <c r="C50" s="238">
        <v>0</v>
      </c>
      <c r="D50" s="213">
        <f>'B) D RI'!AA51</f>
        <v>225</v>
      </c>
      <c r="E50" s="214">
        <f>'B) D RI'!S51</f>
        <v>75</v>
      </c>
      <c r="F50" s="10">
        <f>'B) D RI'!R51</f>
        <v>609066.55000000005</v>
      </c>
      <c r="G50" s="10">
        <f>'B) D RI'!U51</f>
        <v>8120.887333333334</v>
      </c>
      <c r="H50" s="41">
        <f>'B) D RI'!T51</f>
        <v>567643.20000000007</v>
      </c>
      <c r="I50" s="10">
        <f t="shared" si="4"/>
        <v>15137.152000000002</v>
      </c>
      <c r="J50" s="31">
        <f t="shared" si="5"/>
        <v>20108.847989710936</v>
      </c>
      <c r="K50" s="10">
        <f t="shared" si="1"/>
        <v>15137.152000000002</v>
      </c>
      <c r="L50" s="10">
        <f>'D) Ecrêtage'!C50</f>
        <v>8120.887333333334</v>
      </c>
      <c r="M50" s="10">
        <f t="shared" si="6"/>
        <v>9492.7112565926254</v>
      </c>
      <c r="N50" s="55">
        <f t="shared" si="3"/>
        <v>24629.863256592627</v>
      </c>
      <c r="O50" s="411"/>
      <c r="P50" s="215"/>
      <c r="Q50" s="212"/>
      <c r="R50" s="212"/>
      <c r="S50" s="216"/>
    </row>
    <row r="51" spans="1:19" s="211" customFormat="1" x14ac:dyDescent="0.25">
      <c r="A51" s="300">
        <f>'A) Base RI'!A52</f>
        <v>5482</v>
      </c>
      <c r="B51" s="223" t="str">
        <f>'A) Base RI'!B52</f>
        <v>Eclépens</v>
      </c>
      <c r="C51" s="238">
        <v>0</v>
      </c>
      <c r="D51" s="213">
        <f>'B) D RI'!AA52</f>
        <v>1198</v>
      </c>
      <c r="E51" s="214">
        <f>'B) D RI'!S52</f>
        <v>46</v>
      </c>
      <c r="F51" s="10">
        <f>'B) D RI'!R52</f>
        <v>2493031.46</v>
      </c>
      <c r="G51" s="10">
        <f>'B) D RI'!U52</f>
        <v>54196.336086956522</v>
      </c>
      <c r="H51" s="41">
        <f>'B) D RI'!T52</f>
        <v>1994881.5599999998</v>
      </c>
      <c r="I51" s="10">
        <f t="shared" si="4"/>
        <v>86733.980869565203</v>
      </c>
      <c r="J51" s="31">
        <f t="shared" si="5"/>
        <v>107068.44396299422</v>
      </c>
      <c r="K51" s="10">
        <f t="shared" si="1"/>
        <v>86733.980869565203</v>
      </c>
      <c r="L51" s="10">
        <f>'D) Ecrêtage'!C51</f>
        <v>54196.336086956522</v>
      </c>
      <c r="M51" s="10">
        <f t="shared" si="6"/>
        <v>63351.472384921974</v>
      </c>
      <c r="N51" s="55">
        <f t="shared" si="3"/>
        <v>150085.45325448719</v>
      </c>
      <c r="O51" s="411"/>
      <c r="P51" s="215"/>
      <c r="Q51" s="212"/>
      <c r="R51" s="212"/>
      <c r="S51" s="216"/>
    </row>
    <row r="52" spans="1:19" s="211" customFormat="1" x14ac:dyDescent="0.25">
      <c r="A52" s="300">
        <f>'A) Base RI'!A53</f>
        <v>5483</v>
      </c>
      <c r="B52" s="223" t="str">
        <f>'A) Base RI'!B53</f>
        <v>Ferreyres</v>
      </c>
      <c r="C52" s="238">
        <v>0</v>
      </c>
      <c r="D52" s="213">
        <f>'B) D RI'!AA53</f>
        <v>319</v>
      </c>
      <c r="E52" s="214">
        <f>'B) D RI'!S53</f>
        <v>76</v>
      </c>
      <c r="F52" s="10">
        <f>'B) D RI'!R53</f>
        <v>800821.31</v>
      </c>
      <c r="G52" s="10">
        <f>'B) D RI'!U53</f>
        <v>10537.122500000001</v>
      </c>
      <c r="H52" s="41">
        <f>'B) D RI'!T53</f>
        <v>743552.41</v>
      </c>
      <c r="I52" s="10">
        <f t="shared" si="4"/>
        <v>19567.168684210526</v>
      </c>
      <c r="J52" s="31">
        <f t="shared" si="5"/>
        <v>28509.877816523502</v>
      </c>
      <c r="K52" s="10">
        <f t="shared" si="1"/>
        <v>19567.168684210526</v>
      </c>
      <c r="L52" s="10">
        <f>'D) Ecrêtage'!C52</f>
        <v>10537.122500000001</v>
      </c>
      <c r="M52" s="10">
        <f t="shared" si="6"/>
        <v>12317.109850456256</v>
      </c>
      <c r="N52" s="55">
        <f t="shared" si="3"/>
        <v>31884.278534666781</v>
      </c>
      <c r="O52" s="411"/>
      <c r="P52" s="215"/>
      <c r="Q52" s="212"/>
      <c r="R52" s="212"/>
      <c r="S52" s="216"/>
    </row>
    <row r="53" spans="1:19" s="211" customFormat="1" x14ac:dyDescent="0.25">
      <c r="A53" s="300">
        <f>'A) Base RI'!A54</f>
        <v>5484</v>
      </c>
      <c r="B53" s="223" t="str">
        <f>'A) Base RI'!B54</f>
        <v>Gollion</v>
      </c>
      <c r="C53" s="238">
        <v>0</v>
      </c>
      <c r="D53" s="213">
        <f>'B) D RI'!AA54</f>
        <v>1018</v>
      </c>
      <c r="E53" s="214">
        <f>'B) D RI'!S54</f>
        <v>74</v>
      </c>
      <c r="F53" s="10">
        <f>'B) D RI'!R54</f>
        <v>2660349.290000001</v>
      </c>
      <c r="G53" s="10">
        <f>'B) D RI'!U54</f>
        <v>35950.666081081094</v>
      </c>
      <c r="H53" s="41">
        <f>'B) D RI'!T54</f>
        <v>2454900.1400000011</v>
      </c>
      <c r="I53" s="10">
        <f t="shared" si="4"/>
        <v>66348.652432432456</v>
      </c>
      <c r="J53" s="31">
        <f t="shared" si="5"/>
        <v>90981.365571225469</v>
      </c>
      <c r="K53" s="10">
        <f t="shared" si="1"/>
        <v>66348.652432432456</v>
      </c>
      <c r="L53" s="10">
        <f>'D) Ecrêtage'!C53</f>
        <v>35950.666081081094</v>
      </c>
      <c r="M53" s="10">
        <f t="shared" si="6"/>
        <v>42023.645764557397</v>
      </c>
      <c r="N53" s="55">
        <f t="shared" si="3"/>
        <v>108372.29819698985</v>
      </c>
      <c r="O53" s="411"/>
      <c r="P53" s="215"/>
      <c r="Q53" s="212"/>
      <c r="R53" s="212"/>
      <c r="S53" s="216"/>
    </row>
    <row r="54" spans="1:19" s="211" customFormat="1" x14ac:dyDescent="0.25">
      <c r="A54" s="300">
        <f>'A) Base RI'!A55</f>
        <v>5485</v>
      </c>
      <c r="B54" s="223" t="str">
        <f>'A) Base RI'!B55</f>
        <v>Grancy</v>
      </c>
      <c r="C54" s="238">
        <v>0</v>
      </c>
      <c r="D54" s="213">
        <f>'B) D RI'!AA55</f>
        <v>445</v>
      </c>
      <c r="E54" s="214">
        <f>'B) D RI'!S55</f>
        <v>70</v>
      </c>
      <c r="F54" s="10">
        <f>'B) D RI'!R55</f>
        <v>1714206.1700000002</v>
      </c>
      <c r="G54" s="10">
        <f>'B) D RI'!U55</f>
        <v>24488.659571428572</v>
      </c>
      <c r="H54" s="41">
        <f>'B) D RI'!T55</f>
        <v>1635011.62</v>
      </c>
      <c r="I54" s="10">
        <f t="shared" si="4"/>
        <v>46714.61771428572</v>
      </c>
      <c r="J54" s="31">
        <f t="shared" si="5"/>
        <v>39770.832690761621</v>
      </c>
      <c r="K54" s="10">
        <f t="shared" si="1"/>
        <v>39770.832690761621</v>
      </c>
      <c r="L54" s="10">
        <f>'D) Ecrêtage'!C54</f>
        <v>24488.659571428572</v>
      </c>
      <c r="M54" s="10">
        <f t="shared" si="6"/>
        <v>28625.415527978603</v>
      </c>
      <c r="N54" s="55">
        <f t="shared" si="3"/>
        <v>68396.24821874022</v>
      </c>
      <c r="O54" s="411"/>
      <c r="P54" s="215"/>
      <c r="Q54" s="212"/>
      <c r="R54" s="212"/>
      <c r="S54" s="216"/>
    </row>
    <row r="55" spans="1:19" s="211" customFormat="1" x14ac:dyDescent="0.25">
      <c r="A55" s="300">
        <f>'A) Base RI'!A56</f>
        <v>5486</v>
      </c>
      <c r="B55" s="223" t="str">
        <f>'A) Base RI'!B56</f>
        <v>L'Isle</v>
      </c>
      <c r="C55" s="238">
        <v>0</v>
      </c>
      <c r="D55" s="213">
        <f>'B) D RI'!AA56</f>
        <v>1079</v>
      </c>
      <c r="E55" s="214">
        <f>'B) D RI'!S56</f>
        <v>75</v>
      </c>
      <c r="F55" s="10">
        <f>'B) D RI'!R56</f>
        <v>2192279.0900000003</v>
      </c>
      <c r="G55" s="10">
        <f>'B) D RI'!U56</f>
        <v>29230.387866666671</v>
      </c>
      <c r="H55" s="41">
        <f>'B) D RI'!T56</f>
        <v>1979573.2900000003</v>
      </c>
      <c r="I55" s="10">
        <f t="shared" si="4"/>
        <v>52788.621066666674</v>
      </c>
      <c r="J55" s="31">
        <f t="shared" si="5"/>
        <v>96433.09769288043</v>
      </c>
      <c r="K55" s="10">
        <f t="shared" si="1"/>
        <v>52788.621066666674</v>
      </c>
      <c r="L55" s="10">
        <f>'D) Ecrêtage'!C55</f>
        <v>29230.387866666671</v>
      </c>
      <c r="M55" s="10">
        <f t="shared" si="6"/>
        <v>34168.142044963133</v>
      </c>
      <c r="N55" s="55">
        <f t="shared" si="3"/>
        <v>86956.763111629814</v>
      </c>
      <c r="O55" s="411"/>
      <c r="P55" s="215"/>
      <c r="Q55" s="212"/>
      <c r="R55" s="212"/>
      <c r="S55" s="216"/>
    </row>
    <row r="56" spans="1:19" s="211" customFormat="1" x14ac:dyDescent="0.25">
      <c r="A56" s="300">
        <f>'A) Base RI'!A57</f>
        <v>5487</v>
      </c>
      <c r="B56" s="223" t="str">
        <f>'A) Base RI'!B57</f>
        <v>Lussery-Villars</v>
      </c>
      <c r="C56" s="238">
        <v>0</v>
      </c>
      <c r="D56" s="213">
        <f>'B) D RI'!AA57</f>
        <v>475</v>
      </c>
      <c r="E56" s="214">
        <f>'B) D RI'!S57</f>
        <v>75</v>
      </c>
      <c r="F56" s="10">
        <f>'B) D RI'!R57</f>
        <v>1246683.1400000001</v>
      </c>
      <c r="G56" s="10">
        <f>'B) D RI'!U57</f>
        <v>16622.441866666668</v>
      </c>
      <c r="H56" s="41">
        <f>'B) D RI'!T57</f>
        <v>1161188.0900000001</v>
      </c>
      <c r="I56" s="10">
        <f t="shared" si="4"/>
        <v>30965.015733333337</v>
      </c>
      <c r="J56" s="31">
        <f t="shared" si="5"/>
        <v>42452.012422723084</v>
      </c>
      <c r="K56" s="10">
        <f t="shared" si="1"/>
        <v>30965.015733333337</v>
      </c>
      <c r="L56" s="10">
        <f>'D) Ecrêtage'!C56</f>
        <v>16622.441866666668</v>
      </c>
      <c r="M56" s="10">
        <f t="shared" si="6"/>
        <v>19430.394061999039</v>
      </c>
      <c r="N56" s="55">
        <f t="shared" si="3"/>
        <v>50395.40979533238</v>
      </c>
      <c r="O56" s="411"/>
      <c r="P56" s="215"/>
      <c r="Q56" s="212"/>
      <c r="R56" s="212"/>
      <c r="S56" s="216"/>
    </row>
    <row r="57" spans="1:19" s="211" customFormat="1" x14ac:dyDescent="0.25">
      <c r="A57" s="300">
        <f>'A) Base RI'!A58</f>
        <v>5488</v>
      </c>
      <c r="B57" s="223" t="str">
        <f>'A) Base RI'!B58</f>
        <v>Mauraz</v>
      </c>
      <c r="C57" s="238">
        <v>0</v>
      </c>
      <c r="D57" s="213">
        <f>'B) D RI'!AA58</f>
        <v>60</v>
      </c>
      <c r="E57" s="214">
        <f>'B) D RI'!S58</f>
        <v>77</v>
      </c>
      <c r="F57" s="10">
        <f>'B) D RI'!R58</f>
        <v>133147.29999999999</v>
      </c>
      <c r="G57" s="10">
        <f>'B) D RI'!U58</f>
        <v>1729.1857142857141</v>
      </c>
      <c r="H57" s="41">
        <f>'B) D RI'!T58</f>
        <v>124565.3</v>
      </c>
      <c r="I57" s="10">
        <f t="shared" si="4"/>
        <v>3235.4623376623376</v>
      </c>
      <c r="J57" s="31">
        <f t="shared" si="5"/>
        <v>5362.3594639229159</v>
      </c>
      <c r="K57" s="10">
        <f t="shared" si="1"/>
        <v>3235.4623376623376</v>
      </c>
      <c r="L57" s="10">
        <f>'D) Ecrêtage'!C57</f>
        <v>1729.1857142857141</v>
      </c>
      <c r="M57" s="10">
        <f t="shared" si="6"/>
        <v>2021.289056352605</v>
      </c>
      <c r="N57" s="55">
        <f t="shared" si="3"/>
        <v>5256.7513940149429</v>
      </c>
      <c r="O57" s="411"/>
      <c r="P57" s="215"/>
      <c r="Q57" s="212"/>
      <c r="R57" s="212"/>
      <c r="S57" s="216"/>
    </row>
    <row r="58" spans="1:19" s="211" customFormat="1" x14ac:dyDescent="0.25">
      <c r="A58" s="300">
        <f>'A) Base RI'!A59</f>
        <v>5489</v>
      </c>
      <c r="B58" s="223" t="str">
        <f>'A) Base RI'!B59</f>
        <v>Mex</v>
      </c>
      <c r="C58" s="238">
        <v>0</v>
      </c>
      <c r="D58" s="213">
        <f>'B) D RI'!AA59</f>
        <v>795</v>
      </c>
      <c r="E58" s="214">
        <f>'B) D RI'!S59</f>
        <v>59.5</v>
      </c>
      <c r="F58" s="10">
        <f>'B) D RI'!R59</f>
        <v>3027355.8299999996</v>
      </c>
      <c r="G58" s="10">
        <f>'B) D RI'!U59</f>
        <v>50879.929915966379</v>
      </c>
      <c r="H58" s="41">
        <f>'B) D RI'!T59</f>
        <v>2720969.8799999994</v>
      </c>
      <c r="I58" s="10">
        <f t="shared" si="4"/>
        <v>91461.172436974768</v>
      </c>
      <c r="J58" s="31">
        <f t="shared" si="5"/>
        <v>71051.262896978631</v>
      </c>
      <c r="K58" s="10">
        <f t="shared" si="1"/>
        <v>71051.262896978631</v>
      </c>
      <c r="L58" s="10">
        <f>'D) Ecrêtage'!C58</f>
        <v>50879.929915966379</v>
      </c>
      <c r="M58" s="10">
        <f t="shared" si="6"/>
        <v>59474.841063912216</v>
      </c>
      <c r="N58" s="55">
        <f t="shared" si="3"/>
        <v>130526.10396089085</v>
      </c>
      <c r="O58" s="411"/>
      <c r="P58" s="215"/>
      <c r="Q58" s="212"/>
      <c r="R58" s="212"/>
      <c r="S58" s="216"/>
    </row>
    <row r="59" spans="1:19" s="211" customFormat="1" x14ac:dyDescent="0.25">
      <c r="A59" s="300">
        <f>'A) Base RI'!A60</f>
        <v>5490</v>
      </c>
      <c r="B59" s="223" t="str">
        <f>'A) Base RI'!B60</f>
        <v>Moiry</v>
      </c>
      <c r="C59" s="238">
        <v>0</v>
      </c>
      <c r="D59" s="213">
        <f>'B) D RI'!AA60</f>
        <v>301</v>
      </c>
      <c r="E59" s="214">
        <f>'B) D RI'!S60</f>
        <v>77.5</v>
      </c>
      <c r="F59" s="10">
        <f>'B) D RI'!R60</f>
        <v>701909.75</v>
      </c>
      <c r="G59" s="10">
        <f>'B) D RI'!U60</f>
        <v>9056.9</v>
      </c>
      <c r="H59" s="41">
        <f>'B) D RI'!T60</f>
        <v>654512.1</v>
      </c>
      <c r="I59" s="10">
        <f t="shared" si="4"/>
        <v>16890.634838709677</v>
      </c>
      <c r="J59" s="31">
        <f t="shared" si="5"/>
        <v>26901.169977346628</v>
      </c>
      <c r="K59" s="10">
        <f t="shared" si="1"/>
        <v>16890.634838709677</v>
      </c>
      <c r="L59" s="10">
        <f>'D) Ecrêtage'!C59</f>
        <v>9056.9</v>
      </c>
      <c r="M59" s="10">
        <f t="shared" si="6"/>
        <v>10586.840212268316</v>
      </c>
      <c r="N59" s="55">
        <f t="shared" si="3"/>
        <v>27477.475050977991</v>
      </c>
      <c r="O59" s="411"/>
      <c r="P59" s="215"/>
      <c r="Q59" s="212"/>
      <c r="R59" s="212"/>
      <c r="S59" s="216"/>
    </row>
    <row r="60" spans="1:19" s="211" customFormat="1" x14ac:dyDescent="0.25">
      <c r="A60" s="300">
        <f>'A) Base RI'!A61</f>
        <v>5491</v>
      </c>
      <c r="B60" s="223" t="str">
        <f>'A) Base RI'!B61</f>
        <v>Mont-la-Ville</v>
      </c>
      <c r="C60" s="238">
        <v>0</v>
      </c>
      <c r="D60" s="213">
        <f>'B) D RI'!AA61</f>
        <v>508</v>
      </c>
      <c r="E60" s="214">
        <f>'B) D RI'!S61</f>
        <v>76</v>
      </c>
      <c r="F60" s="10">
        <f>'B) D RI'!R61</f>
        <v>1037318.74</v>
      </c>
      <c r="G60" s="10">
        <f>'B) D RI'!U61</f>
        <v>13648.930789473685</v>
      </c>
      <c r="H60" s="41">
        <f>'B) D RI'!T61</f>
        <v>945242.99</v>
      </c>
      <c r="I60" s="10">
        <f t="shared" si="4"/>
        <v>24874.81552631579</v>
      </c>
      <c r="J60" s="31">
        <f t="shared" si="5"/>
        <v>45401.310127880686</v>
      </c>
      <c r="K60" s="10">
        <f t="shared" si="1"/>
        <v>24874.81552631579</v>
      </c>
      <c r="L60" s="10">
        <f>'D) Ecrêtage'!C60</f>
        <v>13648.930789473685</v>
      </c>
      <c r="M60" s="10">
        <f t="shared" si="6"/>
        <v>15954.581516464479</v>
      </c>
      <c r="N60" s="55">
        <f t="shared" si="3"/>
        <v>40829.397042780271</v>
      </c>
      <c r="O60" s="411"/>
      <c r="P60" s="215"/>
      <c r="Q60" s="212"/>
      <c r="R60" s="212"/>
      <c r="S60" s="216"/>
    </row>
    <row r="61" spans="1:19" s="211" customFormat="1" x14ac:dyDescent="0.25">
      <c r="A61" s="300">
        <f>'A) Base RI'!A62</f>
        <v>5492</v>
      </c>
      <c r="B61" s="223" t="str">
        <f>'A) Base RI'!B62</f>
        <v>Montricher</v>
      </c>
      <c r="C61" s="238">
        <v>0</v>
      </c>
      <c r="D61" s="213">
        <f>'B) D RI'!AA62</f>
        <v>981</v>
      </c>
      <c r="E61" s="214">
        <f>'B) D RI'!S62</f>
        <v>64</v>
      </c>
      <c r="F61" s="10">
        <f>'B) D RI'!R62</f>
        <v>11217181.140000001</v>
      </c>
      <c r="G61" s="10">
        <f>'B) D RI'!U62</f>
        <v>175268.45531250001</v>
      </c>
      <c r="H61" s="41">
        <f>'B) D RI'!T62</f>
        <v>10964355.190000001</v>
      </c>
      <c r="I61" s="10">
        <f t="shared" si="4"/>
        <v>342636.09968750004</v>
      </c>
      <c r="J61" s="31">
        <f t="shared" si="5"/>
        <v>87674.577235139674</v>
      </c>
      <c r="K61" s="10">
        <f t="shared" si="1"/>
        <v>87674.577235139674</v>
      </c>
      <c r="L61" s="10">
        <f>'D) Ecrêtage'!C61</f>
        <v>175268.45531250001</v>
      </c>
      <c r="M61" s="10">
        <f t="shared" si="6"/>
        <v>204875.74453118921</v>
      </c>
      <c r="N61" s="55">
        <f t="shared" si="3"/>
        <v>292550.32176632888</v>
      </c>
      <c r="O61" s="411"/>
      <c r="P61" s="215"/>
      <c r="Q61" s="212"/>
      <c r="R61" s="212"/>
      <c r="S61" s="216"/>
    </row>
    <row r="62" spans="1:19" s="211" customFormat="1" x14ac:dyDescent="0.25">
      <c r="A62" s="300">
        <f>'A) Base RI'!A63</f>
        <v>5493</v>
      </c>
      <c r="B62" s="223" t="str">
        <f>'A) Base RI'!B63</f>
        <v>Orny</v>
      </c>
      <c r="C62" s="238">
        <v>0</v>
      </c>
      <c r="D62" s="213">
        <f>'B) D RI'!AA63</f>
        <v>480</v>
      </c>
      <c r="E62" s="214">
        <f>'B) D RI'!S63</f>
        <v>73</v>
      </c>
      <c r="F62" s="10">
        <f>'B) D RI'!R63</f>
        <v>984766.09076923085</v>
      </c>
      <c r="G62" s="10">
        <f>'B) D RI'!U63</f>
        <v>13489.946448893574</v>
      </c>
      <c r="H62" s="41">
        <f>'B) D RI'!T63</f>
        <v>900053.31</v>
      </c>
      <c r="I62" s="10">
        <f t="shared" si="4"/>
        <v>24658.994794520549</v>
      </c>
      <c r="J62" s="31">
        <f t="shared" si="5"/>
        <v>42898.875711383327</v>
      </c>
      <c r="K62" s="10">
        <f t="shared" si="1"/>
        <v>24658.994794520549</v>
      </c>
      <c r="L62" s="10">
        <f>'D) Ecrêtage'!C62</f>
        <v>13489.946448893574</v>
      </c>
      <c r="M62" s="10">
        <f t="shared" si="6"/>
        <v>15768.740686823599</v>
      </c>
      <c r="N62" s="55">
        <f t="shared" si="3"/>
        <v>40427.735481344149</v>
      </c>
      <c r="O62" s="411"/>
      <c r="P62" s="215"/>
      <c r="Q62" s="212"/>
      <c r="R62" s="212"/>
      <c r="S62" s="216"/>
    </row>
    <row r="63" spans="1:19" s="211" customFormat="1" x14ac:dyDescent="0.25">
      <c r="A63" s="300">
        <f>'A) Base RI'!A64</f>
        <v>5494</v>
      </c>
      <c r="B63" s="223" t="str">
        <f>'A) Base RI'!B64</f>
        <v>Pampigny</v>
      </c>
      <c r="C63" s="238">
        <v>0</v>
      </c>
      <c r="D63" s="213">
        <f>'B) D RI'!AA64</f>
        <v>1185</v>
      </c>
      <c r="E63" s="214">
        <f>'B) D RI'!S64</f>
        <v>73</v>
      </c>
      <c r="F63" s="10">
        <f>'B) D RI'!R64</f>
        <v>3154370.8042857139</v>
      </c>
      <c r="G63" s="10">
        <f>'B) D RI'!U64</f>
        <v>43210.558962818002</v>
      </c>
      <c r="H63" s="41">
        <f>'B) D RI'!T64</f>
        <v>2919625.69</v>
      </c>
      <c r="I63" s="10">
        <f t="shared" si="4"/>
        <v>79989.744931506852</v>
      </c>
      <c r="J63" s="31">
        <f t="shared" si="5"/>
        <v>105906.59941247759</v>
      </c>
      <c r="K63" s="10">
        <f t="shared" si="1"/>
        <v>79989.744931506852</v>
      </c>
      <c r="L63" s="10">
        <f>'D) Ecrêtage'!C63</f>
        <v>43210.558962818002</v>
      </c>
      <c r="M63" s="10">
        <f t="shared" si="6"/>
        <v>50509.918760519904</v>
      </c>
      <c r="N63" s="55">
        <f t="shared" si="3"/>
        <v>130499.66369202675</v>
      </c>
      <c r="O63" s="411"/>
      <c r="P63" s="215"/>
      <c r="Q63" s="212"/>
      <c r="R63" s="212"/>
      <c r="S63" s="216"/>
    </row>
    <row r="64" spans="1:19" s="211" customFormat="1" x14ac:dyDescent="0.25">
      <c r="A64" s="300">
        <f>'A) Base RI'!A65</f>
        <v>5495</v>
      </c>
      <c r="B64" s="223" t="str">
        <f>'A) Base RI'!B65</f>
        <v>Penthalaz</v>
      </c>
      <c r="C64" s="238">
        <v>0</v>
      </c>
      <c r="D64" s="213">
        <f>'B) D RI'!AA65</f>
        <v>3210</v>
      </c>
      <c r="E64" s="214">
        <f>'B) D RI'!S65</f>
        <v>74</v>
      </c>
      <c r="F64" s="10">
        <f>'B) D RI'!R65</f>
        <v>7053274.4899999984</v>
      </c>
      <c r="G64" s="10">
        <f>'B) D RI'!U65</f>
        <v>95314.520135135113</v>
      </c>
      <c r="H64" s="41">
        <f>'B) D RI'!T65</f>
        <v>6474370.6899999985</v>
      </c>
      <c r="I64" s="10">
        <f t="shared" si="4"/>
        <v>174982.99162162159</v>
      </c>
      <c r="J64" s="31">
        <f t="shared" si="5"/>
        <v>286886.23131987598</v>
      </c>
      <c r="K64" s="10">
        <f t="shared" si="1"/>
        <v>174982.99162162159</v>
      </c>
      <c r="L64" s="10">
        <f>'D) Ecrêtage'!C64</f>
        <v>95314.520135135113</v>
      </c>
      <c r="M64" s="10">
        <f t="shared" si="6"/>
        <v>111415.56101753432</v>
      </c>
      <c r="N64" s="55">
        <f t="shared" si="3"/>
        <v>286398.55263915588</v>
      </c>
      <c r="O64" s="411"/>
      <c r="P64" s="215"/>
      <c r="Q64" s="212"/>
      <c r="R64" s="212"/>
      <c r="S64" s="216"/>
    </row>
    <row r="65" spans="1:19" s="211" customFormat="1" x14ac:dyDescent="0.25">
      <c r="A65" s="300">
        <f>'A) Base RI'!A66</f>
        <v>5496</v>
      </c>
      <c r="B65" s="223" t="str">
        <f>'A) Base RI'!B66</f>
        <v>Penthaz</v>
      </c>
      <c r="C65" s="238">
        <v>0</v>
      </c>
      <c r="D65" s="213">
        <f>'B) D RI'!AA66</f>
        <v>1890</v>
      </c>
      <c r="E65" s="214">
        <f>'B) D RI'!S66</f>
        <v>69.5</v>
      </c>
      <c r="F65" s="10">
        <f>'B) D RI'!R66</f>
        <v>3910619.8600000003</v>
      </c>
      <c r="G65" s="10">
        <f>'B) D RI'!U66</f>
        <v>56267.911654676267</v>
      </c>
      <c r="H65" s="41">
        <f>'B) D RI'!T66</f>
        <v>3543046.21</v>
      </c>
      <c r="I65" s="10">
        <f t="shared" si="4"/>
        <v>101958.16431654677</v>
      </c>
      <c r="J65" s="31">
        <f t="shared" si="5"/>
        <v>168914.32311357185</v>
      </c>
      <c r="K65" s="10">
        <f t="shared" si="1"/>
        <v>101958.16431654677</v>
      </c>
      <c r="L65" s="10">
        <f>'D) Ecrêtage'!C65</f>
        <v>56267.911654676267</v>
      </c>
      <c r="M65" s="10">
        <f t="shared" si="6"/>
        <v>65772.989628469761</v>
      </c>
      <c r="N65" s="55">
        <f t="shared" si="3"/>
        <v>167731.15394501653</v>
      </c>
      <c r="O65" s="411"/>
      <c r="P65" s="215"/>
      <c r="Q65" s="212"/>
      <c r="R65" s="212"/>
      <c r="S65" s="216"/>
    </row>
    <row r="66" spans="1:19" s="211" customFormat="1" x14ac:dyDescent="0.25">
      <c r="A66" s="300">
        <f>'A) Base RI'!A67</f>
        <v>5497</v>
      </c>
      <c r="B66" s="223" t="str">
        <f>'A) Base RI'!B67</f>
        <v>Pompaples</v>
      </c>
      <c r="C66" s="238">
        <v>0</v>
      </c>
      <c r="D66" s="213">
        <f>'B) D RI'!AA67</f>
        <v>849</v>
      </c>
      <c r="E66" s="214">
        <f>'B) D RI'!S67</f>
        <v>66</v>
      </c>
      <c r="F66" s="10">
        <f>'B) D RI'!R67</f>
        <v>1468730.9600000002</v>
      </c>
      <c r="G66" s="10">
        <f>'B) D RI'!U67</f>
        <v>22253.499393939397</v>
      </c>
      <c r="H66" s="41">
        <f>'B) D RI'!T67</f>
        <v>1331472.8600000001</v>
      </c>
      <c r="I66" s="10">
        <f t="shared" si="4"/>
        <v>40347.66242424243</v>
      </c>
      <c r="J66" s="31">
        <f t="shared" si="5"/>
        <v>75877.386414509252</v>
      </c>
      <c r="K66" s="10">
        <f t="shared" si="1"/>
        <v>40347.66242424243</v>
      </c>
      <c r="L66" s="10">
        <f>'D) Ecrêtage'!C66</f>
        <v>22253.499393939397</v>
      </c>
      <c r="M66" s="10">
        <f t="shared" si="6"/>
        <v>26012.680083411124</v>
      </c>
      <c r="N66" s="55">
        <f t="shared" si="3"/>
        <v>66360.34250765355</v>
      </c>
      <c r="O66" s="411"/>
      <c r="P66" s="215"/>
      <c r="Q66" s="212"/>
      <c r="R66" s="212"/>
      <c r="S66" s="216"/>
    </row>
    <row r="67" spans="1:19" s="211" customFormat="1" x14ac:dyDescent="0.25">
      <c r="A67" s="300">
        <f>'A) Base RI'!A68</f>
        <v>5498</v>
      </c>
      <c r="B67" s="223" t="str">
        <f>'A) Base RI'!B68</f>
        <v>La Sarraz</v>
      </c>
      <c r="C67" s="238">
        <v>0</v>
      </c>
      <c r="D67" s="213">
        <f>'B) D RI'!AA68</f>
        <v>2620</v>
      </c>
      <c r="E67" s="214">
        <f>'B) D RI'!S68</f>
        <v>66</v>
      </c>
      <c r="F67" s="10">
        <f>'B) D RI'!R68</f>
        <v>4929021.8400000008</v>
      </c>
      <c r="G67" s="10">
        <f>'B) D RI'!U68</f>
        <v>74682.149090909108</v>
      </c>
      <c r="H67" s="41">
        <f>'B) D RI'!T68</f>
        <v>4480560.3400000008</v>
      </c>
      <c r="I67" s="10">
        <f t="shared" si="4"/>
        <v>135774.55575757578</v>
      </c>
      <c r="J67" s="31">
        <f t="shared" si="5"/>
        <v>234156.36325796731</v>
      </c>
      <c r="K67" s="10">
        <f t="shared" si="1"/>
        <v>135774.55575757578</v>
      </c>
      <c r="L67" s="10">
        <f>'D) Ecrêtage'!C67</f>
        <v>74682.149090909108</v>
      </c>
      <c r="M67" s="10">
        <f t="shared" si="6"/>
        <v>87297.858995269271</v>
      </c>
      <c r="N67" s="55">
        <f t="shared" si="3"/>
        <v>223072.41475284507</v>
      </c>
      <c r="O67" s="411"/>
      <c r="P67" s="215"/>
      <c r="Q67" s="212"/>
      <c r="R67" s="212"/>
      <c r="S67" s="216"/>
    </row>
    <row r="68" spans="1:19" s="211" customFormat="1" x14ac:dyDescent="0.25">
      <c r="A68" s="300">
        <f>'A) Base RI'!A69</f>
        <v>5499</v>
      </c>
      <c r="B68" s="223" t="str">
        <f>'A) Base RI'!B69</f>
        <v>Senarclens</v>
      </c>
      <c r="C68" s="238">
        <v>0</v>
      </c>
      <c r="D68" s="213">
        <f>'B) D RI'!AA69</f>
        <v>491</v>
      </c>
      <c r="E68" s="214">
        <f>'B) D RI'!S69</f>
        <v>68.5</v>
      </c>
      <c r="F68" s="10">
        <f>'B) D RI'!R69</f>
        <v>1249364.94</v>
      </c>
      <c r="G68" s="10">
        <f>'B) D RI'!U69</f>
        <v>18238.904233576643</v>
      </c>
      <c r="H68" s="41">
        <f>'B) D RI'!T69</f>
        <v>1151056.3399999999</v>
      </c>
      <c r="I68" s="10">
        <f t="shared" si="4"/>
        <v>33607.48437956204</v>
      </c>
      <c r="J68" s="31">
        <f t="shared" si="5"/>
        <v>43881.974946435861</v>
      </c>
      <c r="K68" s="10">
        <f t="shared" si="1"/>
        <v>33607.48437956204</v>
      </c>
      <c r="L68" s="10">
        <f>'D) Ecrêtage'!C68</f>
        <v>18238.904233576643</v>
      </c>
      <c r="M68" s="10">
        <f t="shared" si="6"/>
        <v>21319.917937455426</v>
      </c>
      <c r="N68" s="55">
        <f t="shared" si="3"/>
        <v>54927.402317017462</v>
      </c>
      <c r="O68" s="411"/>
      <c r="P68" s="215"/>
      <c r="Q68" s="212"/>
      <c r="R68" s="212"/>
      <c r="S68" s="216"/>
    </row>
    <row r="69" spans="1:19" s="211" customFormat="1" x14ac:dyDescent="0.25">
      <c r="A69" s="300">
        <f>'A) Base RI'!A70</f>
        <v>5500</v>
      </c>
      <c r="B69" s="223" t="str">
        <f>'A) Base RI'!B70</f>
        <v>Sévery</v>
      </c>
      <c r="C69" s="238">
        <v>0</v>
      </c>
      <c r="D69" s="213">
        <f>'B) D RI'!AA70</f>
        <v>220</v>
      </c>
      <c r="E69" s="214">
        <f>'B) D RI'!S70</f>
        <v>73</v>
      </c>
      <c r="F69" s="10">
        <f>'B) D RI'!R70</f>
        <v>527816.51666666672</v>
      </c>
      <c r="G69" s="10">
        <f>'B) D RI'!U70</f>
        <v>7230.3632420091335</v>
      </c>
      <c r="H69" s="41">
        <f>'B) D RI'!T70</f>
        <v>485126.15</v>
      </c>
      <c r="I69" s="10">
        <f t="shared" si="4"/>
        <v>13291.127397260274</v>
      </c>
      <c r="J69" s="31">
        <f t="shared" ref="J69:J100" si="7">+$I$314/$D$314*D69</f>
        <v>19661.984701050689</v>
      </c>
      <c r="K69" s="10">
        <f t="shared" ref="K69:K132" si="8">IF(C69=1,0,IF(J69&gt;I69,I69,J69))</f>
        <v>13291.127397260274</v>
      </c>
      <c r="L69" s="10">
        <f>'D) Ecrêtage'!C69</f>
        <v>7230.3632420091335</v>
      </c>
      <c r="M69" s="10">
        <f t="shared" ref="M69:M132" si="9">+$M$5*L69</f>
        <v>8451.7550508241238</v>
      </c>
      <c r="N69" s="55">
        <f t="shared" si="3"/>
        <v>21742.882448084398</v>
      </c>
      <c r="O69" s="411"/>
      <c r="P69" s="215"/>
      <c r="Q69" s="212"/>
      <c r="R69" s="212"/>
      <c r="S69" s="216"/>
    </row>
    <row r="70" spans="1:19" s="211" customFormat="1" x14ac:dyDescent="0.25">
      <c r="A70" s="300">
        <f>'A) Base RI'!A71</f>
        <v>5501</v>
      </c>
      <c r="B70" s="223" t="str">
        <f>'A) Base RI'!B71</f>
        <v>Sullens</v>
      </c>
      <c r="C70" s="238">
        <v>0</v>
      </c>
      <c r="D70" s="213">
        <f>'B) D RI'!AA71</f>
        <v>1143</v>
      </c>
      <c r="E70" s="214">
        <f>'B) D RI'!S71</f>
        <v>68.5</v>
      </c>
      <c r="F70" s="10">
        <f>'B) D RI'!R71</f>
        <v>2958898.5300000003</v>
      </c>
      <c r="G70" s="10">
        <f>'B) D RI'!U71</f>
        <v>43195.598978102193</v>
      </c>
      <c r="H70" s="41">
        <f>'B) D RI'!T71</f>
        <v>2724499.1300000004</v>
      </c>
      <c r="I70" s="10">
        <f t="shared" ref="I70:I133" si="10">+H70/E70*$I$5</f>
        <v>79547.419854014603</v>
      </c>
      <c r="J70" s="31">
        <f t="shared" si="7"/>
        <v>102152.94778773154</v>
      </c>
      <c r="K70" s="10">
        <f t="shared" si="8"/>
        <v>79547.419854014603</v>
      </c>
      <c r="L70" s="10">
        <f>'D) Ecrêtage'!C70</f>
        <v>43195.598978102193</v>
      </c>
      <c r="M70" s="10">
        <f t="shared" si="9"/>
        <v>50492.431654803353</v>
      </c>
      <c r="N70" s="55">
        <f t="shared" ref="N70:N133" si="11">+M70+K70</f>
        <v>130039.85150881796</v>
      </c>
      <c r="O70" s="411"/>
      <c r="P70" s="215"/>
      <c r="Q70" s="212"/>
      <c r="R70" s="212"/>
      <c r="S70" s="216"/>
    </row>
    <row r="71" spans="1:19" s="211" customFormat="1" x14ac:dyDescent="0.25">
      <c r="A71" s="300">
        <f>'A) Base RI'!A72</f>
        <v>5503</v>
      </c>
      <c r="B71" s="223" t="str">
        <f>'A) Base RI'!B72</f>
        <v>Vufflens-la-Ville</v>
      </c>
      <c r="C71" s="238">
        <v>0</v>
      </c>
      <c r="D71" s="213">
        <f>'B) D RI'!AA72</f>
        <v>1346</v>
      </c>
      <c r="E71" s="214">
        <f>'B) D RI'!S72</f>
        <v>67</v>
      </c>
      <c r="F71" s="10">
        <f>'B) D RI'!R72</f>
        <v>5294990.8966666665</v>
      </c>
      <c r="G71" s="10">
        <f>'B) D RI'!U72</f>
        <v>79029.714875621881</v>
      </c>
      <c r="H71" s="41">
        <f>'B) D RI'!T72</f>
        <v>4796226.43</v>
      </c>
      <c r="I71" s="10">
        <f t="shared" si="10"/>
        <v>143170.93820895522</v>
      </c>
      <c r="J71" s="31">
        <f t="shared" si="7"/>
        <v>120295.5973073374</v>
      </c>
      <c r="K71" s="10">
        <f t="shared" si="8"/>
        <v>120295.5973073374</v>
      </c>
      <c r="L71" s="10">
        <f>'D) Ecrêtage'!C71</f>
        <v>79029.714875621881</v>
      </c>
      <c r="M71" s="10">
        <f t="shared" si="9"/>
        <v>92379.838952548147</v>
      </c>
      <c r="N71" s="55">
        <f t="shared" si="11"/>
        <v>212675.43625988555</v>
      </c>
      <c r="O71" s="411"/>
      <c r="P71" s="215"/>
      <c r="Q71" s="212"/>
      <c r="R71" s="212"/>
      <c r="S71" s="216"/>
    </row>
    <row r="72" spans="1:19" s="211" customFormat="1" x14ac:dyDescent="0.25">
      <c r="A72" s="300">
        <f>'A) Base RI'!A73</f>
        <v>5511</v>
      </c>
      <c r="B72" s="223" t="str">
        <f>'A) Base RI'!B73</f>
        <v>Assens</v>
      </c>
      <c r="C72" s="238">
        <v>0</v>
      </c>
      <c r="D72" s="213">
        <f>'B) D RI'!AA73</f>
        <v>1151</v>
      </c>
      <c r="E72" s="214">
        <f>'B) D RI'!S73</f>
        <v>70</v>
      </c>
      <c r="F72" s="10">
        <f>'B) D RI'!R73</f>
        <v>3313341.86</v>
      </c>
      <c r="G72" s="10">
        <f>'B) D RI'!U73</f>
        <v>47333.455142857143</v>
      </c>
      <c r="H72" s="41">
        <f>'B) D RI'!T73</f>
        <v>3036847.41</v>
      </c>
      <c r="I72" s="10">
        <f t="shared" si="10"/>
        <v>86767.068857142862</v>
      </c>
      <c r="J72" s="31">
        <f t="shared" si="7"/>
        <v>102867.92904958792</v>
      </c>
      <c r="K72" s="10">
        <f t="shared" si="8"/>
        <v>86767.068857142862</v>
      </c>
      <c r="L72" s="10">
        <f>'D) Ecrêtage'!C72</f>
        <v>47333.455142857143</v>
      </c>
      <c r="M72" s="10">
        <f t="shared" si="9"/>
        <v>55329.276716315573</v>
      </c>
      <c r="N72" s="55">
        <f t="shared" si="11"/>
        <v>142096.34557345844</v>
      </c>
      <c r="O72" s="411"/>
      <c r="P72" s="215"/>
      <c r="Q72" s="212"/>
      <c r="R72" s="212"/>
      <c r="S72" s="216"/>
    </row>
    <row r="73" spans="1:19" s="211" customFormat="1" x14ac:dyDescent="0.25">
      <c r="A73" s="300">
        <f>'A) Base RI'!A74</f>
        <v>5512</v>
      </c>
      <c r="B73" s="223" t="str">
        <f>'A) Base RI'!B74</f>
        <v>Bercher</v>
      </c>
      <c r="C73" s="238">
        <v>0</v>
      </c>
      <c r="D73" s="213">
        <f>'B) D RI'!AA74</f>
        <v>1320</v>
      </c>
      <c r="E73" s="214">
        <f>'B) D RI'!S74</f>
        <v>79</v>
      </c>
      <c r="F73" s="10">
        <f>'B) D RI'!R74</f>
        <v>3220365.9099999997</v>
      </c>
      <c r="G73" s="10">
        <f>'B) D RI'!U74</f>
        <v>40764.12544303797</v>
      </c>
      <c r="H73" s="41">
        <f>'B) D RI'!T74</f>
        <v>2942561.3099999996</v>
      </c>
      <c r="I73" s="10">
        <f t="shared" si="10"/>
        <v>74495.223037974676</v>
      </c>
      <c r="J73" s="31">
        <f t="shared" si="7"/>
        <v>117971.90820630414</v>
      </c>
      <c r="K73" s="10">
        <f t="shared" si="8"/>
        <v>74495.223037974676</v>
      </c>
      <c r="L73" s="10">
        <f>'D) Ecrêtage'!C73</f>
        <v>40764.12544303797</v>
      </c>
      <c r="M73" s="10">
        <f t="shared" si="9"/>
        <v>47650.220545474098</v>
      </c>
      <c r="N73" s="55">
        <f t="shared" si="11"/>
        <v>122145.44358344877</v>
      </c>
      <c r="O73" s="411"/>
      <c r="P73" s="215"/>
      <c r="Q73" s="212"/>
      <c r="R73" s="212"/>
      <c r="S73" s="216"/>
    </row>
    <row r="74" spans="1:19" s="211" customFormat="1" x14ac:dyDescent="0.25">
      <c r="A74" s="300">
        <f>'A) Base RI'!A75</f>
        <v>5513</v>
      </c>
      <c r="B74" s="223" t="str">
        <f>'A) Base RI'!B75</f>
        <v>Bioley-Orjulaz</v>
      </c>
      <c r="C74" s="238">
        <v>0</v>
      </c>
      <c r="D74" s="213">
        <f>'B) D RI'!AA75</f>
        <v>518</v>
      </c>
      <c r="E74" s="214">
        <f>'B) D RI'!S75</f>
        <v>68</v>
      </c>
      <c r="F74" s="10">
        <f>'B) D RI'!R75</f>
        <v>1546253.54</v>
      </c>
      <c r="G74" s="10">
        <f>'B) D RI'!U75</f>
        <v>22739.022647058824</v>
      </c>
      <c r="H74" s="41">
        <f>'B) D RI'!T75</f>
        <v>1414530.69</v>
      </c>
      <c r="I74" s="10">
        <f t="shared" si="10"/>
        <v>41603.843823529409</v>
      </c>
      <c r="J74" s="31">
        <f t="shared" si="7"/>
        <v>46295.036705201172</v>
      </c>
      <c r="K74" s="10">
        <f t="shared" si="8"/>
        <v>41603.843823529409</v>
      </c>
      <c r="L74" s="10">
        <f>'D) Ecrêtage'!C74</f>
        <v>22739.022647058824</v>
      </c>
      <c r="M74" s="10">
        <f t="shared" si="9"/>
        <v>26580.220533246727</v>
      </c>
      <c r="N74" s="55">
        <f t="shared" si="11"/>
        <v>68184.064356776129</v>
      </c>
      <c r="O74" s="411"/>
      <c r="P74" s="215"/>
      <c r="Q74" s="212"/>
      <c r="R74" s="212"/>
      <c r="S74" s="216"/>
    </row>
    <row r="75" spans="1:19" s="211" customFormat="1" x14ac:dyDescent="0.25">
      <c r="A75" s="300">
        <f>'A) Base RI'!A76</f>
        <v>5514</v>
      </c>
      <c r="B75" s="223" t="str">
        <f>'A) Base RI'!B76</f>
        <v>Bottens</v>
      </c>
      <c r="C75" s="238">
        <v>0</v>
      </c>
      <c r="D75" s="213">
        <f>'B) D RI'!AA76</f>
        <v>1357</v>
      </c>
      <c r="E75" s="214">
        <f>'B) D RI'!S76</f>
        <v>72.5</v>
      </c>
      <c r="F75" s="10">
        <f>'B) D RI'!R76</f>
        <v>3206197.62</v>
      </c>
      <c r="G75" s="10">
        <f>'B) D RI'!U76</f>
        <v>44223.41544827586</v>
      </c>
      <c r="H75" s="41">
        <f>'B) D RI'!T76</f>
        <v>2954532.02</v>
      </c>
      <c r="I75" s="10">
        <f t="shared" si="10"/>
        <v>81504.331586206899</v>
      </c>
      <c r="J75" s="31">
        <f t="shared" si="7"/>
        <v>121278.69654238994</v>
      </c>
      <c r="K75" s="10">
        <f t="shared" si="8"/>
        <v>81504.331586206899</v>
      </c>
      <c r="L75" s="10">
        <f>'D) Ecrêtage'!C75</f>
        <v>44223.41544827586</v>
      </c>
      <c r="M75" s="10">
        <f t="shared" si="9"/>
        <v>51693.872405751943</v>
      </c>
      <c r="N75" s="55">
        <f t="shared" si="11"/>
        <v>133198.20399195884</v>
      </c>
      <c r="O75" s="411"/>
      <c r="P75" s="215"/>
      <c r="Q75" s="212"/>
      <c r="R75" s="212"/>
      <c r="S75" s="216"/>
    </row>
    <row r="76" spans="1:19" s="211" customFormat="1" x14ac:dyDescent="0.25">
      <c r="A76" s="300">
        <f>'A) Base RI'!A77</f>
        <v>5515</v>
      </c>
      <c r="B76" s="223" t="str">
        <f>'A) Base RI'!B77</f>
        <v>Bretigny-sur-Morrens</v>
      </c>
      <c r="C76" s="238">
        <v>0</v>
      </c>
      <c r="D76" s="213">
        <f>'B) D RI'!AA77</f>
        <v>882</v>
      </c>
      <c r="E76" s="214">
        <f>'B) D RI'!S77</f>
        <v>78</v>
      </c>
      <c r="F76" s="10">
        <f>'B) D RI'!R77</f>
        <v>2523204.4699999997</v>
      </c>
      <c r="G76" s="10">
        <f>'B) D RI'!U77</f>
        <v>32348.775256410252</v>
      </c>
      <c r="H76" s="41">
        <f>'B) D RI'!T77</f>
        <v>2332146.27</v>
      </c>
      <c r="I76" s="10">
        <f t="shared" si="10"/>
        <v>59798.622307692305</v>
      </c>
      <c r="J76" s="31">
        <f t="shared" si="7"/>
        <v>78826.684119666854</v>
      </c>
      <c r="K76" s="10">
        <f t="shared" si="8"/>
        <v>59798.622307692305</v>
      </c>
      <c r="L76" s="10">
        <f>'D) Ecrêtage'!C76</f>
        <v>32348.775256410252</v>
      </c>
      <c r="M76" s="10">
        <f t="shared" si="9"/>
        <v>37813.304188209469</v>
      </c>
      <c r="N76" s="55">
        <f t="shared" si="11"/>
        <v>97611.926495901775</v>
      </c>
      <c r="O76" s="411"/>
      <c r="P76" s="215"/>
      <c r="Q76" s="212"/>
      <c r="R76" s="212"/>
      <c r="S76" s="216"/>
    </row>
    <row r="77" spans="1:19" s="211" customFormat="1" x14ac:dyDescent="0.25">
      <c r="A77" s="300">
        <f>'A) Base RI'!A78</f>
        <v>5516</v>
      </c>
      <c r="B77" s="223" t="str">
        <f>'A) Base RI'!B78</f>
        <v>Cugy</v>
      </c>
      <c r="C77" s="238">
        <v>0</v>
      </c>
      <c r="D77" s="213">
        <f>'B) D RI'!AA78</f>
        <v>2733</v>
      </c>
      <c r="E77" s="214">
        <f>'B) D RI'!S78</f>
        <v>78</v>
      </c>
      <c r="F77" s="10">
        <f>'B) D RI'!R78</f>
        <v>8705183.4649999999</v>
      </c>
      <c r="G77" s="10">
        <f>'B) D RI'!U78</f>
        <v>111604.91621794872</v>
      </c>
      <c r="H77" s="41">
        <f>'B) D RI'!T78</f>
        <v>8081485.5899999989</v>
      </c>
      <c r="I77" s="10">
        <f t="shared" si="10"/>
        <v>207217.57923076922</v>
      </c>
      <c r="J77" s="31">
        <f t="shared" si="7"/>
        <v>244255.4735816888</v>
      </c>
      <c r="K77" s="10">
        <f t="shared" si="8"/>
        <v>207217.57923076922</v>
      </c>
      <c r="L77" s="10">
        <f>'D) Ecrêtage'!C77</f>
        <v>111604.91621794872</v>
      </c>
      <c r="M77" s="10">
        <f t="shared" si="9"/>
        <v>130457.8183377332</v>
      </c>
      <c r="N77" s="55">
        <f t="shared" si="11"/>
        <v>337675.39756850241</v>
      </c>
      <c r="O77" s="411"/>
      <c r="P77" s="215"/>
      <c r="Q77" s="212"/>
      <c r="R77" s="212"/>
      <c r="S77" s="216"/>
    </row>
    <row r="78" spans="1:19" s="211" customFormat="1" x14ac:dyDescent="0.25">
      <c r="A78" s="300">
        <f>'A) Base RI'!A79</f>
        <v>5518</v>
      </c>
      <c r="B78" s="223" t="str">
        <f>'A) Base RI'!B79</f>
        <v>Echallens</v>
      </c>
      <c r="C78" s="238">
        <v>0</v>
      </c>
      <c r="D78" s="213">
        <f>'B) D RI'!AA79</f>
        <v>5739</v>
      </c>
      <c r="E78" s="214">
        <f>'B) D RI'!S79</f>
        <v>72.5</v>
      </c>
      <c r="F78" s="10">
        <f>'B) D RI'!R79</f>
        <v>13269712.089999998</v>
      </c>
      <c r="G78" s="10">
        <f>'B) D RI'!U79</f>
        <v>183030.51158620688</v>
      </c>
      <c r="H78" s="41">
        <f>'B) D RI'!T79</f>
        <v>12096819.939999998</v>
      </c>
      <c r="I78" s="10">
        <f t="shared" si="10"/>
        <v>333705.37765517237</v>
      </c>
      <c r="J78" s="31">
        <f t="shared" si="7"/>
        <v>512909.68272422691</v>
      </c>
      <c r="K78" s="10">
        <f t="shared" si="8"/>
        <v>333705.37765517237</v>
      </c>
      <c r="L78" s="10">
        <f>'D) Ecrêtage'!C78</f>
        <v>183030.51158620688</v>
      </c>
      <c r="M78" s="10">
        <f t="shared" si="9"/>
        <v>213949.00905750279</v>
      </c>
      <c r="N78" s="55">
        <f t="shared" si="11"/>
        <v>547654.38671267522</v>
      </c>
      <c r="O78" s="411"/>
      <c r="P78" s="215"/>
      <c r="Q78" s="212"/>
      <c r="R78" s="212"/>
      <c r="S78" s="216"/>
    </row>
    <row r="79" spans="1:19" s="211" customFormat="1" x14ac:dyDescent="0.25">
      <c r="A79" s="300">
        <f>'A) Base RI'!A80</f>
        <v>5520</v>
      </c>
      <c r="B79" s="223" t="str">
        <f>'A) Base RI'!B80</f>
        <v>Essertines-sur-Yverdon</v>
      </c>
      <c r="C79" s="238">
        <v>0</v>
      </c>
      <c r="D79" s="213">
        <f>'B) D RI'!AA80</f>
        <v>1059</v>
      </c>
      <c r="E79" s="214">
        <f>'B) D RI'!S80</f>
        <v>73</v>
      </c>
      <c r="F79" s="10">
        <f>'B) D RI'!R80</f>
        <v>2313859.04</v>
      </c>
      <c r="G79" s="10">
        <f>'B) D RI'!U80</f>
        <v>31696.699178082192</v>
      </c>
      <c r="H79" s="41">
        <f>'B) D RI'!T80</f>
        <v>2112153.9900000002</v>
      </c>
      <c r="I79" s="10">
        <f t="shared" si="10"/>
        <v>57867.232602739736</v>
      </c>
      <c r="J79" s="31">
        <f t="shared" si="7"/>
        <v>94645.64453823946</v>
      </c>
      <c r="K79" s="10">
        <f t="shared" si="8"/>
        <v>57867.232602739736</v>
      </c>
      <c r="L79" s="10">
        <f>'D) Ecrêtage'!C79</f>
        <v>31696.699178082192</v>
      </c>
      <c r="M79" s="10">
        <f t="shared" si="9"/>
        <v>37051.075915014255</v>
      </c>
      <c r="N79" s="55">
        <f t="shared" si="11"/>
        <v>94918.308517753991</v>
      </c>
      <c r="O79" s="411"/>
      <c r="P79" s="215"/>
      <c r="Q79" s="212"/>
      <c r="R79" s="212"/>
      <c r="S79" s="216"/>
    </row>
    <row r="80" spans="1:19" s="211" customFormat="1" x14ac:dyDescent="0.25">
      <c r="A80" s="300">
        <f>'A) Base RI'!A81</f>
        <v>5521</v>
      </c>
      <c r="B80" s="223" t="str">
        <f>'A) Base RI'!B81</f>
        <v>Etagnières</v>
      </c>
      <c r="C80" s="238">
        <v>0</v>
      </c>
      <c r="D80" s="213">
        <f>'B) D RI'!AA81</f>
        <v>1148</v>
      </c>
      <c r="E80" s="214">
        <f>'B) D RI'!S81</f>
        <v>73</v>
      </c>
      <c r="F80" s="10">
        <f>'B) D RI'!R81</f>
        <v>3113110.9</v>
      </c>
      <c r="G80" s="10">
        <f>'B) D RI'!U81</f>
        <v>42645.35479452055</v>
      </c>
      <c r="H80" s="41">
        <f>'B) D RI'!T81</f>
        <v>2830729.1999999997</v>
      </c>
      <c r="I80" s="10">
        <f t="shared" si="10"/>
        <v>77554.224657534243</v>
      </c>
      <c r="J80" s="31">
        <f t="shared" si="7"/>
        <v>102599.81107639178</v>
      </c>
      <c r="K80" s="10">
        <f t="shared" si="8"/>
        <v>77554.224657534243</v>
      </c>
      <c r="L80" s="10">
        <f>'D) Ecrêtage'!C80</f>
        <v>42645.35479452055</v>
      </c>
      <c r="M80" s="10">
        <f t="shared" si="9"/>
        <v>49849.23726717526</v>
      </c>
      <c r="N80" s="55">
        <f t="shared" si="11"/>
        <v>127403.4619247095</v>
      </c>
      <c r="O80" s="411"/>
      <c r="P80" s="215"/>
      <c r="Q80" s="212"/>
      <c r="R80" s="212"/>
      <c r="S80" s="216"/>
    </row>
    <row r="81" spans="1:19" s="211" customFormat="1" x14ac:dyDescent="0.25">
      <c r="A81" s="300">
        <f>'A) Base RI'!A82</f>
        <v>5522</v>
      </c>
      <c r="B81" s="223" t="str">
        <f>'A) Base RI'!B82</f>
        <v>Fey</v>
      </c>
      <c r="C81" s="238">
        <v>0</v>
      </c>
      <c r="D81" s="213">
        <f>'B) D RI'!AA82</f>
        <v>754</v>
      </c>
      <c r="E81" s="214">
        <f>'B) D RI'!S82</f>
        <v>75</v>
      </c>
      <c r="F81" s="10">
        <f>'B) D RI'!R82</f>
        <v>1794324.96</v>
      </c>
      <c r="G81" s="10">
        <f>'B) D RI'!U82</f>
        <v>23924.3328</v>
      </c>
      <c r="H81" s="41">
        <f>'B) D RI'!T82</f>
        <v>1646285.01</v>
      </c>
      <c r="I81" s="10">
        <f t="shared" si="10"/>
        <v>43900.933599999997</v>
      </c>
      <c r="J81" s="31">
        <f t="shared" si="7"/>
        <v>67386.983929964641</v>
      </c>
      <c r="K81" s="10">
        <f t="shared" si="8"/>
        <v>43900.933599999997</v>
      </c>
      <c r="L81" s="10">
        <f>'D) Ecrêtage'!C81</f>
        <v>23924.3328</v>
      </c>
      <c r="M81" s="10">
        <f t="shared" si="9"/>
        <v>27965.759646096329</v>
      </c>
      <c r="N81" s="55">
        <f t="shared" si="11"/>
        <v>71866.693246096329</v>
      </c>
      <c r="O81" s="411"/>
      <c r="P81" s="215"/>
      <c r="Q81" s="212"/>
      <c r="R81" s="212"/>
      <c r="S81" s="216"/>
    </row>
    <row r="82" spans="1:19" s="211" customFormat="1" x14ac:dyDescent="0.25">
      <c r="A82" s="300">
        <f>'A) Base RI'!A83</f>
        <v>5523</v>
      </c>
      <c r="B82" s="223" t="str">
        <f>'A) Base RI'!B83</f>
        <v>Froideville</v>
      </c>
      <c r="C82" s="238">
        <v>0</v>
      </c>
      <c r="D82" s="213">
        <f>'B) D RI'!AA83</f>
        <v>2673</v>
      </c>
      <c r="E82" s="214">
        <f>'B) D RI'!S83</f>
        <v>72</v>
      </c>
      <c r="F82" s="10">
        <f>'B) D RI'!R83</f>
        <v>6749358.1599999992</v>
      </c>
      <c r="G82" s="10">
        <f>'B) D RI'!U83</f>
        <v>93741.085555555546</v>
      </c>
      <c r="H82" s="41">
        <f>'B) D RI'!T83</f>
        <v>6172731.4699999997</v>
      </c>
      <c r="I82" s="10">
        <f t="shared" si="10"/>
        <v>171464.76305555555</v>
      </c>
      <c r="J82" s="31">
        <f t="shared" si="7"/>
        <v>238893.11411776589</v>
      </c>
      <c r="K82" s="10">
        <f t="shared" si="8"/>
        <v>171464.76305555555</v>
      </c>
      <c r="L82" s="10">
        <f>'D) Ecrêtage'!C82</f>
        <v>93741.085555555546</v>
      </c>
      <c r="M82" s="10">
        <f t="shared" si="9"/>
        <v>109576.33341443982</v>
      </c>
      <c r="N82" s="55">
        <f t="shared" si="11"/>
        <v>281041.09646999539</v>
      </c>
      <c r="O82" s="411"/>
      <c r="P82" s="215"/>
      <c r="Q82" s="212"/>
      <c r="R82" s="212"/>
      <c r="S82" s="216"/>
    </row>
    <row r="83" spans="1:19" s="211" customFormat="1" x14ac:dyDescent="0.25">
      <c r="A83" s="300">
        <f>'A) Base RI'!A84</f>
        <v>5527</v>
      </c>
      <c r="B83" s="223" t="str">
        <f>'A) Base RI'!B84</f>
        <v>Morrens</v>
      </c>
      <c r="C83" s="238">
        <v>0</v>
      </c>
      <c r="D83" s="213">
        <f>'B) D RI'!AA84</f>
        <v>1156</v>
      </c>
      <c r="E83" s="214">
        <f>'B) D RI'!S84</f>
        <v>74</v>
      </c>
      <c r="F83" s="10">
        <f>'B) D RI'!R84</f>
        <v>2908962.35</v>
      </c>
      <c r="G83" s="10">
        <f>'B) D RI'!U84</f>
        <v>39310.302027027028</v>
      </c>
      <c r="H83" s="41">
        <f>'B) D RI'!T84</f>
        <v>2667994.35</v>
      </c>
      <c r="I83" s="10">
        <f t="shared" si="10"/>
        <v>72107.955405405402</v>
      </c>
      <c r="J83" s="31">
        <f t="shared" si="7"/>
        <v>103314.79233824818</v>
      </c>
      <c r="K83" s="10">
        <f t="shared" si="8"/>
        <v>72107.955405405402</v>
      </c>
      <c r="L83" s="10">
        <f>'D) Ecrêtage'!C83</f>
        <v>39310.302027027028</v>
      </c>
      <c r="M83" s="10">
        <f t="shared" si="9"/>
        <v>45950.80946638943</v>
      </c>
      <c r="N83" s="55">
        <f t="shared" si="11"/>
        <v>118058.76487179483</v>
      </c>
      <c r="O83" s="411"/>
      <c r="P83" s="215"/>
      <c r="Q83" s="212"/>
      <c r="R83" s="212"/>
      <c r="S83" s="216"/>
    </row>
    <row r="84" spans="1:19" s="211" customFormat="1" x14ac:dyDescent="0.25">
      <c r="A84" s="300">
        <f>'A) Base RI'!A85</f>
        <v>5529</v>
      </c>
      <c r="B84" s="223" t="str">
        <f>'A) Base RI'!B85</f>
        <v>Oulens-sous-Echallens</v>
      </c>
      <c r="C84" s="238">
        <v>0</v>
      </c>
      <c r="D84" s="213">
        <f>'B) D RI'!AA85</f>
        <v>619</v>
      </c>
      <c r="E84" s="214">
        <f>'B) D RI'!S85</f>
        <v>70</v>
      </c>
      <c r="F84" s="10">
        <f>'B) D RI'!R85</f>
        <v>1481356.23</v>
      </c>
      <c r="G84" s="10">
        <f>'B) D RI'!U85</f>
        <v>21162.231857142859</v>
      </c>
      <c r="H84" s="41">
        <f>'B) D RI'!T85</f>
        <v>1349895.0799999998</v>
      </c>
      <c r="I84" s="10">
        <f t="shared" si="10"/>
        <v>38568.430857142856</v>
      </c>
      <c r="J84" s="31">
        <f t="shared" si="7"/>
        <v>55321.675136138081</v>
      </c>
      <c r="K84" s="10">
        <f t="shared" si="8"/>
        <v>38568.430857142856</v>
      </c>
      <c r="L84" s="10">
        <f>'D) Ecrêtage'!C84</f>
        <v>21162.231857142859</v>
      </c>
      <c r="M84" s="10">
        <f t="shared" si="9"/>
        <v>24737.069770732327</v>
      </c>
      <c r="N84" s="55">
        <f t="shared" si="11"/>
        <v>63305.500627875183</v>
      </c>
      <c r="O84" s="411"/>
      <c r="P84" s="215"/>
      <c r="Q84" s="212"/>
      <c r="R84" s="212"/>
      <c r="S84" s="216"/>
    </row>
    <row r="85" spans="1:19" s="211" customFormat="1" x14ac:dyDescent="0.25">
      <c r="A85" s="300">
        <f>'A) Base RI'!A86</f>
        <v>5530</v>
      </c>
      <c r="B85" s="223" t="str">
        <f>'A) Base RI'!B86</f>
        <v>Pailly</v>
      </c>
      <c r="C85" s="238">
        <v>0</v>
      </c>
      <c r="D85" s="213">
        <f>'B) D RI'!AA86</f>
        <v>575</v>
      </c>
      <c r="E85" s="214">
        <f>'B) D RI'!S86</f>
        <v>76</v>
      </c>
      <c r="F85" s="10">
        <f>'B) D RI'!R86</f>
        <v>1467245.3516666663</v>
      </c>
      <c r="G85" s="10">
        <f>'B) D RI'!U86</f>
        <v>19305.859890350872</v>
      </c>
      <c r="H85" s="41">
        <f>'B) D RI'!T86</f>
        <v>1355539.8099999996</v>
      </c>
      <c r="I85" s="10">
        <f t="shared" si="10"/>
        <v>35672.100263157881</v>
      </c>
      <c r="J85" s="31">
        <f t="shared" si="7"/>
        <v>51389.278195927938</v>
      </c>
      <c r="K85" s="10">
        <f t="shared" si="8"/>
        <v>35672.100263157881</v>
      </c>
      <c r="L85" s="10">
        <f>'D) Ecrêtage'!C85</f>
        <v>19305.859890350872</v>
      </c>
      <c r="M85" s="10">
        <f t="shared" si="9"/>
        <v>22567.109476706664</v>
      </c>
      <c r="N85" s="55">
        <f t="shared" si="11"/>
        <v>58239.209739864542</v>
      </c>
      <c r="O85" s="411"/>
      <c r="P85" s="215"/>
      <c r="Q85" s="212"/>
      <c r="R85" s="212"/>
      <c r="S85" s="216"/>
    </row>
    <row r="86" spans="1:19" s="211" customFormat="1" x14ac:dyDescent="0.25">
      <c r="A86" s="300">
        <f>'A) Base RI'!A87</f>
        <v>5531</v>
      </c>
      <c r="B86" s="223" t="str">
        <f>'A) Base RI'!B87</f>
        <v>Penthéréaz</v>
      </c>
      <c r="C86" s="238">
        <v>0</v>
      </c>
      <c r="D86" s="213">
        <f>'B) D RI'!AA87</f>
        <v>417</v>
      </c>
      <c r="E86" s="214">
        <f>'B) D RI'!S87</f>
        <v>74</v>
      </c>
      <c r="F86" s="10">
        <f>'B) D RI'!R87</f>
        <v>1058260.49</v>
      </c>
      <c r="G86" s="10">
        <f>'B) D RI'!U87</f>
        <v>14300.817432432432</v>
      </c>
      <c r="H86" s="41">
        <f>'B) D RI'!T87</f>
        <v>974112.19</v>
      </c>
      <c r="I86" s="10">
        <f t="shared" si="10"/>
        <v>26327.356486486486</v>
      </c>
      <c r="J86" s="31">
        <f t="shared" si="7"/>
        <v>37268.398274264262</v>
      </c>
      <c r="K86" s="10">
        <f t="shared" si="8"/>
        <v>26327.356486486486</v>
      </c>
      <c r="L86" s="10">
        <f>'D) Ecrêtage'!C86</f>
        <v>14300.817432432432</v>
      </c>
      <c r="M86" s="10">
        <f t="shared" si="9"/>
        <v>16716.588353849926</v>
      </c>
      <c r="N86" s="55">
        <f t="shared" si="11"/>
        <v>43043.944840336408</v>
      </c>
      <c r="O86" s="411"/>
      <c r="P86" s="215"/>
      <c r="Q86" s="212"/>
      <c r="R86" s="212"/>
      <c r="S86" s="216"/>
    </row>
    <row r="87" spans="1:19" s="211" customFormat="1" x14ac:dyDescent="0.25">
      <c r="A87" s="300">
        <f>'A) Base RI'!A88</f>
        <v>5533</v>
      </c>
      <c r="B87" s="223" t="str">
        <f>'A) Base RI'!B88</f>
        <v>Poliez-Pittet</v>
      </c>
      <c r="C87" s="238">
        <v>0</v>
      </c>
      <c r="D87" s="213">
        <f>'B) D RI'!AA88</f>
        <v>833</v>
      </c>
      <c r="E87" s="214">
        <f>'B) D RI'!S88</f>
        <v>73</v>
      </c>
      <c r="F87" s="10">
        <f>'B) D RI'!R88</f>
        <v>2007648.3299999996</v>
      </c>
      <c r="G87" s="10">
        <f>'B) D RI'!U88</f>
        <v>27502.031917808214</v>
      </c>
      <c r="H87" s="41">
        <f>'B) D RI'!T88</f>
        <v>1851040.8799999997</v>
      </c>
      <c r="I87" s="10">
        <f t="shared" si="10"/>
        <v>50713.448767123278</v>
      </c>
      <c r="J87" s="31">
        <f t="shared" si="7"/>
        <v>74447.423890796475</v>
      </c>
      <c r="K87" s="10">
        <f t="shared" si="8"/>
        <v>50713.448767123278</v>
      </c>
      <c r="L87" s="10">
        <f>'D) Ecrêtage'!C87</f>
        <v>27502.031917808214</v>
      </c>
      <c r="M87" s="10">
        <f t="shared" si="9"/>
        <v>32147.822922472227</v>
      </c>
      <c r="N87" s="55">
        <f t="shared" si="11"/>
        <v>82861.271689595509</v>
      </c>
      <c r="O87" s="411"/>
      <c r="P87" s="215"/>
      <c r="Q87" s="212"/>
      <c r="R87" s="212"/>
      <c r="S87" s="216"/>
    </row>
    <row r="88" spans="1:19" s="211" customFormat="1" x14ac:dyDescent="0.25">
      <c r="A88" s="300">
        <f>'A) Base RI'!A89</f>
        <v>5534</v>
      </c>
      <c r="B88" s="223" t="str">
        <f>'A) Base RI'!B89</f>
        <v>Rueyres</v>
      </c>
      <c r="C88" s="238">
        <v>0</v>
      </c>
      <c r="D88" s="213">
        <f>'B) D RI'!AA89</f>
        <v>304</v>
      </c>
      <c r="E88" s="214">
        <f>'B) D RI'!S89</f>
        <v>73</v>
      </c>
      <c r="F88" s="10">
        <f>'B) D RI'!R89</f>
        <v>956810.40666666662</v>
      </c>
      <c r="G88" s="10">
        <f>'B) D RI'!U89</f>
        <v>13106.991872146118</v>
      </c>
      <c r="H88" s="41">
        <f>'B) D RI'!T89</f>
        <v>875514.49</v>
      </c>
      <c r="I88" s="10">
        <f t="shared" si="10"/>
        <v>23986.698356164383</v>
      </c>
      <c r="J88" s="31">
        <f t="shared" si="7"/>
        <v>27169.287950542774</v>
      </c>
      <c r="K88" s="10">
        <f t="shared" si="8"/>
        <v>23986.698356164383</v>
      </c>
      <c r="L88" s="10">
        <f>'D) Ecrêtage'!C88</f>
        <v>13106.991872146118</v>
      </c>
      <c r="M88" s="10">
        <f t="shared" si="9"/>
        <v>15321.095365291712</v>
      </c>
      <c r="N88" s="55">
        <f t="shared" si="11"/>
        <v>39307.793721456095</v>
      </c>
      <c r="O88" s="411"/>
      <c r="P88" s="215"/>
      <c r="Q88" s="212"/>
      <c r="R88" s="212"/>
      <c r="S88" s="216"/>
    </row>
    <row r="89" spans="1:19" s="211" customFormat="1" x14ac:dyDescent="0.25">
      <c r="A89" s="300">
        <f>'A) Base RI'!A90</f>
        <v>5535</v>
      </c>
      <c r="B89" s="223" t="str">
        <f>'A) Base RI'!B90</f>
        <v>Saint-Barthélemy</v>
      </c>
      <c r="C89" s="238">
        <v>0</v>
      </c>
      <c r="D89" s="213">
        <f>'B) D RI'!AA90</f>
        <v>809</v>
      </c>
      <c r="E89" s="214">
        <f>'B) D RI'!S90</f>
        <v>75</v>
      </c>
      <c r="F89" s="10">
        <f>'B) D RI'!R90</f>
        <v>1881023.8899999997</v>
      </c>
      <c r="G89" s="10">
        <f>'B) D RI'!U90</f>
        <v>25080.318533333328</v>
      </c>
      <c r="H89" s="41">
        <f>'B) D RI'!T90</f>
        <v>1731349.6899999997</v>
      </c>
      <c r="I89" s="10">
        <f t="shared" si="10"/>
        <v>46169.325066666657</v>
      </c>
      <c r="J89" s="31">
        <f t="shared" si="7"/>
        <v>72302.480105227311</v>
      </c>
      <c r="K89" s="10">
        <f t="shared" si="8"/>
        <v>46169.325066666657</v>
      </c>
      <c r="L89" s="10">
        <f>'D) Ecrêtage'!C89</f>
        <v>25080.318533333328</v>
      </c>
      <c r="M89" s="10">
        <f t="shared" si="9"/>
        <v>29317.020700812816</v>
      </c>
      <c r="N89" s="55">
        <f t="shared" si="11"/>
        <v>75486.345767479477</v>
      </c>
      <c r="O89" s="411"/>
      <c r="P89" s="215"/>
      <c r="Q89" s="212"/>
      <c r="R89" s="212"/>
      <c r="S89" s="216"/>
    </row>
    <row r="90" spans="1:19" s="211" customFormat="1" x14ac:dyDescent="0.25">
      <c r="A90" s="300">
        <f>'A) Base RI'!A91</f>
        <v>5537</v>
      </c>
      <c r="B90" s="223" t="str">
        <f>'A) Base RI'!B91</f>
        <v>Villars-le-Terroir</v>
      </c>
      <c r="C90" s="238">
        <v>0</v>
      </c>
      <c r="D90" s="213">
        <f>'B) D RI'!AA91</f>
        <v>1316</v>
      </c>
      <c r="E90" s="214">
        <f>'B) D RI'!S91</f>
        <v>76</v>
      </c>
      <c r="F90" s="10">
        <f>'B) D RI'!R91</f>
        <v>3261754.0200000005</v>
      </c>
      <c r="G90" s="10">
        <f>'B) D RI'!U91</f>
        <v>42917.816052631584</v>
      </c>
      <c r="H90" s="41">
        <f>'B) D RI'!T91</f>
        <v>3009521.3200000003</v>
      </c>
      <c r="I90" s="10">
        <f t="shared" si="10"/>
        <v>79197.929473684213</v>
      </c>
      <c r="J90" s="31">
        <f t="shared" si="7"/>
        <v>117614.41757537595</v>
      </c>
      <c r="K90" s="10">
        <f t="shared" si="8"/>
        <v>79197.929473684213</v>
      </c>
      <c r="L90" s="10">
        <f>'D) Ecrêtage'!C90</f>
        <v>42917.816052631584</v>
      </c>
      <c r="M90" s="10">
        <f t="shared" si="9"/>
        <v>50167.724144987216</v>
      </c>
      <c r="N90" s="55">
        <f t="shared" si="11"/>
        <v>129365.65361867144</v>
      </c>
      <c r="O90" s="411"/>
      <c r="P90" s="215"/>
      <c r="Q90" s="212"/>
      <c r="R90" s="212"/>
      <c r="S90" s="216"/>
    </row>
    <row r="91" spans="1:19" s="211" customFormat="1" x14ac:dyDescent="0.25">
      <c r="A91" s="300">
        <f>'A) Base RI'!A92</f>
        <v>5539</v>
      </c>
      <c r="B91" s="223" t="str">
        <f>'A) Base RI'!B92</f>
        <v>Vuarrens</v>
      </c>
      <c r="C91" s="238">
        <v>0</v>
      </c>
      <c r="D91" s="213">
        <f>'B) D RI'!AA92</f>
        <v>1097</v>
      </c>
      <c r="E91" s="214">
        <f>'B) D RI'!S92</f>
        <v>73.5</v>
      </c>
      <c r="F91" s="10">
        <f>'B) D RI'!R92</f>
        <v>2540016.4899999988</v>
      </c>
      <c r="G91" s="10">
        <f>'B) D RI'!U92</f>
        <v>34558.047482993185</v>
      </c>
      <c r="H91" s="41">
        <f>'B) D RI'!T92</f>
        <v>2340269.939999999</v>
      </c>
      <c r="I91" s="10">
        <f t="shared" si="10"/>
        <v>63680.814693877524</v>
      </c>
      <c r="J91" s="31">
        <f t="shared" si="7"/>
        <v>98041.805532057304</v>
      </c>
      <c r="K91" s="10">
        <f t="shared" si="8"/>
        <v>63680.814693877524</v>
      </c>
      <c r="L91" s="10">
        <f>'D) Ecrêtage'!C91</f>
        <v>34558.047482993185</v>
      </c>
      <c r="M91" s="10">
        <f t="shared" si="9"/>
        <v>40395.778550103249</v>
      </c>
      <c r="N91" s="55">
        <f t="shared" si="11"/>
        <v>104076.59324398078</v>
      </c>
      <c r="O91" s="411"/>
      <c r="P91" s="215"/>
      <c r="Q91" s="212"/>
      <c r="R91" s="212"/>
      <c r="S91" s="216"/>
    </row>
    <row r="92" spans="1:19" s="211" customFormat="1" x14ac:dyDescent="0.25">
      <c r="A92" s="300">
        <f>'A) Base RI'!A93</f>
        <v>5540</v>
      </c>
      <c r="B92" s="223" t="str">
        <f>'A) Base RI'!B93</f>
        <v>Montilliez</v>
      </c>
      <c r="C92" s="238">
        <v>0</v>
      </c>
      <c r="D92" s="213">
        <f>'B) D RI'!AA93</f>
        <v>1883</v>
      </c>
      <c r="E92" s="214">
        <f>'B) D RI'!S93</f>
        <v>72.5</v>
      </c>
      <c r="F92" s="10">
        <f>'B) D RI'!R93</f>
        <v>4590409.3224999998</v>
      </c>
      <c r="G92" s="10">
        <f>'B) D RI'!U93</f>
        <v>63315.990655172413</v>
      </c>
      <c r="H92" s="41">
        <f>'B) D RI'!T93</f>
        <v>4225821.76</v>
      </c>
      <c r="I92" s="10">
        <f t="shared" si="10"/>
        <v>116574.39337931034</v>
      </c>
      <c r="J92" s="31">
        <f t="shared" si="7"/>
        <v>168288.71450944751</v>
      </c>
      <c r="K92" s="10">
        <f t="shared" si="8"/>
        <v>116574.39337931034</v>
      </c>
      <c r="L92" s="10">
        <f>'D) Ecrêtage'!C92</f>
        <v>63315.990655172413</v>
      </c>
      <c r="M92" s="10">
        <f t="shared" si="9"/>
        <v>74011.668004260209</v>
      </c>
      <c r="N92" s="55">
        <f t="shared" si="11"/>
        <v>190586.06138357054</v>
      </c>
      <c r="O92" s="411"/>
      <c r="P92" s="215"/>
      <c r="Q92" s="212"/>
      <c r="R92" s="212"/>
      <c r="S92" s="216"/>
    </row>
    <row r="93" spans="1:19" s="211" customFormat="1" x14ac:dyDescent="0.25">
      <c r="A93" s="300">
        <f>'A) Base RI'!A94</f>
        <v>5541</v>
      </c>
      <c r="B93" s="223" t="str">
        <f>'A) Base RI'!B94</f>
        <v>Goumoëns</v>
      </c>
      <c r="C93" s="238">
        <v>0</v>
      </c>
      <c r="D93" s="213">
        <f>'B) D RI'!AA94</f>
        <v>1166</v>
      </c>
      <c r="E93" s="214">
        <f>'B) D RI'!S94</f>
        <v>75.5</v>
      </c>
      <c r="F93" s="10">
        <f>'B) D RI'!R94</f>
        <v>3116566.9699999997</v>
      </c>
      <c r="G93" s="10">
        <f>'B) D RI'!U94</f>
        <v>41279.032715231784</v>
      </c>
      <c r="H93" s="41">
        <f>'B) D RI'!T94</f>
        <v>2894701.9699999997</v>
      </c>
      <c r="I93" s="10">
        <f t="shared" si="10"/>
        <v>76680.84688741721</v>
      </c>
      <c r="J93" s="31">
        <f t="shared" si="7"/>
        <v>104208.51891556867</v>
      </c>
      <c r="K93" s="10">
        <f t="shared" si="8"/>
        <v>76680.84688741721</v>
      </c>
      <c r="L93" s="10">
        <f>'D) Ecrêtage'!C93</f>
        <v>41279.032715231784</v>
      </c>
      <c r="M93" s="10">
        <f t="shared" si="9"/>
        <v>48252.108720771481</v>
      </c>
      <c r="N93" s="55">
        <f t="shared" si="11"/>
        <v>124932.9556081887</v>
      </c>
      <c r="O93" s="411"/>
      <c r="P93" s="215"/>
      <c r="Q93" s="212"/>
      <c r="R93" s="212"/>
      <c r="S93" s="216"/>
    </row>
    <row r="94" spans="1:19" s="211" customFormat="1" x14ac:dyDescent="0.25">
      <c r="A94" s="300">
        <f>'A) Base RI'!A95</f>
        <v>5551</v>
      </c>
      <c r="B94" s="223" t="str">
        <f>'A) Base RI'!B95</f>
        <v>Bonvillars</v>
      </c>
      <c r="C94" s="238">
        <v>0</v>
      </c>
      <c r="D94" s="213">
        <f>'B) D RI'!AA95</f>
        <v>481</v>
      </c>
      <c r="E94" s="214">
        <f>'B) D RI'!S95</f>
        <v>55</v>
      </c>
      <c r="F94" s="10">
        <f>'B) D RI'!R95</f>
        <v>1028907.6599999999</v>
      </c>
      <c r="G94" s="10">
        <f>'B) D RI'!U95</f>
        <v>18707.412</v>
      </c>
      <c r="H94" s="41">
        <f>'B) D RI'!T95</f>
        <v>902303.90999999992</v>
      </c>
      <c r="I94" s="10">
        <f t="shared" si="10"/>
        <v>32811.051272727273</v>
      </c>
      <c r="J94" s="31">
        <f t="shared" si="7"/>
        <v>42988.248369115376</v>
      </c>
      <c r="K94" s="10">
        <f t="shared" si="8"/>
        <v>32811.051272727273</v>
      </c>
      <c r="L94" s="10">
        <f>'D) Ecrêtage'!C94</f>
        <v>18707.412</v>
      </c>
      <c r="M94" s="10">
        <f t="shared" si="9"/>
        <v>21867.568553155146</v>
      </c>
      <c r="N94" s="55">
        <f t="shared" si="11"/>
        <v>54678.619825882415</v>
      </c>
      <c r="O94" s="411"/>
      <c r="P94" s="215"/>
      <c r="Q94" s="212"/>
      <c r="R94" s="212"/>
      <c r="S94" s="216"/>
    </row>
    <row r="95" spans="1:19" s="211" customFormat="1" x14ac:dyDescent="0.25">
      <c r="A95" s="300">
        <f>'A) Base RI'!A96</f>
        <v>5552</v>
      </c>
      <c r="B95" s="223" t="str">
        <f>'A) Base RI'!B96</f>
        <v>Bullet</v>
      </c>
      <c r="C95" s="238">
        <v>0</v>
      </c>
      <c r="D95" s="213">
        <f>'B) D RI'!AA96</f>
        <v>657</v>
      </c>
      <c r="E95" s="214">
        <f>'B) D RI'!S96</f>
        <v>71.5</v>
      </c>
      <c r="F95" s="10">
        <f>'B) D RI'!R96</f>
        <v>1401370.85</v>
      </c>
      <c r="G95" s="10">
        <f>'B) D RI'!U96</f>
        <v>19599.59230769231</v>
      </c>
      <c r="H95" s="41">
        <f>'B) D RI'!T96</f>
        <v>1266476.95</v>
      </c>
      <c r="I95" s="10">
        <f t="shared" si="10"/>
        <v>35425.928671328671</v>
      </c>
      <c r="J95" s="31">
        <f t="shared" si="7"/>
        <v>58717.836129955926</v>
      </c>
      <c r="K95" s="10">
        <f t="shared" si="8"/>
        <v>35425.928671328671</v>
      </c>
      <c r="L95" s="10">
        <f>'D) Ecrêtage'!C95</f>
        <v>19599.59230769231</v>
      </c>
      <c r="M95" s="10">
        <f t="shared" si="9"/>
        <v>22910.460752259791</v>
      </c>
      <c r="N95" s="55">
        <f t="shared" si="11"/>
        <v>58336.389423588465</v>
      </c>
      <c r="O95" s="411"/>
      <c r="P95" s="215"/>
      <c r="Q95" s="212"/>
      <c r="R95" s="212"/>
      <c r="S95" s="216"/>
    </row>
    <row r="96" spans="1:19" s="211" customFormat="1" x14ac:dyDescent="0.25">
      <c r="A96" s="300">
        <f>'A) Base RI'!A97</f>
        <v>5553</v>
      </c>
      <c r="B96" s="223" t="str">
        <f>'A) Base RI'!B97</f>
        <v>Champagne</v>
      </c>
      <c r="C96" s="238">
        <v>0</v>
      </c>
      <c r="D96" s="213">
        <f>'B) D RI'!AA97</f>
        <v>1085</v>
      </c>
      <c r="E96" s="214">
        <f>'B) D RI'!S97</f>
        <v>65</v>
      </c>
      <c r="F96" s="10">
        <f>'B) D RI'!R97</f>
        <v>2605689.16</v>
      </c>
      <c r="G96" s="10">
        <f>'B) D RI'!U97</f>
        <v>40087.525538461538</v>
      </c>
      <c r="H96" s="41">
        <f>'B) D RI'!T97</f>
        <v>2350750.66</v>
      </c>
      <c r="I96" s="10">
        <f t="shared" si="10"/>
        <v>72330.78953846154</v>
      </c>
      <c r="J96" s="31">
        <f t="shared" si="7"/>
        <v>96969.333639272721</v>
      </c>
      <c r="K96" s="10">
        <f t="shared" si="8"/>
        <v>72330.78953846154</v>
      </c>
      <c r="L96" s="10">
        <f>'D) Ecrêtage'!C96</f>
        <v>40087.525538461538</v>
      </c>
      <c r="M96" s="10">
        <f t="shared" si="9"/>
        <v>46859.32574952994</v>
      </c>
      <c r="N96" s="55">
        <f t="shared" si="11"/>
        <v>119190.11528799147</v>
      </c>
      <c r="O96" s="411"/>
      <c r="P96" s="215"/>
      <c r="Q96" s="212"/>
      <c r="R96" s="212"/>
      <c r="S96" s="216"/>
    </row>
    <row r="97" spans="1:19" s="211" customFormat="1" x14ac:dyDescent="0.25">
      <c r="A97" s="300">
        <f>'A) Base RI'!A98</f>
        <v>5554</v>
      </c>
      <c r="B97" s="223" t="str">
        <f>'A) Base RI'!B98</f>
        <v>Concise</v>
      </c>
      <c r="C97" s="238">
        <v>0</v>
      </c>
      <c r="D97" s="213">
        <f>'B) D RI'!AA98</f>
        <v>1004</v>
      </c>
      <c r="E97" s="214">
        <f>'B) D RI'!S98</f>
        <v>75</v>
      </c>
      <c r="F97" s="10">
        <f>'B) D RI'!R98</f>
        <v>2362633.7799999998</v>
      </c>
      <c r="G97" s="10">
        <f>'B) D RI'!U98</f>
        <v>31501.78373333333</v>
      </c>
      <c r="H97" s="41">
        <f>'B) D RI'!T98</f>
        <v>2174973.73</v>
      </c>
      <c r="I97" s="10">
        <f t="shared" si="10"/>
        <v>57999.299466666664</v>
      </c>
      <c r="J97" s="31">
        <f t="shared" si="7"/>
        <v>89730.14836297679</v>
      </c>
      <c r="K97" s="10">
        <f t="shared" si="8"/>
        <v>57999.299466666664</v>
      </c>
      <c r="L97" s="10">
        <f>'D) Ecrêtage'!C97</f>
        <v>31501.78373333333</v>
      </c>
      <c r="M97" s="10">
        <f t="shared" si="9"/>
        <v>36823.234306024489</v>
      </c>
      <c r="N97" s="55">
        <f t="shared" si="11"/>
        <v>94822.533772691153</v>
      </c>
      <c r="O97" s="411"/>
      <c r="P97" s="215"/>
      <c r="Q97" s="212"/>
      <c r="R97" s="212"/>
      <c r="S97" s="216"/>
    </row>
    <row r="98" spans="1:19" s="211" customFormat="1" x14ac:dyDescent="0.25">
      <c r="A98" s="300">
        <f>'A) Base RI'!A99</f>
        <v>5555</v>
      </c>
      <c r="B98" s="223" t="str">
        <f>'A) Base RI'!B99</f>
        <v>Corcelles-près-Concise</v>
      </c>
      <c r="C98" s="238">
        <v>0</v>
      </c>
      <c r="D98" s="213">
        <f>'B) D RI'!AA99</f>
        <v>417</v>
      </c>
      <c r="E98" s="214">
        <f>'B) D RI'!S99</f>
        <v>69</v>
      </c>
      <c r="F98" s="10">
        <f>'B) D RI'!R99</f>
        <v>957599.03999999992</v>
      </c>
      <c r="G98" s="10">
        <f>'B) D RI'!U99</f>
        <v>13878.246956521738</v>
      </c>
      <c r="H98" s="41">
        <f>'B) D RI'!T99</f>
        <v>862997.19</v>
      </c>
      <c r="I98" s="10">
        <f t="shared" si="10"/>
        <v>25014.411304347825</v>
      </c>
      <c r="J98" s="31">
        <f t="shared" si="7"/>
        <v>37268.398274264262</v>
      </c>
      <c r="K98" s="10">
        <f t="shared" si="8"/>
        <v>25014.411304347825</v>
      </c>
      <c r="L98" s="10">
        <f>'D) Ecrêtage'!C98</f>
        <v>13878.246956521738</v>
      </c>
      <c r="M98" s="10">
        <f t="shared" si="9"/>
        <v>16222.635002605164</v>
      </c>
      <c r="N98" s="55">
        <f t="shared" si="11"/>
        <v>41237.046306952987</v>
      </c>
      <c r="O98" s="411"/>
      <c r="P98" s="215"/>
      <c r="Q98" s="212"/>
      <c r="R98" s="212"/>
      <c r="S98" s="216"/>
    </row>
    <row r="99" spans="1:19" s="211" customFormat="1" x14ac:dyDescent="0.25">
      <c r="A99" s="300">
        <f>'A) Base RI'!A100</f>
        <v>5556</v>
      </c>
      <c r="B99" s="223" t="str">
        <f>'A) Base RI'!B100</f>
        <v>Fiez</v>
      </c>
      <c r="C99" s="238">
        <v>0</v>
      </c>
      <c r="D99" s="213">
        <f>'B) D RI'!AA100</f>
        <v>442</v>
      </c>
      <c r="E99" s="214">
        <f>'B) D RI'!S100</f>
        <v>69</v>
      </c>
      <c r="F99" s="10">
        <f>'B) D RI'!R100</f>
        <v>1005859.0783333335</v>
      </c>
      <c r="G99" s="10">
        <f>'B) D RI'!U100</f>
        <v>14577.66780193237</v>
      </c>
      <c r="H99" s="41">
        <f>'B) D RI'!T100</f>
        <v>927386.22000000009</v>
      </c>
      <c r="I99" s="10">
        <f t="shared" si="10"/>
        <v>26880.760000000002</v>
      </c>
      <c r="J99" s="31">
        <f t="shared" si="7"/>
        <v>39502.714717565475</v>
      </c>
      <c r="K99" s="10">
        <f t="shared" si="8"/>
        <v>26880.760000000002</v>
      </c>
      <c r="L99" s="10">
        <f>'D) Ecrêtage'!C99</f>
        <v>14577.66780193237</v>
      </c>
      <c r="M99" s="10">
        <f t="shared" si="9"/>
        <v>17040.205775330047</v>
      </c>
      <c r="N99" s="55">
        <f t="shared" si="11"/>
        <v>43920.965775330049</v>
      </c>
      <c r="O99" s="411"/>
      <c r="P99" s="215"/>
      <c r="Q99" s="212"/>
      <c r="R99" s="212"/>
      <c r="S99" s="216"/>
    </row>
    <row r="100" spans="1:19" s="211" customFormat="1" x14ac:dyDescent="0.25">
      <c r="A100" s="300">
        <f>'A) Base RI'!A101</f>
        <v>5557</v>
      </c>
      <c r="B100" s="223" t="str">
        <f>'A) Base RI'!B101</f>
        <v>Fontaines-sur-Grandson</v>
      </c>
      <c r="C100" s="238">
        <v>0</v>
      </c>
      <c r="D100" s="213">
        <f>'B) D RI'!AA101</f>
        <v>220</v>
      </c>
      <c r="E100" s="214">
        <f>'B) D RI'!S101</f>
        <v>69</v>
      </c>
      <c r="F100" s="10">
        <f>'B) D RI'!R101</f>
        <v>292059.40999999997</v>
      </c>
      <c r="G100" s="10">
        <f>'B) D RI'!U101</f>
        <v>4232.7450724637674</v>
      </c>
      <c r="H100" s="41">
        <f>'B) D RI'!T101</f>
        <v>255695.00999999995</v>
      </c>
      <c r="I100" s="10">
        <f t="shared" si="10"/>
        <v>7411.44956521739</v>
      </c>
      <c r="J100" s="31">
        <f t="shared" si="7"/>
        <v>19661.984701050689</v>
      </c>
      <c r="K100" s="10">
        <f t="shared" si="8"/>
        <v>7411.44956521739</v>
      </c>
      <c r="L100" s="10">
        <f>'D) Ecrêtage'!C100</f>
        <v>4232.7450724637674</v>
      </c>
      <c r="M100" s="10">
        <f t="shared" si="9"/>
        <v>4947.7631133654986</v>
      </c>
      <c r="N100" s="55">
        <f t="shared" si="11"/>
        <v>12359.212678582888</v>
      </c>
      <c r="O100" s="411"/>
      <c r="P100" s="215"/>
      <c r="Q100" s="212"/>
      <c r="R100" s="212"/>
      <c r="S100" s="216"/>
    </row>
    <row r="101" spans="1:19" s="211" customFormat="1" x14ac:dyDescent="0.25">
      <c r="A101" s="300">
        <f>'A) Base RI'!A102</f>
        <v>5559</v>
      </c>
      <c r="B101" s="223" t="str">
        <f>'A) Base RI'!B102</f>
        <v>Giez</v>
      </c>
      <c r="C101" s="238">
        <v>0</v>
      </c>
      <c r="D101" s="213">
        <f>'B) D RI'!AA102</f>
        <v>443</v>
      </c>
      <c r="E101" s="214">
        <f>'B) D RI'!S102</f>
        <v>66</v>
      </c>
      <c r="F101" s="10">
        <f>'B) D RI'!R102</f>
        <v>1546841.36</v>
      </c>
      <c r="G101" s="10">
        <f>'B) D RI'!U102</f>
        <v>23436.990303030303</v>
      </c>
      <c r="H101" s="41">
        <f>'B) D RI'!T102</f>
        <v>1451021.76</v>
      </c>
      <c r="I101" s="10">
        <f t="shared" si="10"/>
        <v>43970.356363636361</v>
      </c>
      <c r="J101" s="31">
        <f t="shared" ref="J101:J132" si="12">+$I$314/$D$314*D101</f>
        <v>39592.087375297524</v>
      </c>
      <c r="K101" s="10">
        <f t="shared" si="8"/>
        <v>39592.087375297524</v>
      </c>
      <c r="L101" s="10">
        <f>'D) Ecrêtage'!C101</f>
        <v>23436.990303030303</v>
      </c>
      <c r="M101" s="10">
        <f t="shared" si="9"/>
        <v>27396.09263596416</v>
      </c>
      <c r="N101" s="55">
        <f t="shared" si="11"/>
        <v>66988.180011261691</v>
      </c>
      <c r="O101" s="411"/>
      <c r="P101" s="215"/>
      <c r="Q101" s="212"/>
      <c r="R101" s="212"/>
      <c r="S101" s="216"/>
    </row>
    <row r="102" spans="1:19" s="211" customFormat="1" x14ac:dyDescent="0.25">
      <c r="A102" s="300">
        <f>'A) Base RI'!A103</f>
        <v>5560</v>
      </c>
      <c r="B102" s="223" t="str">
        <f>'A) Base RI'!B103</f>
        <v>Grandevent</v>
      </c>
      <c r="C102" s="238">
        <v>0</v>
      </c>
      <c r="D102" s="213">
        <f>'B) D RI'!AA103</f>
        <v>238</v>
      </c>
      <c r="E102" s="214">
        <f>'B) D RI'!S103</f>
        <v>68</v>
      </c>
      <c r="F102" s="10">
        <f>'B) D RI'!R103</f>
        <v>476254.77</v>
      </c>
      <c r="G102" s="10">
        <f>'B) D RI'!U103</f>
        <v>7003.7466176470589</v>
      </c>
      <c r="H102" s="41">
        <f>'B) D RI'!T103</f>
        <v>432902.82</v>
      </c>
      <c r="I102" s="10">
        <f t="shared" si="10"/>
        <v>12732.435882352942</v>
      </c>
      <c r="J102" s="31">
        <f t="shared" si="12"/>
        <v>21270.692540227566</v>
      </c>
      <c r="K102" s="10">
        <f t="shared" si="8"/>
        <v>12732.435882352942</v>
      </c>
      <c r="L102" s="10">
        <f>'D) Ecrêtage'!C102</f>
        <v>7003.7466176470589</v>
      </c>
      <c r="M102" s="10">
        <f t="shared" si="9"/>
        <v>8186.8571286250362</v>
      </c>
      <c r="N102" s="55">
        <f t="shared" si="11"/>
        <v>20919.293010977977</v>
      </c>
      <c r="O102" s="411"/>
      <c r="P102" s="215"/>
      <c r="Q102" s="212"/>
      <c r="R102" s="212"/>
      <c r="S102" s="216"/>
    </row>
    <row r="103" spans="1:19" s="211" customFormat="1" x14ac:dyDescent="0.25">
      <c r="A103" s="300">
        <f>'A) Base RI'!A104</f>
        <v>5561</v>
      </c>
      <c r="B103" s="223" t="str">
        <f>'A) Base RI'!B104</f>
        <v>Grandson</v>
      </c>
      <c r="C103" s="238">
        <v>0</v>
      </c>
      <c r="D103" s="213">
        <f>'B) D RI'!AA104</f>
        <v>3366</v>
      </c>
      <c r="E103" s="214">
        <f>'B) D RI'!S104</f>
        <v>69</v>
      </c>
      <c r="F103" s="10">
        <f>'B) D RI'!R104</f>
        <v>7900917.4799999995</v>
      </c>
      <c r="G103" s="10">
        <f>'B) D RI'!U104</f>
        <v>114506.05043478261</v>
      </c>
      <c r="H103" s="41">
        <f>'B) D RI'!T104</f>
        <v>7220862.4299999997</v>
      </c>
      <c r="I103" s="10">
        <f t="shared" si="10"/>
        <v>209300.36028985507</v>
      </c>
      <c r="J103" s="31">
        <f t="shared" si="12"/>
        <v>300828.36592607555</v>
      </c>
      <c r="K103" s="10">
        <f t="shared" si="8"/>
        <v>209300.36028985507</v>
      </c>
      <c r="L103" s="10">
        <f>'D) Ecrêtage'!C103</f>
        <v>114506.05043478261</v>
      </c>
      <c r="M103" s="10">
        <f t="shared" si="9"/>
        <v>133849.0277347636</v>
      </c>
      <c r="N103" s="55">
        <f t="shared" si="11"/>
        <v>343149.38802461867</v>
      </c>
      <c r="O103" s="411"/>
      <c r="P103" s="215"/>
      <c r="Q103" s="212"/>
      <c r="R103" s="212"/>
      <c r="S103" s="216"/>
    </row>
    <row r="104" spans="1:19" s="211" customFormat="1" x14ac:dyDescent="0.25">
      <c r="A104" s="300">
        <f>'A) Base RI'!A105</f>
        <v>5562</v>
      </c>
      <c r="B104" s="223" t="str">
        <f>'A) Base RI'!B105</f>
        <v>Mauborget</v>
      </c>
      <c r="C104" s="238">
        <v>0</v>
      </c>
      <c r="D104" s="213">
        <f>'B) D RI'!AA105</f>
        <v>137</v>
      </c>
      <c r="E104" s="214">
        <f>'B) D RI'!S105</f>
        <v>70</v>
      </c>
      <c r="F104" s="10">
        <f>'B) D RI'!R105</f>
        <v>426964.41833333328</v>
      </c>
      <c r="G104" s="10">
        <f>'B) D RI'!U105</f>
        <v>6099.4916904761894</v>
      </c>
      <c r="H104" s="41">
        <f>'B) D RI'!T105</f>
        <v>393662.20999999996</v>
      </c>
      <c r="I104" s="10">
        <f t="shared" si="10"/>
        <v>11247.491714285714</v>
      </c>
      <c r="J104" s="31">
        <f t="shared" si="12"/>
        <v>12244.054109290657</v>
      </c>
      <c r="K104" s="10">
        <f t="shared" si="8"/>
        <v>11247.491714285714</v>
      </c>
      <c r="L104" s="10">
        <f>'D) Ecrêtage'!C104</f>
        <v>6099.4916904761894</v>
      </c>
      <c r="M104" s="10">
        <f t="shared" si="9"/>
        <v>7129.8506004405226</v>
      </c>
      <c r="N104" s="55">
        <f t="shared" si="11"/>
        <v>18377.342314726237</v>
      </c>
      <c r="O104" s="411"/>
      <c r="P104" s="215"/>
      <c r="Q104" s="212"/>
      <c r="R104" s="212"/>
      <c r="S104" s="216"/>
    </row>
    <row r="105" spans="1:19" s="211" customFormat="1" x14ac:dyDescent="0.25">
      <c r="A105" s="300">
        <f>'A) Base RI'!A106</f>
        <v>5563</v>
      </c>
      <c r="B105" s="223" t="str">
        <f>'A) Base RI'!B106</f>
        <v>Mutrux</v>
      </c>
      <c r="C105" s="238">
        <v>0</v>
      </c>
      <c r="D105" s="213">
        <f>'B) D RI'!AA106</f>
        <v>151</v>
      </c>
      <c r="E105" s="214">
        <f>'B) D RI'!S106</f>
        <v>80</v>
      </c>
      <c r="F105" s="10">
        <f>'B) D RI'!R106</f>
        <v>342578.52</v>
      </c>
      <c r="G105" s="10">
        <f>'B) D RI'!U106</f>
        <v>4282.2314999999999</v>
      </c>
      <c r="H105" s="41">
        <f>'B) D RI'!T106</f>
        <v>320164.77</v>
      </c>
      <c r="I105" s="10">
        <f t="shared" si="10"/>
        <v>8004.1192500000006</v>
      </c>
      <c r="J105" s="31">
        <f t="shared" si="12"/>
        <v>13495.271317539338</v>
      </c>
      <c r="K105" s="10">
        <f t="shared" si="8"/>
        <v>8004.1192500000006</v>
      </c>
      <c r="L105" s="10">
        <f>'D) Ecrêtage'!C105</f>
        <v>4282.2314999999999</v>
      </c>
      <c r="M105" s="10">
        <f t="shared" si="9"/>
        <v>5005.6090541401663</v>
      </c>
      <c r="N105" s="55">
        <f t="shared" si="11"/>
        <v>13009.728304140168</v>
      </c>
      <c r="O105" s="411"/>
      <c r="P105" s="215"/>
      <c r="Q105" s="212"/>
      <c r="R105" s="212"/>
      <c r="S105" s="216"/>
    </row>
    <row r="106" spans="1:19" s="211" customFormat="1" x14ac:dyDescent="0.25">
      <c r="A106" s="300">
        <f>'A) Base RI'!A107</f>
        <v>5564</v>
      </c>
      <c r="B106" s="223" t="str">
        <f>'A) Base RI'!B107</f>
        <v>Novalles</v>
      </c>
      <c r="C106" s="238">
        <v>0</v>
      </c>
      <c r="D106" s="213">
        <f>'B) D RI'!AA107</f>
        <v>103</v>
      </c>
      <c r="E106" s="214">
        <f>'B) D RI'!S107</f>
        <v>76</v>
      </c>
      <c r="F106" s="10">
        <f>'B) D RI'!R107</f>
        <v>159565.6525</v>
      </c>
      <c r="G106" s="10">
        <f>'B) D RI'!U107</f>
        <v>2099.5480592105264</v>
      </c>
      <c r="H106" s="41">
        <f>'B) D RI'!T107</f>
        <v>145297.59</v>
      </c>
      <c r="I106" s="10">
        <f t="shared" si="10"/>
        <v>3823.620789473684</v>
      </c>
      <c r="J106" s="31">
        <f t="shared" si="12"/>
        <v>9205.3837464010048</v>
      </c>
      <c r="K106" s="10">
        <f t="shared" si="8"/>
        <v>3823.620789473684</v>
      </c>
      <c r="L106" s="10">
        <f>'D) Ecrêtage'!C106</f>
        <v>2099.5480592105264</v>
      </c>
      <c r="M106" s="10">
        <f t="shared" si="9"/>
        <v>2454.2149986021595</v>
      </c>
      <c r="N106" s="55">
        <f t="shared" si="11"/>
        <v>6277.8357880758431</v>
      </c>
      <c r="O106" s="411"/>
      <c r="P106" s="215"/>
      <c r="Q106" s="212"/>
      <c r="R106" s="212"/>
      <c r="S106" s="216"/>
    </row>
    <row r="107" spans="1:19" s="211" customFormat="1" x14ac:dyDescent="0.25">
      <c r="A107" s="300">
        <f>'A) Base RI'!A108</f>
        <v>5565</v>
      </c>
      <c r="B107" s="223" t="str">
        <f>'A) Base RI'!B108</f>
        <v>Onnens</v>
      </c>
      <c r="C107" s="238">
        <v>0</v>
      </c>
      <c r="D107" s="213">
        <f>'B) D RI'!AA108</f>
        <v>495</v>
      </c>
      <c r="E107" s="214">
        <f>'B) D RI'!S108</f>
        <v>63.5</v>
      </c>
      <c r="F107" s="10">
        <f>'B) D RI'!R108</f>
        <v>1441667.6599999997</v>
      </c>
      <c r="G107" s="10">
        <f>'B) D RI'!U108</f>
        <v>22703.427716535429</v>
      </c>
      <c r="H107" s="41">
        <f>'B) D RI'!T108</f>
        <v>1287330.0599999998</v>
      </c>
      <c r="I107" s="10">
        <f t="shared" si="10"/>
        <v>40545.828661417319</v>
      </c>
      <c r="J107" s="31">
        <f t="shared" si="12"/>
        <v>44239.465577364055</v>
      </c>
      <c r="K107" s="10">
        <f t="shared" si="8"/>
        <v>40545.828661417319</v>
      </c>
      <c r="L107" s="10">
        <f>'D) Ecrêtage'!C107</f>
        <v>22703.427716535429</v>
      </c>
      <c r="M107" s="10">
        <f t="shared" si="9"/>
        <v>26538.61271580169</v>
      </c>
      <c r="N107" s="55">
        <f t="shared" si="11"/>
        <v>67084.441377219016</v>
      </c>
      <c r="O107" s="411"/>
      <c r="P107" s="215"/>
      <c r="Q107" s="212"/>
      <c r="R107" s="212"/>
      <c r="S107" s="216"/>
    </row>
    <row r="108" spans="1:19" s="211" customFormat="1" x14ac:dyDescent="0.25">
      <c r="A108" s="300">
        <f>'A) Base RI'!A109</f>
        <v>5566</v>
      </c>
      <c r="B108" s="223" t="str">
        <f>'A) Base RI'!B109</f>
        <v>Provence</v>
      </c>
      <c r="C108" s="238">
        <v>0</v>
      </c>
      <c r="D108" s="213">
        <f>'B) D RI'!AA109</f>
        <v>403</v>
      </c>
      <c r="E108" s="214">
        <f>'B) D RI'!S109</f>
        <v>81</v>
      </c>
      <c r="F108" s="10">
        <f>'B) D RI'!R109</f>
        <v>759605.15</v>
      </c>
      <c r="G108" s="10">
        <f>'B) D RI'!U109</f>
        <v>9377.8413580246925</v>
      </c>
      <c r="H108" s="41">
        <f>'B) D RI'!T109</f>
        <v>702774.7</v>
      </c>
      <c r="I108" s="10">
        <f t="shared" si="10"/>
        <v>17352.461728395061</v>
      </c>
      <c r="J108" s="31">
        <f t="shared" si="12"/>
        <v>36017.181066015582</v>
      </c>
      <c r="K108" s="10">
        <f t="shared" si="8"/>
        <v>17352.461728395061</v>
      </c>
      <c r="L108" s="10">
        <f>'D) Ecrêtage'!C108</f>
        <v>9377.8413580246925</v>
      </c>
      <c r="M108" s="10">
        <f t="shared" si="9"/>
        <v>10961.996708963192</v>
      </c>
      <c r="N108" s="55">
        <f t="shared" si="11"/>
        <v>28314.458437358255</v>
      </c>
      <c r="O108" s="411"/>
      <c r="P108" s="215"/>
      <c r="Q108" s="212"/>
      <c r="R108" s="212"/>
      <c r="S108" s="216"/>
    </row>
    <row r="109" spans="1:19" s="211" customFormat="1" x14ac:dyDescent="0.25">
      <c r="A109" s="300">
        <f>'A) Base RI'!A110</f>
        <v>5568</v>
      </c>
      <c r="B109" s="223" t="str">
        <f>'A) Base RI'!B110</f>
        <v>Sainte-Croix</v>
      </c>
      <c r="C109" s="238">
        <v>0</v>
      </c>
      <c r="D109" s="213">
        <f>'B) D RI'!AA110</f>
        <v>4948</v>
      </c>
      <c r="E109" s="214">
        <f>'B) D RI'!S110</f>
        <v>70</v>
      </c>
      <c r="F109" s="10">
        <f>'B) D RI'!R110</f>
        <v>7642031.0399999991</v>
      </c>
      <c r="G109" s="10">
        <f>'B) D RI'!U110</f>
        <v>109171.87199999999</v>
      </c>
      <c r="H109" s="41">
        <f>'B) D RI'!T110</f>
        <v>6942030.5899999989</v>
      </c>
      <c r="I109" s="10">
        <f t="shared" si="10"/>
        <v>198343.73114285711</v>
      </c>
      <c r="J109" s="31">
        <f t="shared" si="12"/>
        <v>442215.91045817645</v>
      </c>
      <c r="K109" s="10">
        <f t="shared" si="8"/>
        <v>198343.73114285711</v>
      </c>
      <c r="L109" s="10">
        <f>'D) Ecrêtage'!C109</f>
        <v>109171.87199999999</v>
      </c>
      <c r="M109" s="10">
        <f t="shared" si="9"/>
        <v>127613.77121732704</v>
      </c>
      <c r="N109" s="55">
        <f t="shared" si="11"/>
        <v>325957.50236018415</v>
      </c>
      <c r="O109" s="411"/>
      <c r="P109" s="215"/>
      <c r="Q109" s="212"/>
      <c r="R109" s="212"/>
      <c r="S109" s="216"/>
    </row>
    <row r="110" spans="1:19" s="211" customFormat="1" x14ac:dyDescent="0.25">
      <c r="A110" s="300">
        <f>'A) Base RI'!A111</f>
        <v>5571</v>
      </c>
      <c r="B110" s="223" t="str">
        <f>'A) Base RI'!B111</f>
        <v>Tévenon</v>
      </c>
      <c r="C110" s="238">
        <v>0</v>
      </c>
      <c r="D110" s="213">
        <f>'B) D RI'!AA111</f>
        <v>883</v>
      </c>
      <c r="E110" s="214">
        <f>'B) D RI'!S111</f>
        <v>71.5</v>
      </c>
      <c r="F110" s="10">
        <f>'B) D RI'!R111</f>
        <v>1810754.645</v>
      </c>
      <c r="G110" s="10">
        <f>'B) D RI'!U111</f>
        <v>25325.239790209791</v>
      </c>
      <c r="H110" s="41">
        <f>'B) D RI'!T111</f>
        <v>1635499.82</v>
      </c>
      <c r="I110" s="10">
        <f t="shared" si="10"/>
        <v>45748.246713286717</v>
      </c>
      <c r="J110" s="31">
        <f t="shared" si="12"/>
        <v>78916.056777398902</v>
      </c>
      <c r="K110" s="10">
        <f t="shared" si="8"/>
        <v>45748.246713286717</v>
      </c>
      <c r="L110" s="10">
        <f>'D) Ecrêtage'!C110</f>
        <v>25325.239790209791</v>
      </c>
      <c r="M110" s="10">
        <f t="shared" si="9"/>
        <v>29603.315372404533</v>
      </c>
      <c r="N110" s="55">
        <f t="shared" si="11"/>
        <v>75351.562085691257</v>
      </c>
      <c r="O110" s="411"/>
      <c r="P110" s="215"/>
      <c r="Q110" s="212"/>
      <c r="R110" s="212"/>
      <c r="S110" s="216"/>
    </row>
    <row r="111" spans="1:19" s="211" customFormat="1" x14ac:dyDescent="0.25">
      <c r="A111" s="300">
        <f>'A) Base RI'!A112</f>
        <v>5581</v>
      </c>
      <c r="B111" s="223" t="str">
        <f>'A) Base RI'!B112</f>
        <v>Belmont-sur-Lausanne</v>
      </c>
      <c r="C111" s="238">
        <v>1</v>
      </c>
      <c r="D111" s="213">
        <f>'B) D RI'!AA112</f>
        <v>3871</v>
      </c>
      <c r="E111" s="214">
        <f>'B) D RI'!S112</f>
        <v>72</v>
      </c>
      <c r="F111" s="10">
        <f>'B) D RI'!R112</f>
        <v>15511387.893333334</v>
      </c>
      <c r="G111" s="10">
        <f>'B) D RI'!U112</f>
        <v>215435.94296296299</v>
      </c>
      <c r="H111" s="41">
        <f>'B) D RI'!T112</f>
        <v>14505543.710000001</v>
      </c>
      <c r="I111" s="10">
        <f t="shared" si="10"/>
        <v>402931.76972222223</v>
      </c>
      <c r="J111" s="31">
        <f t="shared" si="12"/>
        <v>345961.55808076012</v>
      </c>
      <c r="K111" s="10">
        <f t="shared" si="8"/>
        <v>0</v>
      </c>
      <c r="L111" s="10">
        <f>'D) Ecrêtage'!C111</f>
        <v>215435.94296296299</v>
      </c>
      <c r="M111" s="10">
        <f t="shared" si="9"/>
        <v>251828.54002232992</v>
      </c>
      <c r="N111" s="55">
        <f t="shared" si="11"/>
        <v>251828.54002232992</v>
      </c>
      <c r="O111" s="411"/>
      <c r="P111" s="215"/>
      <c r="Q111" s="212"/>
      <c r="R111" s="212"/>
      <c r="S111" s="216"/>
    </row>
    <row r="112" spans="1:19" s="211" customFormat="1" x14ac:dyDescent="0.25">
      <c r="A112" s="300">
        <f>'A) Base RI'!A113</f>
        <v>5582</v>
      </c>
      <c r="B112" s="223" t="str">
        <f>'A) Base RI'!B113</f>
        <v>Cheseaux-sur-Lausanne</v>
      </c>
      <c r="C112" s="238">
        <v>0</v>
      </c>
      <c r="D112" s="213">
        <f>'B) D RI'!AA113</f>
        <v>4449</v>
      </c>
      <c r="E112" s="214">
        <f>'B) D RI'!S113</f>
        <v>73</v>
      </c>
      <c r="F112" s="10">
        <f>'B) D RI'!R113</f>
        <v>12227999.829999998</v>
      </c>
      <c r="G112" s="10">
        <f>'B) D RI'!U113</f>
        <v>167506.84698630136</v>
      </c>
      <c r="H112" s="41">
        <f>'B) D RI'!T113</f>
        <v>11193448.979999999</v>
      </c>
      <c r="I112" s="10">
        <f t="shared" si="10"/>
        <v>306669.83506849309</v>
      </c>
      <c r="J112" s="31">
        <f t="shared" si="12"/>
        <v>397618.95424988418</v>
      </c>
      <c r="K112" s="10">
        <f t="shared" si="8"/>
        <v>306669.83506849309</v>
      </c>
      <c r="L112" s="10">
        <f>'D) Ecrêtage'!C112</f>
        <v>167506.84698630136</v>
      </c>
      <c r="M112" s="10">
        <f t="shared" si="9"/>
        <v>195803.00362208384</v>
      </c>
      <c r="N112" s="55">
        <f t="shared" si="11"/>
        <v>502472.83869057696</v>
      </c>
      <c r="O112" s="411"/>
      <c r="P112" s="215"/>
      <c r="Q112" s="212"/>
      <c r="R112" s="212"/>
      <c r="S112" s="216"/>
    </row>
    <row r="113" spans="1:19" s="211" customFormat="1" x14ac:dyDescent="0.25">
      <c r="A113" s="300">
        <f>'A) Base RI'!A114</f>
        <v>5583</v>
      </c>
      <c r="B113" s="223" t="str">
        <f>'A) Base RI'!B114</f>
        <v>Crissier</v>
      </c>
      <c r="C113" s="238">
        <v>1</v>
      </c>
      <c r="D113" s="213">
        <f>'B) D RI'!AA114</f>
        <v>8974</v>
      </c>
      <c r="E113" s="214">
        <f>'B) D RI'!S114</f>
        <v>63.5</v>
      </c>
      <c r="F113" s="10">
        <f>'B) D RI'!R114</f>
        <v>21434447.969999999</v>
      </c>
      <c r="G113" s="10">
        <f>'B) D RI'!U114</f>
        <v>337550.36173228343</v>
      </c>
      <c r="H113" s="41">
        <f>'B) D RI'!T114</f>
        <v>18542040.52</v>
      </c>
      <c r="I113" s="10">
        <f t="shared" si="10"/>
        <v>584001.27622047241</v>
      </c>
      <c r="J113" s="31">
        <f t="shared" si="12"/>
        <v>802030.23048740404</v>
      </c>
      <c r="K113" s="10">
        <f t="shared" si="8"/>
        <v>0</v>
      </c>
      <c r="L113" s="10">
        <f>'D) Ecrêtage'!C113</f>
        <v>337550.36173228343</v>
      </c>
      <c r="M113" s="10">
        <f t="shared" si="9"/>
        <v>394571.18255176215</v>
      </c>
      <c r="N113" s="55">
        <f t="shared" si="11"/>
        <v>394571.18255176215</v>
      </c>
      <c r="O113" s="411"/>
      <c r="P113" s="215"/>
      <c r="Q113" s="212"/>
      <c r="R113" s="212"/>
      <c r="S113" s="216"/>
    </row>
    <row r="114" spans="1:19" s="211" customFormat="1" x14ac:dyDescent="0.25">
      <c r="A114" s="300">
        <f>'A) Base RI'!A115</f>
        <v>5584</v>
      </c>
      <c r="B114" s="223" t="str">
        <f>'A) Base RI'!B115</f>
        <v>Epalinges</v>
      </c>
      <c r="C114" s="238">
        <v>0</v>
      </c>
      <c r="D114" s="213">
        <f>'B) D RI'!AA115</f>
        <v>9813</v>
      </c>
      <c r="E114" s="214">
        <f>'B) D RI'!S115</f>
        <v>64.5</v>
      </c>
      <c r="F114" s="10">
        <f>'B) D RI'!R115</f>
        <v>33331461.309999999</v>
      </c>
      <c r="G114" s="10">
        <f>'B) D RI'!U115</f>
        <v>516766.84201550385</v>
      </c>
      <c r="H114" s="41">
        <f>'B) D RI'!T115</f>
        <v>30816751.809999999</v>
      </c>
      <c r="I114" s="10">
        <f t="shared" si="10"/>
        <v>955558.19565891474</v>
      </c>
      <c r="J114" s="31">
        <f t="shared" si="12"/>
        <v>877013.89032459282</v>
      </c>
      <c r="K114" s="10">
        <f t="shared" si="8"/>
        <v>877013.89032459282</v>
      </c>
      <c r="L114" s="10">
        <f>'D) Ecrêtage'!C114</f>
        <v>516766.84201550385</v>
      </c>
      <c r="M114" s="10">
        <f t="shared" si="9"/>
        <v>604061.8736451373</v>
      </c>
      <c r="N114" s="55">
        <f t="shared" si="11"/>
        <v>1481075.7639697301</v>
      </c>
      <c r="O114" s="411"/>
      <c r="P114" s="215"/>
      <c r="Q114" s="212"/>
      <c r="R114" s="212"/>
      <c r="S114" s="216"/>
    </row>
    <row r="115" spans="1:19" s="211" customFormat="1" x14ac:dyDescent="0.25">
      <c r="A115" s="300">
        <f>'A) Base RI'!A116</f>
        <v>5585</v>
      </c>
      <c r="B115" s="223" t="str">
        <f>'A) Base RI'!B116</f>
        <v>Jouxtens-Mézery</v>
      </c>
      <c r="C115" s="238">
        <v>0</v>
      </c>
      <c r="D115" s="213">
        <f>'B) D RI'!AA116</f>
        <v>1460</v>
      </c>
      <c r="E115" s="214">
        <f>'B) D RI'!S116</f>
        <v>59</v>
      </c>
      <c r="F115" s="10">
        <f>'B) D RI'!R116</f>
        <v>11312947.359999999</v>
      </c>
      <c r="G115" s="10">
        <f>'B) D RI'!U116</f>
        <v>191744.87050847456</v>
      </c>
      <c r="H115" s="41">
        <f>'B) D RI'!T116</f>
        <v>10729369.51</v>
      </c>
      <c r="I115" s="10">
        <f t="shared" si="10"/>
        <v>363707.44101694913</v>
      </c>
      <c r="J115" s="31">
        <f t="shared" si="12"/>
        <v>130484.08028879095</v>
      </c>
      <c r="K115" s="10">
        <f t="shared" si="8"/>
        <v>130484.08028879095</v>
      </c>
      <c r="L115" s="10">
        <f>'D) Ecrêtage'!C115</f>
        <v>191744.87050847456</v>
      </c>
      <c r="M115" s="10">
        <f t="shared" si="9"/>
        <v>224135.44431265662</v>
      </c>
      <c r="N115" s="55">
        <f t="shared" si="11"/>
        <v>354619.52460144757</v>
      </c>
      <c r="O115" s="411"/>
      <c r="P115" s="215"/>
      <c r="Q115" s="212"/>
      <c r="R115" s="212"/>
      <c r="S115" s="216"/>
    </row>
    <row r="116" spans="1:19" s="211" customFormat="1" x14ac:dyDescent="0.25">
      <c r="A116" s="300">
        <f>'A) Base RI'!A117</f>
        <v>5586</v>
      </c>
      <c r="B116" s="223" t="str">
        <f>'A) Base RI'!B117</f>
        <v>Lausanne</v>
      </c>
      <c r="C116" s="238">
        <v>1</v>
      </c>
      <c r="D116" s="213">
        <f>'B) D RI'!AA117</f>
        <v>140824</v>
      </c>
      <c r="E116" s="214">
        <f>'B) D RI'!S117</f>
        <v>78.5</v>
      </c>
      <c r="F116" s="10">
        <f>'B) D RI'!R117</f>
        <v>507227099.5266667</v>
      </c>
      <c r="G116" s="10">
        <f>'B) D RI'!U117</f>
        <v>6461491.7137154993</v>
      </c>
      <c r="H116" s="41">
        <f>'B) D RI'!T117</f>
        <v>470955870.36000007</v>
      </c>
      <c r="I116" s="10">
        <f t="shared" si="10"/>
        <v>11998875.677961785</v>
      </c>
      <c r="J116" s="31">
        <f t="shared" si="12"/>
        <v>12585815.152458012</v>
      </c>
      <c r="K116" s="10">
        <f t="shared" si="8"/>
        <v>0</v>
      </c>
      <c r="L116" s="10">
        <f>'D) Ecrêtage'!C116</f>
        <v>6461491.7137154993</v>
      </c>
      <c r="M116" s="10">
        <f t="shared" si="9"/>
        <v>7553001.6126932791</v>
      </c>
      <c r="N116" s="55">
        <f t="shared" si="11"/>
        <v>7553001.6126932791</v>
      </c>
      <c r="O116" s="411"/>
      <c r="P116" s="215"/>
      <c r="Q116" s="212"/>
      <c r="R116" s="212"/>
      <c r="S116" s="216"/>
    </row>
    <row r="117" spans="1:19" s="211" customFormat="1" x14ac:dyDescent="0.25">
      <c r="A117" s="300">
        <f>'A) Base RI'!A118</f>
        <v>5587</v>
      </c>
      <c r="B117" s="223" t="str">
        <f>'A) Base RI'!B118</f>
        <v>Le Mont-sur-Lausanne</v>
      </c>
      <c r="C117" s="238">
        <v>0</v>
      </c>
      <c r="D117" s="213">
        <f>'B) D RI'!AA118</f>
        <v>9217</v>
      </c>
      <c r="E117" s="214">
        <f>'B) D RI'!S118</f>
        <v>73.5</v>
      </c>
      <c r="F117" s="10">
        <f>'B) D RI'!R118</f>
        <v>36386766.953333333</v>
      </c>
      <c r="G117" s="10">
        <f>'B) D RI'!U118</f>
        <v>495058.05378684809</v>
      </c>
      <c r="H117" s="41">
        <f>'B) D RI'!T118</f>
        <v>33317855.269999996</v>
      </c>
      <c r="I117" s="10">
        <f t="shared" si="10"/>
        <v>906608.30666666653</v>
      </c>
      <c r="J117" s="31">
        <f t="shared" si="12"/>
        <v>823747.78631629189</v>
      </c>
      <c r="K117" s="10">
        <f t="shared" si="8"/>
        <v>823747.78631629189</v>
      </c>
      <c r="L117" s="10">
        <f>'D) Ecrêtage'!C117</f>
        <v>495058.05378684809</v>
      </c>
      <c r="M117" s="10">
        <f t="shared" si="9"/>
        <v>578685.92026387551</v>
      </c>
      <c r="N117" s="55">
        <f t="shared" si="11"/>
        <v>1402433.7065801674</v>
      </c>
      <c r="O117" s="411"/>
      <c r="P117" s="215"/>
      <c r="Q117" s="212"/>
      <c r="R117" s="212"/>
      <c r="S117" s="216"/>
    </row>
    <row r="118" spans="1:19" s="211" customFormat="1" x14ac:dyDescent="0.25">
      <c r="A118" s="300">
        <f>'A) Base RI'!A119</f>
        <v>5588</v>
      </c>
      <c r="B118" s="223" t="str">
        <f>'A) Base RI'!B119</f>
        <v>Paudex</v>
      </c>
      <c r="C118" s="238">
        <v>1</v>
      </c>
      <c r="D118" s="213">
        <f>'B) D RI'!AA119</f>
        <v>1545</v>
      </c>
      <c r="E118" s="214">
        <f>'B) D RI'!S119</f>
        <v>66.5</v>
      </c>
      <c r="F118" s="10">
        <f>'B) D RI'!R119</f>
        <v>14347793.807142861</v>
      </c>
      <c r="G118" s="10">
        <f>'B) D RI'!U119</f>
        <v>215756.29785177234</v>
      </c>
      <c r="H118" s="41">
        <f>'B) D RI'!T119</f>
        <v>13743550.400000004</v>
      </c>
      <c r="I118" s="10">
        <f t="shared" si="10"/>
        <v>413339.86165413546</v>
      </c>
      <c r="J118" s="31">
        <f t="shared" si="12"/>
        <v>138080.75619601508</v>
      </c>
      <c r="K118" s="10">
        <f t="shared" si="8"/>
        <v>0</v>
      </c>
      <c r="L118" s="10">
        <f>'D) Ecrêtage'!C118</f>
        <v>215756.29785177234</v>
      </c>
      <c r="M118" s="10">
        <f t="shared" si="9"/>
        <v>252203.0109802784</v>
      </c>
      <c r="N118" s="55">
        <f t="shared" si="11"/>
        <v>252203.0109802784</v>
      </c>
      <c r="O118" s="411"/>
      <c r="P118" s="215"/>
      <c r="Q118" s="212"/>
      <c r="R118" s="212"/>
      <c r="S118" s="216"/>
    </row>
    <row r="119" spans="1:19" s="211" customFormat="1" x14ac:dyDescent="0.25">
      <c r="A119" s="300">
        <f>'A) Base RI'!A120</f>
        <v>5589</v>
      </c>
      <c r="B119" s="223" t="str">
        <f>'A) Base RI'!B120</f>
        <v>Prilly</v>
      </c>
      <c r="C119" s="238">
        <v>1</v>
      </c>
      <c r="D119" s="213">
        <f>'B) D RI'!AA120</f>
        <v>12341</v>
      </c>
      <c r="E119" s="214">
        <f>'B) D RI'!S120</f>
        <v>72.5</v>
      </c>
      <c r="F119" s="10">
        <f>'B) D RI'!R120</f>
        <v>30417361.690769233</v>
      </c>
      <c r="G119" s="10">
        <f>'B) D RI'!U120</f>
        <v>419549.81642440322</v>
      </c>
      <c r="H119" s="41">
        <f>'B) D RI'!T120</f>
        <v>27630237.710000001</v>
      </c>
      <c r="I119" s="10">
        <f t="shared" si="10"/>
        <v>762213.45406896551</v>
      </c>
      <c r="J119" s="31">
        <f t="shared" si="12"/>
        <v>1102947.9690712118</v>
      </c>
      <c r="K119" s="10">
        <f t="shared" si="8"/>
        <v>0</v>
      </c>
      <c r="L119" s="10">
        <f>'D) Ecrêtage'!C119</f>
        <v>419549.81642440322</v>
      </c>
      <c r="M119" s="10">
        <f t="shared" si="9"/>
        <v>490422.42572752951</v>
      </c>
      <c r="N119" s="55">
        <f t="shared" si="11"/>
        <v>490422.42572752951</v>
      </c>
      <c r="O119" s="411"/>
      <c r="P119" s="215"/>
      <c r="Q119" s="212"/>
      <c r="R119" s="212"/>
      <c r="S119" s="216"/>
    </row>
    <row r="120" spans="1:19" s="211" customFormat="1" x14ac:dyDescent="0.25">
      <c r="A120" s="300">
        <f>'A) Base RI'!A121</f>
        <v>5590</v>
      </c>
      <c r="B120" s="223" t="str">
        <f>'A) Base RI'!B121</f>
        <v>Pully</v>
      </c>
      <c r="C120" s="238">
        <v>1</v>
      </c>
      <c r="D120" s="213">
        <f>'B) D RI'!AA121</f>
        <v>18946</v>
      </c>
      <c r="E120" s="214">
        <f>'B) D RI'!S121</f>
        <v>61</v>
      </c>
      <c r="F120" s="10">
        <f>'B) D RI'!R121</f>
        <v>97784889.125714272</v>
      </c>
      <c r="G120" s="10">
        <f>'B) D RI'!U121</f>
        <v>1603030.9692740045</v>
      </c>
      <c r="H120" s="41">
        <f>'B) D RI'!T121</f>
        <v>92016523.089999989</v>
      </c>
      <c r="I120" s="10">
        <f t="shared" si="10"/>
        <v>3016935.1832786882</v>
      </c>
      <c r="J120" s="31">
        <f t="shared" si="12"/>
        <v>1693254.3733913926</v>
      </c>
      <c r="K120" s="10">
        <f t="shared" si="8"/>
        <v>0</v>
      </c>
      <c r="L120" s="10">
        <f>'D) Ecrêtage'!C120</f>
        <v>1603030.9692740045</v>
      </c>
      <c r="M120" s="10">
        <f t="shared" si="9"/>
        <v>1873823.5739625574</v>
      </c>
      <c r="N120" s="55">
        <f t="shared" si="11"/>
        <v>1873823.5739625574</v>
      </c>
      <c r="O120" s="411"/>
      <c r="P120" s="215"/>
      <c r="Q120" s="212"/>
      <c r="R120" s="212"/>
      <c r="S120" s="216"/>
    </row>
    <row r="121" spans="1:19" s="211" customFormat="1" x14ac:dyDescent="0.25">
      <c r="A121" s="300">
        <f>'A) Base RI'!A122</f>
        <v>5591</v>
      </c>
      <c r="B121" s="223" t="str">
        <f>'A) Base RI'!B122</f>
        <v>Renens</v>
      </c>
      <c r="C121" s="238">
        <v>1</v>
      </c>
      <c r="D121" s="213">
        <f>'B) D RI'!AA122</f>
        <v>20917</v>
      </c>
      <c r="E121" s="214">
        <f>'B) D RI'!S122</f>
        <v>77</v>
      </c>
      <c r="F121" s="10">
        <f>'B) D RI'!R122</f>
        <v>43873404.278571427</v>
      </c>
      <c r="G121" s="10">
        <f>'B) D RI'!U122</f>
        <v>569784.47115027823</v>
      </c>
      <c r="H121" s="41">
        <f>'B) D RI'!T122</f>
        <v>39376630.550000004</v>
      </c>
      <c r="I121" s="10">
        <f t="shared" si="10"/>
        <v>1022769.6246753248</v>
      </c>
      <c r="J121" s="31">
        <f t="shared" si="12"/>
        <v>1869407.8817812605</v>
      </c>
      <c r="K121" s="10">
        <f t="shared" si="8"/>
        <v>0</v>
      </c>
      <c r="L121" s="10">
        <f>'D) Ecrêtage'!C121</f>
        <v>569784.47115027823</v>
      </c>
      <c r="M121" s="10">
        <f t="shared" si="9"/>
        <v>666035.5255661211</v>
      </c>
      <c r="N121" s="55">
        <f t="shared" si="11"/>
        <v>666035.5255661211</v>
      </c>
      <c r="O121" s="411"/>
      <c r="P121" s="215"/>
      <c r="Q121" s="212"/>
      <c r="R121" s="212"/>
      <c r="S121" s="216"/>
    </row>
    <row r="122" spans="1:19" s="211" customFormat="1" x14ac:dyDescent="0.25">
      <c r="A122" s="300">
        <f>'A) Base RI'!A123</f>
        <v>5592</v>
      </c>
      <c r="B122" s="223" t="str">
        <f>'A) Base RI'!B123</f>
        <v>Romanel-sur-Lausanne</v>
      </c>
      <c r="C122" s="238">
        <v>0</v>
      </c>
      <c r="D122" s="213">
        <f>'B) D RI'!AA123</f>
        <v>3482</v>
      </c>
      <c r="E122" s="214">
        <f>'B) D RI'!S123</f>
        <v>70.5</v>
      </c>
      <c r="F122" s="10">
        <f>'B) D RI'!R123</f>
        <v>8536602.7400000002</v>
      </c>
      <c r="G122" s="10">
        <f>'B) D RI'!U123</f>
        <v>121086.56368794327</v>
      </c>
      <c r="H122" s="41">
        <f>'B) D RI'!T123</f>
        <v>7745342.6199999992</v>
      </c>
      <c r="I122" s="10">
        <f t="shared" si="10"/>
        <v>219726.03177304962</v>
      </c>
      <c r="J122" s="31">
        <f t="shared" si="12"/>
        <v>311195.59422299318</v>
      </c>
      <c r="K122" s="10">
        <f t="shared" si="8"/>
        <v>219726.03177304962</v>
      </c>
      <c r="L122" s="10">
        <f>'D) Ecrêtage'!C122</f>
        <v>121086.56368794327</v>
      </c>
      <c r="M122" s="10">
        <f t="shared" si="9"/>
        <v>141541.15664486814</v>
      </c>
      <c r="N122" s="55">
        <f t="shared" si="11"/>
        <v>361267.18841791776</v>
      </c>
      <c r="O122" s="411"/>
      <c r="P122" s="215"/>
      <c r="Q122" s="212"/>
      <c r="R122" s="212"/>
      <c r="S122" s="216"/>
    </row>
    <row r="123" spans="1:19" s="211" customFormat="1" x14ac:dyDescent="0.25">
      <c r="A123" s="300">
        <f>'A) Base RI'!A124</f>
        <v>5601</v>
      </c>
      <c r="B123" s="223" t="str">
        <f>'A) Base RI'!B124</f>
        <v>Chexbres</v>
      </c>
      <c r="C123" s="238">
        <v>1</v>
      </c>
      <c r="D123" s="213">
        <f>'B) D RI'!AA124</f>
        <v>2229</v>
      </c>
      <c r="E123" s="214">
        <f>'B) D RI'!S124</f>
        <v>67.5</v>
      </c>
      <c r="F123" s="10">
        <f>'B) D RI'!R124</f>
        <v>7153181.5800000001</v>
      </c>
      <c r="G123" s="10">
        <f>'B) D RI'!U124</f>
        <v>105973.06044444445</v>
      </c>
      <c r="H123" s="41">
        <f>'B) D RI'!T124</f>
        <v>6636296.8799999999</v>
      </c>
      <c r="I123" s="10">
        <f t="shared" si="10"/>
        <v>196631.01866666667</v>
      </c>
      <c r="J123" s="31">
        <f t="shared" si="12"/>
        <v>199211.65408473631</v>
      </c>
      <c r="K123" s="10">
        <f t="shared" si="8"/>
        <v>0</v>
      </c>
      <c r="L123" s="10">
        <f>'D) Ecrêtage'!C123</f>
        <v>105973.06044444445</v>
      </c>
      <c r="M123" s="10">
        <f t="shared" si="9"/>
        <v>123874.59922604704</v>
      </c>
      <c r="N123" s="55">
        <f t="shared" si="11"/>
        <v>123874.59922604704</v>
      </c>
      <c r="O123" s="411"/>
      <c r="P123" s="215"/>
      <c r="Q123" s="212"/>
      <c r="R123" s="212"/>
      <c r="S123" s="216"/>
    </row>
    <row r="124" spans="1:19" s="211" customFormat="1" x14ac:dyDescent="0.25">
      <c r="A124" s="300">
        <f>'A) Base RI'!A125</f>
        <v>5604</v>
      </c>
      <c r="B124" s="223" t="str">
        <f>'A) Base RI'!B125</f>
        <v>Forel (Lavaux)</v>
      </c>
      <c r="C124" s="238">
        <v>0</v>
      </c>
      <c r="D124" s="213">
        <f>'B) D RI'!AA125</f>
        <v>2110</v>
      </c>
      <c r="E124" s="214">
        <f>'B) D RI'!S125</f>
        <v>69</v>
      </c>
      <c r="F124" s="10">
        <f>'B) D RI'!R125</f>
        <v>5231505.42</v>
      </c>
      <c r="G124" s="10">
        <f>'B) D RI'!U125</f>
        <v>75818.919130434777</v>
      </c>
      <c r="H124" s="41">
        <f>'B) D RI'!T125</f>
        <v>4786865.42</v>
      </c>
      <c r="I124" s="10">
        <f t="shared" si="10"/>
        <v>138749.72231884059</v>
      </c>
      <c r="J124" s="31">
        <f t="shared" si="12"/>
        <v>188576.30781462253</v>
      </c>
      <c r="K124" s="10">
        <f t="shared" si="8"/>
        <v>138749.72231884059</v>
      </c>
      <c r="L124" s="10">
        <f>'D) Ecrêtage'!C124</f>
        <v>75818.919130434777</v>
      </c>
      <c r="M124" s="10">
        <f t="shared" si="9"/>
        <v>88626.658337930901</v>
      </c>
      <c r="N124" s="55">
        <f t="shared" si="11"/>
        <v>227376.38065677148</v>
      </c>
      <c r="O124" s="411"/>
      <c r="P124" s="215"/>
      <c r="Q124" s="212"/>
      <c r="R124" s="212"/>
      <c r="S124" s="216"/>
    </row>
    <row r="125" spans="1:19" s="211" customFormat="1" x14ac:dyDescent="0.25">
      <c r="A125" s="300">
        <f>'A) Base RI'!A126</f>
        <v>5606</v>
      </c>
      <c r="B125" s="223" t="str">
        <f>'A) Base RI'!B126</f>
        <v>Lutry</v>
      </c>
      <c r="C125" s="238">
        <v>1</v>
      </c>
      <c r="D125" s="213">
        <f>'B) D RI'!AA126</f>
        <v>10704</v>
      </c>
      <c r="E125" s="214">
        <f>'B) D RI'!S126</f>
        <v>54</v>
      </c>
      <c r="F125" s="10">
        <f>'B) D RI'!R126</f>
        <v>50821408.545714281</v>
      </c>
      <c r="G125" s="10">
        <f>'B) D RI'!U126</f>
        <v>941137.19529100519</v>
      </c>
      <c r="H125" s="41">
        <f>'B) D RI'!T126</f>
        <v>47447350.809999995</v>
      </c>
      <c r="I125" s="10">
        <f t="shared" si="10"/>
        <v>1757309.2892592591</v>
      </c>
      <c r="J125" s="31">
        <f t="shared" si="12"/>
        <v>956644.92836384813</v>
      </c>
      <c r="K125" s="10">
        <f t="shared" si="8"/>
        <v>0</v>
      </c>
      <c r="L125" s="10">
        <f>'D) Ecrêtage'!C125</f>
        <v>941137.19529100519</v>
      </c>
      <c r="M125" s="10">
        <f t="shared" si="9"/>
        <v>1100119.1472102192</v>
      </c>
      <c r="N125" s="55">
        <f t="shared" si="11"/>
        <v>1100119.1472102192</v>
      </c>
      <c r="O125" s="411"/>
      <c r="P125" s="215"/>
      <c r="Q125" s="212"/>
      <c r="R125" s="212"/>
      <c r="S125" s="216"/>
    </row>
    <row r="126" spans="1:19" s="211" customFormat="1" x14ac:dyDescent="0.25">
      <c r="A126" s="300">
        <f>'A) Base RI'!A127</f>
        <v>5607</v>
      </c>
      <c r="B126" s="223" t="str">
        <f>'A) Base RI'!B127</f>
        <v>Puidoux</v>
      </c>
      <c r="C126" s="238">
        <v>1</v>
      </c>
      <c r="D126" s="213">
        <f>'B) D RI'!AA127</f>
        <v>2924</v>
      </c>
      <c r="E126" s="214">
        <f>'B) D RI'!S127</f>
        <v>68.5</v>
      </c>
      <c r="F126" s="10">
        <f>'B) D RI'!R127</f>
        <v>7643256.1234782618</v>
      </c>
      <c r="G126" s="10">
        <f>'B) D RI'!U127</f>
        <v>111580.38136464616</v>
      </c>
      <c r="H126" s="41">
        <f>'B) D RI'!T127</f>
        <v>6825856.6800000006</v>
      </c>
      <c r="I126" s="10">
        <f t="shared" si="10"/>
        <v>199295.08554744528</v>
      </c>
      <c r="J126" s="31">
        <f t="shared" si="12"/>
        <v>261325.6512085101</v>
      </c>
      <c r="K126" s="10">
        <f t="shared" si="8"/>
        <v>0</v>
      </c>
      <c r="L126" s="10">
        <f>'D) Ecrêtage'!C126</f>
        <v>111580.38136464616</v>
      </c>
      <c r="M126" s="10">
        <f t="shared" si="9"/>
        <v>130429.13892518083</v>
      </c>
      <c r="N126" s="55">
        <f t="shared" si="11"/>
        <v>130429.13892518083</v>
      </c>
      <c r="O126" s="411"/>
      <c r="P126" s="215"/>
      <c r="Q126" s="212"/>
      <c r="R126" s="212"/>
      <c r="S126" s="216"/>
    </row>
    <row r="127" spans="1:19" s="211" customFormat="1" x14ac:dyDescent="0.25">
      <c r="A127" s="300">
        <f>'A) Base RI'!A128</f>
        <v>5609</v>
      </c>
      <c r="B127" s="223" t="str">
        <f>'A) Base RI'!B128</f>
        <v>Rivaz</v>
      </c>
      <c r="C127" s="238">
        <v>1</v>
      </c>
      <c r="D127" s="213">
        <f>'B) D RI'!AA128</f>
        <v>331</v>
      </c>
      <c r="E127" s="214">
        <f>'B) D RI'!S128</f>
        <v>62</v>
      </c>
      <c r="F127" s="10">
        <f>'B) D RI'!R128</f>
        <v>923583.63000000012</v>
      </c>
      <c r="G127" s="10">
        <f>'B) D RI'!U128</f>
        <v>14896.510161290325</v>
      </c>
      <c r="H127" s="41">
        <f>'B) D RI'!T128</f>
        <v>860639.58000000007</v>
      </c>
      <c r="I127" s="10">
        <f t="shared" si="10"/>
        <v>27762.567096774197</v>
      </c>
      <c r="J127" s="31">
        <f t="shared" si="12"/>
        <v>29582.349709308084</v>
      </c>
      <c r="K127" s="10">
        <f t="shared" si="8"/>
        <v>0</v>
      </c>
      <c r="L127" s="10">
        <f>'D) Ecrêtage'!C127</f>
        <v>14896.510161290325</v>
      </c>
      <c r="M127" s="10">
        <f t="shared" si="9"/>
        <v>17412.908699225121</v>
      </c>
      <c r="N127" s="55">
        <f t="shared" si="11"/>
        <v>17412.908699225121</v>
      </c>
      <c r="O127" s="411"/>
      <c r="P127" s="215"/>
      <c r="Q127" s="212"/>
      <c r="R127" s="212"/>
      <c r="S127" s="216"/>
    </row>
    <row r="128" spans="1:19" s="211" customFormat="1" x14ac:dyDescent="0.25">
      <c r="A128" s="300">
        <f>'A) Base RI'!A129</f>
        <v>5610</v>
      </c>
      <c r="B128" s="223" t="str">
        <f>'A) Base RI'!B129</f>
        <v>St-Saphorin (Lavaux)</v>
      </c>
      <c r="C128" s="238">
        <v>1</v>
      </c>
      <c r="D128" s="213">
        <f>'B) D RI'!AA129</f>
        <v>396</v>
      </c>
      <c r="E128" s="214">
        <f>'B) D RI'!S129</f>
        <v>72</v>
      </c>
      <c r="F128" s="10">
        <f>'B) D RI'!R129</f>
        <v>1688289.2749999999</v>
      </c>
      <c r="G128" s="10">
        <f>'B) D RI'!U129</f>
        <v>23448.462152777778</v>
      </c>
      <c r="H128" s="41">
        <f>'B) D RI'!T129</f>
        <v>1574517.45</v>
      </c>
      <c r="I128" s="10">
        <f t="shared" si="10"/>
        <v>43736.595833333333</v>
      </c>
      <c r="J128" s="31">
        <f t="shared" si="12"/>
        <v>35391.572461891243</v>
      </c>
      <c r="K128" s="10">
        <f t="shared" si="8"/>
        <v>0</v>
      </c>
      <c r="L128" s="10">
        <f>'D) Ecrêtage'!C128</f>
        <v>23448.462152777778</v>
      </c>
      <c r="M128" s="10">
        <f t="shared" si="9"/>
        <v>27409.502372211184</v>
      </c>
      <c r="N128" s="55">
        <f t="shared" si="11"/>
        <v>27409.502372211184</v>
      </c>
      <c r="O128" s="411"/>
      <c r="P128" s="215"/>
      <c r="Q128" s="212"/>
      <c r="R128" s="212"/>
      <c r="S128" s="216"/>
    </row>
    <row r="129" spans="1:19" s="211" customFormat="1" x14ac:dyDescent="0.25">
      <c r="A129" s="300">
        <f>'A) Base RI'!A130</f>
        <v>5611</v>
      </c>
      <c r="B129" s="223" t="str">
        <f>'A) Base RI'!B130</f>
        <v>Savigny</v>
      </c>
      <c r="C129" s="238">
        <v>1</v>
      </c>
      <c r="D129" s="213">
        <f>'B) D RI'!AA130</f>
        <v>3370</v>
      </c>
      <c r="E129" s="214">
        <f>'B) D RI'!S130</f>
        <v>69</v>
      </c>
      <c r="F129" s="10">
        <f>'B) D RI'!R130</f>
        <v>9727836.1983333305</v>
      </c>
      <c r="G129" s="10">
        <f>'B) D RI'!U130</f>
        <v>140983.13330917869</v>
      </c>
      <c r="H129" s="41">
        <f>'B) D RI'!T130</f>
        <v>9037769.3899999969</v>
      </c>
      <c r="I129" s="10">
        <f t="shared" si="10"/>
        <v>261964.33014492746</v>
      </c>
      <c r="J129" s="31">
        <f t="shared" si="12"/>
        <v>301185.85655700375</v>
      </c>
      <c r="K129" s="10">
        <f t="shared" si="8"/>
        <v>0</v>
      </c>
      <c r="L129" s="10">
        <f>'D) Ecrêtage'!C129</f>
        <v>140983.13330917869</v>
      </c>
      <c r="M129" s="10">
        <f t="shared" si="9"/>
        <v>164798.76171418451</v>
      </c>
      <c r="N129" s="55">
        <f t="shared" si="11"/>
        <v>164798.76171418451</v>
      </c>
      <c r="O129" s="411"/>
      <c r="P129" s="215"/>
      <c r="Q129" s="212"/>
      <c r="R129" s="212"/>
      <c r="S129" s="216"/>
    </row>
    <row r="130" spans="1:19" s="211" customFormat="1" x14ac:dyDescent="0.25">
      <c r="A130" s="300">
        <f>'A) Base RI'!A131</f>
        <v>5613</v>
      </c>
      <c r="B130" s="223" t="str">
        <f>'A) Base RI'!B131</f>
        <v>Bourg-en-Lavaux</v>
      </c>
      <c r="C130" s="238">
        <v>1</v>
      </c>
      <c r="D130" s="213">
        <f>'B) D RI'!AA131</f>
        <v>5367</v>
      </c>
      <c r="E130" s="214">
        <f>'B) D RI'!S131</f>
        <v>62.5</v>
      </c>
      <c r="F130" s="10">
        <f>'B) D RI'!R131</f>
        <v>22325660.713333338</v>
      </c>
      <c r="G130" s="10">
        <f>'B) D RI'!U131</f>
        <v>357210.57141333341</v>
      </c>
      <c r="H130" s="41">
        <f>'B) D RI'!T131</f>
        <v>20794890.430000003</v>
      </c>
      <c r="I130" s="10">
        <f t="shared" si="10"/>
        <v>665436.4937600001</v>
      </c>
      <c r="J130" s="31">
        <f t="shared" si="12"/>
        <v>479663.05404790479</v>
      </c>
      <c r="K130" s="10">
        <f t="shared" si="8"/>
        <v>0</v>
      </c>
      <c r="L130" s="10">
        <f>'D) Ecrêtage'!C130</f>
        <v>357210.57141333341</v>
      </c>
      <c r="M130" s="10">
        <f t="shared" si="9"/>
        <v>417552.50048979465</v>
      </c>
      <c r="N130" s="55">
        <f t="shared" si="11"/>
        <v>417552.50048979465</v>
      </c>
      <c r="O130" s="411"/>
      <c r="P130" s="215"/>
      <c r="Q130" s="212"/>
      <c r="R130" s="212"/>
      <c r="S130" s="216"/>
    </row>
    <row r="131" spans="1:19" s="211" customFormat="1" x14ac:dyDescent="0.25">
      <c r="A131" s="300">
        <f>'A) Base RI'!A132</f>
        <v>5621</v>
      </c>
      <c r="B131" s="223" t="str">
        <f>'A) Base RI'!B132</f>
        <v>Aclens</v>
      </c>
      <c r="C131" s="238">
        <v>0</v>
      </c>
      <c r="D131" s="213">
        <f>'B) D RI'!AA132</f>
        <v>517</v>
      </c>
      <c r="E131" s="214">
        <f>'B) D RI'!S132</f>
        <v>62</v>
      </c>
      <c r="F131" s="10">
        <f>'B) D RI'!R132</f>
        <v>2000820.2145454546</v>
      </c>
      <c r="G131" s="10">
        <f>'B) D RI'!U132</f>
        <v>32271.293782991204</v>
      </c>
      <c r="H131" s="41">
        <f>'B) D RI'!T132</f>
        <v>1700944.51</v>
      </c>
      <c r="I131" s="10">
        <f t="shared" si="10"/>
        <v>54869.177741935484</v>
      </c>
      <c r="J131" s="31">
        <f t="shared" si="12"/>
        <v>46205.664047469123</v>
      </c>
      <c r="K131" s="10">
        <f t="shared" si="8"/>
        <v>46205.664047469123</v>
      </c>
      <c r="L131" s="10">
        <f>'D) Ecrêtage'!C131</f>
        <v>32271.293782991204</v>
      </c>
      <c r="M131" s="10">
        <f t="shared" si="9"/>
        <v>37722.734127979311</v>
      </c>
      <c r="N131" s="55">
        <f t="shared" si="11"/>
        <v>83928.398175448441</v>
      </c>
      <c r="O131" s="411"/>
      <c r="P131" s="215"/>
      <c r="Q131" s="212"/>
      <c r="R131" s="212"/>
      <c r="S131" s="216"/>
    </row>
    <row r="132" spans="1:19" s="211" customFormat="1" x14ac:dyDescent="0.25">
      <c r="A132" s="300">
        <f>'A) Base RI'!A133</f>
        <v>5622</v>
      </c>
      <c r="B132" s="223" t="str">
        <f>'A) Base RI'!B133</f>
        <v>Bremblens</v>
      </c>
      <c r="C132" s="238">
        <v>0</v>
      </c>
      <c r="D132" s="213">
        <f>'B) D RI'!AA133</f>
        <v>607</v>
      </c>
      <c r="E132" s="214">
        <f>'B) D RI'!S133</f>
        <v>68</v>
      </c>
      <c r="F132" s="10">
        <f>'B) D RI'!R133</f>
        <v>1947787.83</v>
      </c>
      <c r="G132" s="10">
        <f>'B) D RI'!U133</f>
        <v>28643.938676470589</v>
      </c>
      <c r="H132" s="41">
        <f>'B) D RI'!T133</f>
        <v>1788998.83</v>
      </c>
      <c r="I132" s="10">
        <f t="shared" si="10"/>
        <v>52617.612647058828</v>
      </c>
      <c r="J132" s="31">
        <f t="shared" si="12"/>
        <v>54249.203243353499</v>
      </c>
      <c r="K132" s="10">
        <f t="shared" si="8"/>
        <v>52617.612647058828</v>
      </c>
      <c r="L132" s="10">
        <f>'D) Ecrêtage'!C132</f>
        <v>28643.938676470589</v>
      </c>
      <c r="M132" s="10">
        <f t="shared" si="9"/>
        <v>33482.626706467614</v>
      </c>
      <c r="N132" s="55">
        <f t="shared" si="11"/>
        <v>86100.239353526442</v>
      </c>
      <c r="O132" s="411"/>
      <c r="P132" s="215"/>
      <c r="Q132" s="212"/>
      <c r="R132" s="212"/>
      <c r="S132" s="216"/>
    </row>
    <row r="133" spans="1:19" s="211" customFormat="1" x14ac:dyDescent="0.25">
      <c r="A133" s="300">
        <f>'A) Base RI'!A134</f>
        <v>5623</v>
      </c>
      <c r="B133" s="223" t="str">
        <f>'A) Base RI'!B134</f>
        <v>Buchillon</v>
      </c>
      <c r="C133" s="238">
        <v>1</v>
      </c>
      <c r="D133" s="213">
        <f>'B) D RI'!AA134</f>
        <v>669</v>
      </c>
      <c r="E133" s="214">
        <f>'B) D RI'!S134</f>
        <v>52</v>
      </c>
      <c r="F133" s="10">
        <f>'B) D RI'!R134</f>
        <v>4640061.46</v>
      </c>
      <c r="G133" s="10">
        <f>'B) D RI'!U134</f>
        <v>89231.951153846152</v>
      </c>
      <c r="H133" s="41">
        <f>'B) D RI'!T134</f>
        <v>4280130.8600000003</v>
      </c>
      <c r="I133" s="10">
        <f t="shared" si="10"/>
        <v>164620.4176923077</v>
      </c>
      <c r="J133" s="31">
        <f t="shared" ref="J133:J168" si="13">+$I$314/$D$314*D133</f>
        <v>59790.308022740508</v>
      </c>
      <c r="K133" s="10">
        <f t="shared" ref="K133:K191" si="14">IF(C133=1,0,IF(J133&gt;I133,I133,J133))</f>
        <v>0</v>
      </c>
      <c r="L133" s="10">
        <f>'D) Ecrêtage'!C133</f>
        <v>89231.951153846152</v>
      </c>
      <c r="M133" s="10">
        <f t="shared" ref="M133:M191" si="15">+$M$5*L133</f>
        <v>104305.49180124553</v>
      </c>
      <c r="N133" s="55">
        <f t="shared" si="11"/>
        <v>104305.49180124553</v>
      </c>
      <c r="O133" s="411"/>
      <c r="P133" s="215"/>
      <c r="Q133" s="212"/>
      <c r="R133" s="212"/>
      <c r="S133" s="216"/>
    </row>
    <row r="134" spans="1:19" s="211" customFormat="1" x14ac:dyDescent="0.25">
      <c r="A134" s="300">
        <f>'A) Base RI'!A135</f>
        <v>5624</v>
      </c>
      <c r="B134" s="223" t="str">
        <f>'A) Base RI'!B135</f>
        <v>Bussigny</v>
      </c>
      <c r="C134" s="238">
        <v>1</v>
      </c>
      <c r="D134" s="213">
        <f>'B) D RI'!AA135</f>
        <v>10253</v>
      </c>
      <c r="E134" s="214">
        <f>'B) D RI'!S135</f>
        <v>62.5</v>
      </c>
      <c r="F134" s="10">
        <f>'B) D RI'!R135</f>
        <v>27623725.220000003</v>
      </c>
      <c r="G134" s="10">
        <f>'B) D RI'!U135</f>
        <v>441979.60352000006</v>
      </c>
      <c r="H134" s="41">
        <f>'B) D RI'!T135</f>
        <v>24969787.25</v>
      </c>
      <c r="I134" s="10">
        <f t="shared" ref="I134:I192" si="16">+H134/E134*$I$5</f>
        <v>799033.19200000004</v>
      </c>
      <c r="J134" s="31">
        <f t="shared" si="13"/>
        <v>916337.8597266943</v>
      </c>
      <c r="K134" s="10">
        <f t="shared" si="14"/>
        <v>0</v>
      </c>
      <c r="L134" s="10">
        <f>'D) Ecrêtage'!C134</f>
        <v>441979.60352000006</v>
      </c>
      <c r="M134" s="10">
        <f t="shared" si="15"/>
        <v>516641.17297838593</v>
      </c>
      <c r="N134" s="55">
        <f t="shared" ref="N134:N197" si="17">+M134+K134</f>
        <v>516641.17297838593</v>
      </c>
      <c r="O134" s="411"/>
      <c r="P134" s="215"/>
      <c r="Q134" s="212"/>
      <c r="R134" s="212"/>
      <c r="S134" s="216"/>
    </row>
    <row r="135" spans="1:19" s="211" customFormat="1" x14ac:dyDescent="0.25">
      <c r="A135" s="300">
        <f>'A) Base RI'!A136</f>
        <v>5625</v>
      </c>
      <c r="B135" s="223" t="str">
        <f>'A) Base RI'!B136</f>
        <v>Bussy-Chardonney</v>
      </c>
      <c r="C135" s="238">
        <v>0</v>
      </c>
      <c r="D135" s="213">
        <f>'B) D RI'!AA136</f>
        <v>412</v>
      </c>
      <c r="E135" s="214">
        <f>'B) D RI'!S136</f>
        <v>72</v>
      </c>
      <c r="F135" s="10">
        <f>'B) D RI'!R136</f>
        <v>1519811.6933333331</v>
      </c>
      <c r="G135" s="10">
        <f>'B) D RI'!U136</f>
        <v>21108.495740740738</v>
      </c>
      <c r="H135" s="41">
        <f>'B) D RI'!T136</f>
        <v>1410752.1099999999</v>
      </c>
      <c r="I135" s="10">
        <f t="shared" si="16"/>
        <v>39187.558611111104</v>
      </c>
      <c r="J135" s="31">
        <f t="shared" si="13"/>
        <v>36821.534985604019</v>
      </c>
      <c r="K135" s="10">
        <f t="shared" si="14"/>
        <v>36821.534985604019</v>
      </c>
      <c r="L135" s="10">
        <f>'D) Ecrêtage'!C135</f>
        <v>21108.495740740738</v>
      </c>
      <c r="M135" s="10">
        <f t="shared" si="15"/>
        <v>24674.256260814243</v>
      </c>
      <c r="N135" s="55">
        <f t="shared" si="17"/>
        <v>61495.791246418259</v>
      </c>
      <c r="O135" s="411"/>
      <c r="P135" s="215"/>
      <c r="Q135" s="212"/>
      <c r="R135" s="212"/>
      <c r="S135" s="216"/>
    </row>
    <row r="136" spans="1:19" s="211" customFormat="1" x14ac:dyDescent="0.25">
      <c r="A136" s="300">
        <f>'A) Base RI'!A137</f>
        <v>5627</v>
      </c>
      <c r="B136" s="223" t="str">
        <f>'A) Base RI'!B137</f>
        <v>Chavannes-près-Renens</v>
      </c>
      <c r="C136" s="238">
        <v>1</v>
      </c>
      <c r="D136" s="213">
        <f>'B) D RI'!AA137</f>
        <v>8767</v>
      </c>
      <c r="E136" s="214">
        <f>'B) D RI'!S137</f>
        <v>77.5</v>
      </c>
      <c r="F136" s="10">
        <f>'B) D RI'!R137</f>
        <v>15040650.879999999</v>
      </c>
      <c r="G136" s="10">
        <f>'B) D RI'!U137</f>
        <v>194072.91458064516</v>
      </c>
      <c r="H136" s="41">
        <f>'B) D RI'!T137</f>
        <v>13476749.279999999</v>
      </c>
      <c r="I136" s="10">
        <f t="shared" si="16"/>
        <v>347787.07819354837</v>
      </c>
      <c r="J136" s="31">
        <f t="shared" si="13"/>
        <v>783530.09033687005</v>
      </c>
      <c r="K136" s="10">
        <f t="shared" si="14"/>
        <v>0</v>
      </c>
      <c r="L136" s="10">
        <f>'D) Ecrêtage'!C136</f>
        <v>194072.91458064516</v>
      </c>
      <c r="M136" s="10">
        <f t="shared" si="15"/>
        <v>226856.75409847609</v>
      </c>
      <c r="N136" s="55">
        <f t="shared" si="17"/>
        <v>226856.75409847609</v>
      </c>
      <c r="O136" s="411"/>
      <c r="P136" s="215"/>
      <c r="Q136" s="212"/>
      <c r="R136" s="212"/>
      <c r="S136" s="216"/>
    </row>
    <row r="137" spans="1:19" s="211" customFormat="1" x14ac:dyDescent="0.25">
      <c r="A137" s="300">
        <f>'A) Base RI'!A138</f>
        <v>5628</v>
      </c>
      <c r="B137" s="223" t="str">
        <f>'A) Base RI'!B138</f>
        <v>Chigny</v>
      </c>
      <c r="C137" s="238">
        <v>0</v>
      </c>
      <c r="D137" s="213">
        <f>'B) D RI'!AA138</f>
        <v>405</v>
      </c>
      <c r="E137" s="214">
        <f>'B) D RI'!S138</f>
        <v>62</v>
      </c>
      <c r="F137" s="10">
        <f>'B) D RI'!R138</f>
        <v>1599035.8699999999</v>
      </c>
      <c r="G137" s="10">
        <f>'B) D RI'!U138</f>
        <v>25790.901129032256</v>
      </c>
      <c r="H137" s="41">
        <f>'B) D RI'!T138</f>
        <v>1491849.0699999998</v>
      </c>
      <c r="I137" s="10">
        <f t="shared" si="16"/>
        <v>48124.163548387092</v>
      </c>
      <c r="J137" s="31">
        <f t="shared" si="13"/>
        <v>36195.92638147968</v>
      </c>
      <c r="K137" s="10">
        <f t="shared" si="14"/>
        <v>36195.92638147968</v>
      </c>
      <c r="L137" s="10">
        <f>'D) Ecrêtage'!C137</f>
        <v>25790.901129032256</v>
      </c>
      <c r="M137" s="10">
        <f t="shared" si="15"/>
        <v>30147.638726658679</v>
      </c>
      <c r="N137" s="55">
        <f t="shared" si="17"/>
        <v>66343.565108138355</v>
      </c>
      <c r="O137" s="411"/>
      <c r="P137" s="215"/>
      <c r="Q137" s="212"/>
      <c r="R137" s="212"/>
      <c r="S137" s="216"/>
    </row>
    <row r="138" spans="1:19" s="211" customFormat="1" x14ac:dyDescent="0.25">
      <c r="A138" s="300">
        <f>'A) Base RI'!A139</f>
        <v>5629</v>
      </c>
      <c r="B138" s="223" t="str">
        <f>'A) Base RI'!B139</f>
        <v>Clarmont</v>
      </c>
      <c r="C138" s="238">
        <v>0</v>
      </c>
      <c r="D138" s="213">
        <f>'B) D RI'!AA139</f>
        <v>211</v>
      </c>
      <c r="E138" s="214">
        <f>'B) D RI'!S139</f>
        <v>73.5</v>
      </c>
      <c r="F138" s="10">
        <f>'B) D RI'!R139</f>
        <v>731182.52000000014</v>
      </c>
      <c r="G138" s="10">
        <f>'B) D RI'!U139</f>
        <v>9948.0614965986406</v>
      </c>
      <c r="H138" s="41">
        <f>'B) D RI'!T139</f>
        <v>693918.22000000009</v>
      </c>
      <c r="I138" s="10">
        <f t="shared" si="16"/>
        <v>18882.12843537415</v>
      </c>
      <c r="J138" s="31">
        <f t="shared" si="13"/>
        <v>18857.630781462252</v>
      </c>
      <c r="K138" s="10">
        <f t="shared" si="14"/>
        <v>18857.630781462252</v>
      </c>
      <c r="L138" s="10">
        <f>'D) Ecrêtage'!C138</f>
        <v>9948.0614965986406</v>
      </c>
      <c r="M138" s="10">
        <f t="shared" si="15"/>
        <v>11628.541497235105</v>
      </c>
      <c r="N138" s="55">
        <f t="shared" si="17"/>
        <v>30486.172278697355</v>
      </c>
      <c r="O138" s="411"/>
      <c r="P138" s="215"/>
      <c r="Q138" s="212"/>
      <c r="R138" s="212"/>
      <c r="S138" s="216"/>
    </row>
    <row r="139" spans="1:19" s="211" customFormat="1" x14ac:dyDescent="0.25">
      <c r="A139" s="300">
        <f>'A) Base RI'!A140</f>
        <v>5631</v>
      </c>
      <c r="B139" s="223" t="str">
        <f>'A) Base RI'!B140</f>
        <v>Denens</v>
      </c>
      <c r="C139" s="238">
        <v>0</v>
      </c>
      <c r="D139" s="213">
        <f>'B) D RI'!AA140</f>
        <v>733</v>
      </c>
      <c r="E139" s="214">
        <f>'B) D RI'!S140</f>
        <v>68</v>
      </c>
      <c r="F139" s="10">
        <f>'B) D RI'!R140</f>
        <v>2943735.5899999994</v>
      </c>
      <c r="G139" s="10">
        <f>'B) D RI'!U140</f>
        <v>43290.229264705871</v>
      </c>
      <c r="H139" s="41">
        <f>'B) D RI'!T140</f>
        <v>2728344.1899999995</v>
      </c>
      <c r="I139" s="10">
        <f t="shared" si="16"/>
        <v>80245.417352941164</v>
      </c>
      <c r="J139" s="31">
        <f t="shared" si="13"/>
        <v>65510.158117591622</v>
      </c>
      <c r="K139" s="10">
        <f t="shared" si="14"/>
        <v>65510.158117591622</v>
      </c>
      <c r="L139" s="10">
        <f>'D) Ecrêtage'!C139</f>
        <v>43290.229264705871</v>
      </c>
      <c r="M139" s="10">
        <f t="shared" si="15"/>
        <v>50603.047397884795</v>
      </c>
      <c r="N139" s="55">
        <f t="shared" si="17"/>
        <v>116113.20551547641</v>
      </c>
      <c r="O139" s="411"/>
      <c r="P139" s="215"/>
      <c r="Q139" s="212"/>
      <c r="R139" s="212"/>
      <c r="S139" s="216"/>
    </row>
    <row r="140" spans="1:19" s="211" customFormat="1" x14ac:dyDescent="0.25">
      <c r="A140" s="300">
        <f>'A) Base RI'!A141</f>
        <v>5632</v>
      </c>
      <c r="B140" s="223" t="str">
        <f>'A) Base RI'!B141</f>
        <v>Denges</v>
      </c>
      <c r="C140" s="238">
        <v>0</v>
      </c>
      <c r="D140" s="213">
        <f>'B) D RI'!AA141</f>
        <v>1744</v>
      </c>
      <c r="E140" s="214">
        <f>'B) D RI'!S141</f>
        <v>62</v>
      </c>
      <c r="F140" s="10">
        <f>'B) D RI'!R141</f>
        <v>4992315.29</v>
      </c>
      <c r="G140" s="10">
        <f>'B) D RI'!U141</f>
        <v>80521.21435483871</v>
      </c>
      <c r="H140" s="41">
        <f>'B) D RI'!T141</f>
        <v>4570397.79</v>
      </c>
      <c r="I140" s="10">
        <f t="shared" si="16"/>
        <v>147432.18677419354</v>
      </c>
      <c r="J140" s="31">
        <f t="shared" si="13"/>
        <v>155865.91508469274</v>
      </c>
      <c r="K140" s="10">
        <f t="shared" si="14"/>
        <v>147432.18677419354</v>
      </c>
      <c r="L140" s="10">
        <f>'D) Ecrêtage'!C140</f>
        <v>80521.21435483871</v>
      </c>
      <c r="M140" s="10">
        <f t="shared" si="15"/>
        <v>94123.290537875349</v>
      </c>
      <c r="N140" s="55">
        <f t="shared" si="17"/>
        <v>241555.47731206889</v>
      </c>
      <c r="O140" s="411"/>
      <c r="P140" s="215"/>
      <c r="Q140" s="212"/>
      <c r="R140" s="212"/>
      <c r="S140" s="216"/>
    </row>
    <row r="141" spans="1:19" s="211" customFormat="1" x14ac:dyDescent="0.25">
      <c r="A141" s="300">
        <f>'A) Base RI'!A142</f>
        <v>5633</v>
      </c>
      <c r="B141" s="223" t="str">
        <f>'A) Base RI'!B142</f>
        <v>Echandens</v>
      </c>
      <c r="C141" s="238">
        <v>0</v>
      </c>
      <c r="D141" s="213">
        <f>'B) D RI'!AA142</f>
        <v>2775</v>
      </c>
      <c r="E141" s="214">
        <f>'B) D RI'!S142</f>
        <v>60.5</v>
      </c>
      <c r="F141" s="10">
        <f>'B) D RI'!R142</f>
        <v>10215153.23</v>
      </c>
      <c r="G141" s="10">
        <f>'B) D RI'!U142</f>
        <v>168845.50793388431</v>
      </c>
      <c r="H141" s="41">
        <f>'B) D RI'!T142</f>
        <v>9507530.6799999997</v>
      </c>
      <c r="I141" s="10">
        <f t="shared" si="16"/>
        <v>314298.53487603302</v>
      </c>
      <c r="J141" s="31">
        <f t="shared" si="13"/>
        <v>248009.12520643484</v>
      </c>
      <c r="K141" s="10">
        <f t="shared" si="14"/>
        <v>248009.12520643484</v>
      </c>
      <c r="L141" s="10">
        <f>'D) Ecrêtage'!C141</f>
        <v>168845.50793388431</v>
      </c>
      <c r="M141" s="10">
        <f t="shared" si="15"/>
        <v>197367.79836978606</v>
      </c>
      <c r="N141" s="55">
        <f t="shared" si="17"/>
        <v>445376.92357622087</v>
      </c>
      <c r="O141" s="411"/>
      <c r="P141" s="215"/>
      <c r="Q141" s="212"/>
      <c r="R141" s="212"/>
      <c r="S141" s="216"/>
    </row>
    <row r="142" spans="1:19" s="211" customFormat="1" x14ac:dyDescent="0.25">
      <c r="A142" s="300">
        <f>'A) Base RI'!A143</f>
        <v>5634</v>
      </c>
      <c r="B142" s="223" t="str">
        <f>'A) Base RI'!B143</f>
        <v>Echichens</v>
      </c>
      <c r="C142" s="238">
        <v>0</v>
      </c>
      <c r="D142" s="213">
        <f>'B) D RI'!AA143</f>
        <v>3142</v>
      </c>
      <c r="E142" s="214">
        <f>'B) D RI'!S143</f>
        <v>66</v>
      </c>
      <c r="F142" s="10">
        <f>'B) D RI'!R143</f>
        <v>10069546.890000001</v>
      </c>
      <c r="G142" s="10">
        <f>'B) D RI'!U143</f>
        <v>152568.89227272727</v>
      </c>
      <c r="H142" s="41">
        <f>'B) D RI'!T143</f>
        <v>9309280.9900000002</v>
      </c>
      <c r="I142" s="10">
        <f t="shared" si="16"/>
        <v>282099.42393939395</v>
      </c>
      <c r="J142" s="31">
        <f t="shared" si="13"/>
        <v>280808.89059409668</v>
      </c>
      <c r="K142" s="10">
        <f t="shared" si="14"/>
        <v>280808.89059409668</v>
      </c>
      <c r="L142" s="10">
        <f>'D) Ecrêtage'!C142</f>
        <v>152568.89227272727</v>
      </c>
      <c r="M142" s="10">
        <f t="shared" si="15"/>
        <v>178341.64933411454</v>
      </c>
      <c r="N142" s="55">
        <f t="shared" si="17"/>
        <v>459150.53992821125</v>
      </c>
      <c r="O142" s="411"/>
      <c r="P142" s="215"/>
      <c r="Q142" s="212"/>
      <c r="R142" s="212"/>
      <c r="S142" s="216"/>
    </row>
    <row r="143" spans="1:19" s="211" customFormat="1" x14ac:dyDescent="0.25">
      <c r="A143" s="300">
        <f>'A) Base RI'!A144</f>
        <v>5635</v>
      </c>
      <c r="B143" s="223" t="str">
        <f>'A) Base RI'!B144</f>
        <v>Ecublens</v>
      </c>
      <c r="C143" s="238">
        <v>1</v>
      </c>
      <c r="D143" s="213">
        <f>'B) D RI'!AA144</f>
        <v>13214</v>
      </c>
      <c r="E143" s="214">
        <f>'B) D RI'!S144</f>
        <v>62.5</v>
      </c>
      <c r="F143" s="10">
        <f>'B) D RI'!R144</f>
        <v>54522942.498333342</v>
      </c>
      <c r="G143" s="10">
        <f>'B) D RI'!U144</f>
        <v>872367.07997333352</v>
      </c>
      <c r="H143" s="41">
        <f>'B) D RI'!T144</f>
        <v>51475491.940000005</v>
      </c>
      <c r="I143" s="10">
        <f t="shared" si="16"/>
        <v>1647215.7420800002</v>
      </c>
      <c r="J143" s="31">
        <f t="shared" si="13"/>
        <v>1180970.2992712902</v>
      </c>
      <c r="K143" s="10">
        <f t="shared" si="14"/>
        <v>0</v>
      </c>
      <c r="L143" s="10">
        <f>'D) Ecrêtage'!C143</f>
        <v>872367.07997333352</v>
      </c>
      <c r="M143" s="10">
        <f t="shared" si="15"/>
        <v>1019732.0144995282</v>
      </c>
      <c r="N143" s="55">
        <f t="shared" si="17"/>
        <v>1019732.0144995282</v>
      </c>
      <c r="O143" s="411"/>
      <c r="P143" s="215"/>
      <c r="Q143" s="212"/>
      <c r="R143" s="212"/>
      <c r="S143" s="216"/>
    </row>
    <row r="144" spans="1:19" s="211" customFormat="1" x14ac:dyDescent="0.25">
      <c r="A144" s="300">
        <f>'A) Base RI'!A145</f>
        <v>5636</v>
      </c>
      <c r="B144" s="223" t="str">
        <f>'A) Base RI'!B145</f>
        <v>Etoy</v>
      </c>
      <c r="C144" s="238">
        <v>0</v>
      </c>
      <c r="D144" s="213">
        <f>'B) D RI'!AA145</f>
        <v>2918</v>
      </c>
      <c r="E144" s="214">
        <f>'B) D RI'!S145</f>
        <v>60</v>
      </c>
      <c r="F144" s="10">
        <f>'B) D RI'!R145</f>
        <v>11223812.400000002</v>
      </c>
      <c r="G144" s="10">
        <f>'B) D RI'!U145</f>
        <v>187063.54000000004</v>
      </c>
      <c r="H144" s="41">
        <f>'B) D RI'!T145</f>
        <v>9776910.6000000015</v>
      </c>
      <c r="I144" s="10">
        <f t="shared" si="16"/>
        <v>325897.02000000008</v>
      </c>
      <c r="J144" s="31">
        <f t="shared" si="13"/>
        <v>260789.41526211781</v>
      </c>
      <c r="K144" s="10">
        <f t="shared" si="14"/>
        <v>260789.41526211781</v>
      </c>
      <c r="L144" s="10">
        <f>'D) Ecrêtage'!C144</f>
        <v>187063.54000000004</v>
      </c>
      <c r="M144" s="10">
        <f t="shared" si="15"/>
        <v>218663.31830110337</v>
      </c>
      <c r="N144" s="55">
        <f t="shared" si="17"/>
        <v>479452.73356322118</v>
      </c>
      <c r="O144" s="411"/>
      <c r="P144" s="215"/>
      <c r="Q144" s="212"/>
      <c r="R144" s="212"/>
      <c r="S144" s="216"/>
    </row>
    <row r="145" spans="1:19" s="211" customFormat="1" x14ac:dyDescent="0.25">
      <c r="A145" s="300">
        <f>'A) Base RI'!A146</f>
        <v>5637</v>
      </c>
      <c r="B145" s="223" t="str">
        <f>'A) Base RI'!B146</f>
        <v>Lavigny</v>
      </c>
      <c r="C145" s="238">
        <v>0</v>
      </c>
      <c r="D145" s="213">
        <f>'B) D RI'!AA146</f>
        <v>1026</v>
      </c>
      <c r="E145" s="214">
        <f>'B) D RI'!S146</f>
        <v>73</v>
      </c>
      <c r="F145" s="10">
        <f>'B) D RI'!R146</f>
        <v>2766772.81</v>
      </c>
      <c r="G145" s="10">
        <f>'B) D RI'!U146</f>
        <v>37900.997397260275</v>
      </c>
      <c r="H145" s="41">
        <f>'B) D RI'!T146</f>
        <v>2561878.46</v>
      </c>
      <c r="I145" s="10">
        <f t="shared" si="16"/>
        <v>70188.450958904112</v>
      </c>
      <c r="J145" s="31">
        <f t="shared" si="13"/>
        <v>91696.346833081858</v>
      </c>
      <c r="K145" s="10">
        <f t="shared" si="14"/>
        <v>70188.450958904112</v>
      </c>
      <c r="L145" s="10">
        <f>'D) Ecrêtage'!C145</f>
        <v>37900.997397260275</v>
      </c>
      <c r="M145" s="10">
        <f t="shared" si="15"/>
        <v>44303.437526128349</v>
      </c>
      <c r="N145" s="55">
        <f t="shared" si="17"/>
        <v>114491.88848503245</v>
      </c>
      <c r="O145" s="411"/>
      <c r="P145" s="215"/>
      <c r="Q145" s="212"/>
      <c r="R145" s="212"/>
      <c r="S145" s="216"/>
    </row>
    <row r="146" spans="1:19" s="211" customFormat="1" x14ac:dyDescent="0.25">
      <c r="A146" s="300">
        <f>'A) Base RI'!A147</f>
        <v>5638</v>
      </c>
      <c r="B146" s="223" t="str">
        <f>'A) Base RI'!B147</f>
        <v>Lonay</v>
      </c>
      <c r="C146" s="238">
        <v>0</v>
      </c>
      <c r="D146" s="213">
        <f>'B) D RI'!AA147</f>
        <v>2751</v>
      </c>
      <c r="E146" s="214">
        <f>'B) D RI'!S147</f>
        <v>55</v>
      </c>
      <c r="F146" s="10">
        <f>'B) D RI'!R147</f>
        <v>9578930.0299999975</v>
      </c>
      <c r="G146" s="10">
        <f>'B) D RI'!U147</f>
        <v>174162.36418181815</v>
      </c>
      <c r="H146" s="41">
        <f>'B) D RI'!T147</f>
        <v>8837948.9299999978</v>
      </c>
      <c r="I146" s="10">
        <f t="shared" si="16"/>
        <v>321379.96109090903</v>
      </c>
      <c r="J146" s="31">
        <f t="shared" si="13"/>
        <v>245864.18142086567</v>
      </c>
      <c r="K146" s="10">
        <f t="shared" si="14"/>
        <v>245864.18142086567</v>
      </c>
      <c r="L146" s="10">
        <f>'D) Ecrêtage'!C146</f>
        <v>174162.36418181815</v>
      </c>
      <c r="M146" s="10">
        <f t="shared" si="15"/>
        <v>203582.80654349629</v>
      </c>
      <c r="N146" s="55">
        <f t="shared" si="17"/>
        <v>449446.98796436196</v>
      </c>
      <c r="O146" s="411"/>
      <c r="P146" s="215"/>
      <c r="Q146" s="212"/>
      <c r="R146" s="212"/>
      <c r="S146" s="216"/>
    </row>
    <row r="147" spans="1:19" s="211" customFormat="1" x14ac:dyDescent="0.25">
      <c r="A147" s="300">
        <f>'A) Base RI'!A148</f>
        <v>5639</v>
      </c>
      <c r="B147" s="223" t="str">
        <f>'A) Base RI'!B148</f>
        <v>Lully</v>
      </c>
      <c r="C147" s="238">
        <v>0</v>
      </c>
      <c r="D147" s="213">
        <f>'B) D RI'!AA148</f>
        <v>828</v>
      </c>
      <c r="E147" s="214">
        <f>'B) D RI'!S148</f>
        <v>61</v>
      </c>
      <c r="F147" s="10">
        <f>'B) D RI'!R148</f>
        <v>3276387.43</v>
      </c>
      <c r="G147" s="10">
        <f>'B) D RI'!U148</f>
        <v>53711.269344262299</v>
      </c>
      <c r="H147" s="41">
        <f>'B) D RI'!T148</f>
        <v>3069374.56</v>
      </c>
      <c r="I147" s="10">
        <f t="shared" si="16"/>
        <v>100635.23147540983</v>
      </c>
      <c r="J147" s="31">
        <f t="shared" si="13"/>
        <v>74000.560602136233</v>
      </c>
      <c r="K147" s="10">
        <f t="shared" si="14"/>
        <v>74000.560602136233</v>
      </c>
      <c r="L147" s="10">
        <f>'D) Ecrêtage'!C147</f>
        <v>53711.269344262299</v>
      </c>
      <c r="M147" s="10">
        <f t="shared" si="15"/>
        <v>62784.465561705503</v>
      </c>
      <c r="N147" s="55">
        <f t="shared" si="17"/>
        <v>136785.02616384174</v>
      </c>
      <c r="O147" s="411"/>
      <c r="P147" s="215"/>
      <c r="Q147" s="212"/>
      <c r="R147" s="212"/>
      <c r="S147" s="216"/>
    </row>
    <row r="148" spans="1:19" s="211" customFormat="1" x14ac:dyDescent="0.25">
      <c r="A148" s="300">
        <f>'A) Base RI'!A149</f>
        <v>5640</v>
      </c>
      <c r="B148" s="223" t="str">
        <f>'A) Base RI'!B149</f>
        <v>Lussy-sur-Morges</v>
      </c>
      <c r="C148" s="238">
        <v>1</v>
      </c>
      <c r="D148" s="213">
        <f>'B) D RI'!AA149</f>
        <v>740</v>
      </c>
      <c r="E148" s="214">
        <f>'B) D RI'!S149</f>
        <v>64.5</v>
      </c>
      <c r="F148" s="10">
        <f>'B) D RI'!R149</f>
        <v>4549044.0100000007</v>
      </c>
      <c r="G148" s="10">
        <f>'B) D RI'!U149</f>
        <v>70527.814108527149</v>
      </c>
      <c r="H148" s="41">
        <f>'B) D RI'!T149</f>
        <v>4322957.6100000003</v>
      </c>
      <c r="I148" s="10">
        <f t="shared" si="16"/>
        <v>134045.19720930234</v>
      </c>
      <c r="J148" s="31">
        <f t="shared" si="13"/>
        <v>66135.766721715961</v>
      </c>
      <c r="K148" s="10">
        <f t="shared" si="14"/>
        <v>0</v>
      </c>
      <c r="L148" s="10">
        <f>'D) Ecrêtage'!C148</f>
        <v>70527.814108527149</v>
      </c>
      <c r="M148" s="10">
        <f t="shared" si="15"/>
        <v>82441.751425712981</v>
      </c>
      <c r="N148" s="55">
        <f t="shared" si="17"/>
        <v>82441.751425712981</v>
      </c>
      <c r="O148" s="411"/>
      <c r="P148" s="215"/>
      <c r="Q148" s="212"/>
      <c r="R148" s="212"/>
      <c r="S148" s="216"/>
    </row>
    <row r="149" spans="1:19" s="211" customFormat="1" x14ac:dyDescent="0.25">
      <c r="A149" s="300">
        <f>'A) Base RI'!A150</f>
        <v>5642</v>
      </c>
      <c r="B149" s="223" t="str">
        <f>'A) Base RI'!B150</f>
        <v>Morges</v>
      </c>
      <c r="C149" s="238">
        <v>1</v>
      </c>
      <c r="D149" s="213">
        <f>'B) D RI'!AA150</f>
        <v>16885</v>
      </c>
      <c r="E149" s="214">
        <f>'B) D RI'!S150</f>
        <v>67</v>
      </c>
      <c r="F149" s="10">
        <f>'B) D RI'!R150</f>
        <v>66981697.020000003</v>
      </c>
      <c r="G149" s="10">
        <f>'B) D RI'!U150</f>
        <v>999726.82119402988</v>
      </c>
      <c r="H149" s="41">
        <f>'B) D RI'!T150</f>
        <v>63076799.420000002</v>
      </c>
      <c r="I149" s="10">
        <f t="shared" si="16"/>
        <v>1882889.5349253733</v>
      </c>
      <c r="J149" s="31">
        <f t="shared" si="13"/>
        <v>1509057.3258056405</v>
      </c>
      <c r="K149" s="10">
        <f t="shared" si="14"/>
        <v>0</v>
      </c>
      <c r="L149" s="10">
        <f>'D) Ecrêtage'!C149</f>
        <v>999726.82119402988</v>
      </c>
      <c r="M149" s="10">
        <f t="shared" si="15"/>
        <v>1168606.0475328348</v>
      </c>
      <c r="N149" s="55">
        <f t="shared" si="17"/>
        <v>1168606.0475328348</v>
      </c>
      <c r="O149" s="411"/>
      <c r="P149" s="215"/>
      <c r="Q149" s="212"/>
      <c r="R149" s="212"/>
      <c r="S149" s="216"/>
    </row>
    <row r="150" spans="1:19" s="211" customFormat="1" x14ac:dyDescent="0.25">
      <c r="A150" s="300">
        <f>'A) Base RI'!A151</f>
        <v>5643</v>
      </c>
      <c r="B150" s="223" t="str">
        <f>'A) Base RI'!B151</f>
        <v>Préverenges</v>
      </c>
      <c r="C150" s="238">
        <v>1</v>
      </c>
      <c r="D150" s="213">
        <f>'B) D RI'!AA151</f>
        <v>5208</v>
      </c>
      <c r="E150" s="214">
        <f>'B) D RI'!S151</f>
        <v>62.5</v>
      </c>
      <c r="F150" s="10">
        <f>'B) D RI'!R151</f>
        <v>16109551.32</v>
      </c>
      <c r="G150" s="10">
        <f>'B) D RI'!U151</f>
        <v>257752.82112000001</v>
      </c>
      <c r="H150" s="41">
        <f>'B) D RI'!T151</f>
        <v>14840285.5</v>
      </c>
      <c r="I150" s="10">
        <f t="shared" si="16"/>
        <v>474889.136</v>
      </c>
      <c r="J150" s="31">
        <f t="shared" si="13"/>
        <v>465452.80146850907</v>
      </c>
      <c r="K150" s="10">
        <f t="shared" si="14"/>
        <v>0</v>
      </c>
      <c r="L150" s="10">
        <f>'D) Ecrêtage'!C150</f>
        <v>257752.82112000001</v>
      </c>
      <c r="M150" s="10">
        <f t="shared" si="15"/>
        <v>301293.81261345692</v>
      </c>
      <c r="N150" s="55">
        <f t="shared" si="17"/>
        <v>301293.81261345692</v>
      </c>
      <c r="O150" s="411"/>
      <c r="P150" s="215"/>
      <c r="Q150" s="212"/>
      <c r="R150" s="212"/>
      <c r="S150" s="216"/>
    </row>
    <row r="151" spans="1:19" s="211" customFormat="1" x14ac:dyDescent="0.25">
      <c r="A151" s="300">
        <f>'A) Base RI'!A152</f>
        <v>5644</v>
      </c>
      <c r="B151" s="223" t="str">
        <f>'A) Base RI'!B152</f>
        <v>Reverolle</v>
      </c>
      <c r="C151" s="238">
        <v>0</v>
      </c>
      <c r="D151" s="213">
        <f>'B) D RI'!AA152</f>
        <v>403</v>
      </c>
      <c r="E151" s="214">
        <f>'B) D RI'!S152</f>
        <v>74</v>
      </c>
      <c r="F151" s="10">
        <f>'B) D RI'!R152</f>
        <v>1210895.8899999997</v>
      </c>
      <c r="G151" s="10">
        <f>'B) D RI'!U152</f>
        <v>16363.457972972968</v>
      </c>
      <c r="H151" s="41">
        <f>'B) D RI'!T152</f>
        <v>1125145.2399999998</v>
      </c>
      <c r="I151" s="10">
        <f t="shared" si="16"/>
        <v>30409.330810810803</v>
      </c>
      <c r="J151" s="31">
        <f t="shared" si="13"/>
        <v>36017.181066015582</v>
      </c>
      <c r="K151" s="10">
        <f t="shared" si="14"/>
        <v>30409.330810810803</v>
      </c>
      <c r="L151" s="10">
        <f>'D) Ecrêtage'!C151</f>
        <v>16363.457972972968</v>
      </c>
      <c r="M151" s="10">
        <f t="shared" si="15"/>
        <v>19127.661217417972</v>
      </c>
      <c r="N151" s="55">
        <f t="shared" si="17"/>
        <v>49536.992028228779</v>
      </c>
      <c r="O151" s="411"/>
      <c r="P151" s="215"/>
      <c r="Q151" s="212"/>
      <c r="R151" s="212"/>
      <c r="S151" s="216"/>
    </row>
    <row r="152" spans="1:19" s="211" customFormat="1" x14ac:dyDescent="0.25">
      <c r="A152" s="300">
        <f>'A) Base RI'!A153</f>
        <v>5645</v>
      </c>
      <c r="B152" s="223" t="str">
        <f>'A) Base RI'!B153</f>
        <v>Romanel-sur-Morges</v>
      </c>
      <c r="C152" s="238">
        <v>0</v>
      </c>
      <c r="D152" s="213">
        <f>'B) D RI'!AA153</f>
        <v>466</v>
      </c>
      <c r="E152" s="214">
        <f>'B) D RI'!S153</f>
        <v>56</v>
      </c>
      <c r="F152" s="10">
        <f>'B) D RI'!R153</f>
        <v>1488817.22</v>
      </c>
      <c r="G152" s="10">
        <f>'B) D RI'!U153</f>
        <v>26586.021785714285</v>
      </c>
      <c r="H152" s="41">
        <f>'B) D RI'!T153</f>
        <v>1304692.22</v>
      </c>
      <c r="I152" s="10">
        <f t="shared" si="16"/>
        <v>46596.150714285715</v>
      </c>
      <c r="J152" s="31">
        <f t="shared" si="13"/>
        <v>41647.658503134648</v>
      </c>
      <c r="K152" s="10">
        <f t="shared" si="14"/>
        <v>41647.658503134648</v>
      </c>
      <c r="L152" s="10">
        <f>'D) Ecrêtage'!C152</f>
        <v>26586.021785714285</v>
      </c>
      <c r="M152" s="10">
        <f t="shared" si="15"/>
        <v>31077.075436986332</v>
      </c>
      <c r="N152" s="55">
        <f t="shared" si="17"/>
        <v>72724.733940120976</v>
      </c>
      <c r="O152" s="411"/>
      <c r="P152" s="215"/>
      <c r="Q152" s="212"/>
      <c r="R152" s="212"/>
      <c r="S152" s="216"/>
    </row>
    <row r="153" spans="1:19" s="211" customFormat="1" x14ac:dyDescent="0.25">
      <c r="A153" s="300">
        <f>'A) Base RI'!A154</f>
        <v>5646</v>
      </c>
      <c r="B153" s="223" t="str">
        <f>'A) Base RI'!B154</f>
        <v>Saint-Prex</v>
      </c>
      <c r="C153" s="238">
        <v>1</v>
      </c>
      <c r="D153" s="213">
        <f>'B) D RI'!AA154</f>
        <v>5866</v>
      </c>
      <c r="E153" s="214">
        <f>'B) D RI'!S154</f>
        <v>59</v>
      </c>
      <c r="F153" s="10">
        <f>'B) D RI'!R154</f>
        <v>31150982.240000002</v>
      </c>
      <c r="G153" s="10">
        <f>'B) D RI'!U154</f>
        <v>527982.74983050849</v>
      </c>
      <c r="H153" s="41">
        <f>'B) D RI'!T154</f>
        <v>29308853.140000001</v>
      </c>
      <c r="I153" s="10">
        <f t="shared" si="16"/>
        <v>993520.44542372879</v>
      </c>
      <c r="J153" s="31">
        <f t="shared" si="13"/>
        <v>524260.01025619707</v>
      </c>
      <c r="K153" s="10">
        <f t="shared" si="14"/>
        <v>0</v>
      </c>
      <c r="L153" s="10">
        <f>'D) Ecrêtage'!C153</f>
        <v>527982.74983050849</v>
      </c>
      <c r="M153" s="10">
        <f t="shared" si="15"/>
        <v>617172.43287323811</v>
      </c>
      <c r="N153" s="55">
        <f t="shared" si="17"/>
        <v>617172.43287323811</v>
      </c>
      <c r="O153" s="411"/>
      <c r="P153" s="215"/>
      <c r="Q153" s="212"/>
      <c r="R153" s="212"/>
      <c r="S153" s="216"/>
    </row>
    <row r="154" spans="1:19" s="211" customFormat="1" x14ac:dyDescent="0.25">
      <c r="A154" s="300">
        <f>'A) Base RI'!A155</f>
        <v>5648</v>
      </c>
      <c r="B154" s="223" t="str">
        <f>'A) Base RI'!B155</f>
        <v>Saint-Sulpice</v>
      </c>
      <c r="C154" s="238">
        <v>1</v>
      </c>
      <c r="D154" s="213">
        <f>'B) D RI'!AA155</f>
        <v>4932</v>
      </c>
      <c r="E154" s="214">
        <f>'B) D RI'!S155</f>
        <v>55</v>
      </c>
      <c r="F154" s="10">
        <f>'B) D RI'!R155</f>
        <v>21693467.887499996</v>
      </c>
      <c r="G154" s="10">
        <f>'B) D RI'!U155</f>
        <v>394426.68886363629</v>
      </c>
      <c r="H154" s="41">
        <f>'B) D RI'!T155</f>
        <v>19751660.399999995</v>
      </c>
      <c r="I154" s="10">
        <f t="shared" si="16"/>
        <v>718242.19636363618</v>
      </c>
      <c r="J154" s="31">
        <f t="shared" si="13"/>
        <v>440785.94793446368</v>
      </c>
      <c r="K154" s="10">
        <f t="shared" si="14"/>
        <v>0</v>
      </c>
      <c r="L154" s="10">
        <f>'D) Ecrêtage'!C154</f>
        <v>394426.68886363629</v>
      </c>
      <c r="M154" s="10">
        <f t="shared" si="15"/>
        <v>461055.36446834879</v>
      </c>
      <c r="N154" s="55">
        <f t="shared" si="17"/>
        <v>461055.36446834879</v>
      </c>
      <c r="O154" s="411"/>
      <c r="P154" s="215"/>
      <c r="Q154" s="212"/>
      <c r="R154" s="212"/>
      <c r="S154" s="216"/>
    </row>
    <row r="155" spans="1:19" s="211" customFormat="1" x14ac:dyDescent="0.25">
      <c r="A155" s="300">
        <f>'A) Base RI'!A156</f>
        <v>5649</v>
      </c>
      <c r="B155" s="223" t="str">
        <f>'A) Base RI'!B156</f>
        <v>Tolochenaz</v>
      </c>
      <c r="C155" s="238">
        <v>1</v>
      </c>
      <c r="D155" s="213">
        <f>'B) D RI'!AA156</f>
        <v>1886</v>
      </c>
      <c r="E155" s="214">
        <f>'B) D RI'!S156</f>
        <v>64</v>
      </c>
      <c r="F155" s="10">
        <f>'B) D RI'!R156</f>
        <v>9969818.9899999984</v>
      </c>
      <c r="G155" s="10">
        <f>'B) D RI'!U156</f>
        <v>155778.42171874997</v>
      </c>
      <c r="H155" s="41">
        <f>'B) D RI'!T156</f>
        <v>9344357.4399999995</v>
      </c>
      <c r="I155" s="10">
        <f t="shared" si="16"/>
        <v>292011.17</v>
      </c>
      <c r="J155" s="31">
        <f t="shared" si="13"/>
        <v>168556.83248264366</v>
      </c>
      <c r="K155" s="10">
        <f t="shared" si="14"/>
        <v>0</v>
      </c>
      <c r="L155" s="10">
        <f>'D) Ecrêtage'!C155</f>
        <v>155778.42171874997</v>
      </c>
      <c r="M155" s="10">
        <f t="shared" si="15"/>
        <v>182093.34973950847</v>
      </c>
      <c r="N155" s="55">
        <f t="shared" si="17"/>
        <v>182093.34973950847</v>
      </c>
      <c r="O155" s="411"/>
      <c r="P155" s="215"/>
      <c r="Q155" s="212"/>
      <c r="R155" s="212"/>
      <c r="S155" s="216"/>
    </row>
    <row r="156" spans="1:19" s="211" customFormat="1" x14ac:dyDescent="0.25">
      <c r="A156" s="300">
        <f>'A) Base RI'!A157</f>
        <v>5650</v>
      </c>
      <c r="B156" s="223" t="str">
        <f>'A) Base RI'!B157</f>
        <v>Vaux-sur-Morges</v>
      </c>
      <c r="C156" s="238">
        <v>0</v>
      </c>
      <c r="D156" s="213">
        <f>'B) D RI'!AA157</f>
        <v>196</v>
      </c>
      <c r="E156" s="214">
        <f>'B) D RI'!S157</f>
        <v>56</v>
      </c>
      <c r="F156" s="10">
        <f>'B) D RI'!R157</f>
        <v>4655040.1199999992</v>
      </c>
      <c r="G156" s="10">
        <f>'B) D RI'!U157</f>
        <v>83125.71642857141</v>
      </c>
      <c r="H156" s="41">
        <f>'B) D RI'!T157</f>
        <v>4609188.1199999992</v>
      </c>
      <c r="I156" s="10">
        <f t="shared" si="16"/>
        <v>164613.8614285714</v>
      </c>
      <c r="J156" s="31">
        <f t="shared" si="13"/>
        <v>17517.040915481524</v>
      </c>
      <c r="K156" s="10">
        <f t="shared" si="14"/>
        <v>17517.040915481524</v>
      </c>
      <c r="L156" s="10">
        <f>'D) Ecrêtage'!C156</f>
        <v>83125.71642857141</v>
      </c>
      <c r="M156" s="10">
        <f t="shared" si="15"/>
        <v>97167.759096336798</v>
      </c>
      <c r="N156" s="55">
        <f t="shared" si="17"/>
        <v>114684.80001181833</v>
      </c>
      <c r="O156" s="411"/>
      <c r="P156" s="215"/>
      <c r="Q156" s="212"/>
      <c r="R156" s="212"/>
      <c r="S156" s="216"/>
    </row>
    <row r="157" spans="1:19" s="211" customFormat="1" x14ac:dyDescent="0.25">
      <c r="A157" s="300">
        <f>'A) Base RI'!A158</f>
        <v>5651</v>
      </c>
      <c r="B157" s="223" t="str">
        <f>'A) Base RI'!B158</f>
        <v>Villars-Sainte-Croix</v>
      </c>
      <c r="C157" s="238">
        <v>1</v>
      </c>
      <c r="D157" s="213">
        <f>'B) D RI'!AA158</f>
        <v>958</v>
      </c>
      <c r="E157" s="214">
        <f>'B) D RI'!S158</f>
        <v>60.5</v>
      </c>
      <c r="F157" s="10">
        <f>'B) D RI'!R158</f>
        <v>3490670.42</v>
      </c>
      <c r="G157" s="10">
        <f>'B) D RI'!U158</f>
        <v>57697.031735537188</v>
      </c>
      <c r="H157" s="41">
        <f>'B) D RI'!T158</f>
        <v>3080413.82</v>
      </c>
      <c r="I157" s="10">
        <f t="shared" si="16"/>
        <v>101831.86181818182</v>
      </c>
      <c r="J157" s="31">
        <f t="shared" si="13"/>
        <v>85619.006107302557</v>
      </c>
      <c r="K157" s="10">
        <f t="shared" si="14"/>
        <v>0</v>
      </c>
      <c r="L157" s="10">
        <f>'D) Ecrêtage'!C157</f>
        <v>57697.031735537188</v>
      </c>
      <c r="M157" s="10">
        <f t="shared" si="15"/>
        <v>67443.52435229563</v>
      </c>
      <c r="N157" s="55">
        <f t="shared" si="17"/>
        <v>67443.52435229563</v>
      </c>
      <c r="O157" s="411"/>
      <c r="P157" s="215"/>
      <c r="Q157" s="212"/>
      <c r="R157" s="212"/>
      <c r="S157" s="216"/>
    </row>
    <row r="158" spans="1:19" s="211" customFormat="1" x14ac:dyDescent="0.25">
      <c r="A158" s="300">
        <f>'A) Base RI'!A159</f>
        <v>5652</v>
      </c>
      <c r="B158" s="223" t="str">
        <f>'A) Base RI'!B159</f>
        <v>Villars-sous-Yens</v>
      </c>
      <c r="C158" s="238">
        <v>0</v>
      </c>
      <c r="D158" s="213">
        <f>'B) D RI'!AA159</f>
        <v>626</v>
      </c>
      <c r="E158" s="214">
        <f>'B) D RI'!S159</f>
        <v>76</v>
      </c>
      <c r="F158" s="10">
        <f>'B) D RI'!R159</f>
        <v>1968599.9433333329</v>
      </c>
      <c r="G158" s="10">
        <f>'B) D RI'!U159</f>
        <v>25902.630833333329</v>
      </c>
      <c r="H158" s="41">
        <f>'B) D RI'!T159</f>
        <v>1851029.7099999997</v>
      </c>
      <c r="I158" s="10">
        <f t="shared" si="16"/>
        <v>48711.308157894731</v>
      </c>
      <c r="J158" s="31">
        <f t="shared" si="13"/>
        <v>55947.283740262421</v>
      </c>
      <c r="K158" s="10">
        <f t="shared" si="14"/>
        <v>48711.308157894731</v>
      </c>
      <c r="L158" s="10">
        <f>'D) Ecrêtage'!C158</f>
        <v>25902.630833333329</v>
      </c>
      <c r="M158" s="10">
        <f t="shared" si="15"/>
        <v>30278.242412953048</v>
      </c>
      <c r="N158" s="55">
        <f t="shared" si="17"/>
        <v>78989.550570847787</v>
      </c>
      <c r="O158" s="411"/>
      <c r="P158" s="215"/>
      <c r="Q158" s="212"/>
      <c r="R158" s="212"/>
      <c r="S158" s="216"/>
    </row>
    <row r="159" spans="1:19" s="211" customFormat="1" x14ac:dyDescent="0.25">
      <c r="A159" s="300">
        <f>'A) Base RI'!A160</f>
        <v>5653</v>
      </c>
      <c r="B159" s="223" t="str">
        <f>'A) Base RI'!B160</f>
        <v>Vufflens-le-Château</v>
      </c>
      <c r="C159" s="238">
        <v>0</v>
      </c>
      <c r="D159" s="213">
        <f>'B) D RI'!AA160</f>
        <v>894</v>
      </c>
      <c r="E159" s="214">
        <f>'B) D RI'!S160</f>
        <v>58.5</v>
      </c>
      <c r="F159" s="10">
        <f>'B) D RI'!R160</f>
        <v>3959710.9899999993</v>
      </c>
      <c r="G159" s="10">
        <f>'B) D RI'!U160</f>
        <v>67687.367350427332</v>
      </c>
      <c r="H159" s="41">
        <f>'B) D RI'!T160</f>
        <v>3690681.9899999993</v>
      </c>
      <c r="I159" s="10">
        <f t="shared" si="16"/>
        <v>126177.16205128202</v>
      </c>
      <c r="J159" s="31">
        <f t="shared" si="13"/>
        <v>79899.156012451436</v>
      </c>
      <c r="K159" s="10">
        <f t="shared" si="14"/>
        <v>79899.156012451436</v>
      </c>
      <c r="L159" s="10">
        <f>'D) Ecrêtage'!C159</f>
        <v>67687.367350427332</v>
      </c>
      <c r="M159" s="10">
        <f t="shared" si="15"/>
        <v>79121.481139030089</v>
      </c>
      <c r="N159" s="55">
        <f t="shared" si="17"/>
        <v>159020.63715148153</v>
      </c>
      <c r="O159" s="411"/>
      <c r="P159" s="215"/>
      <c r="Q159" s="212"/>
      <c r="R159" s="212"/>
      <c r="S159" s="216"/>
    </row>
    <row r="160" spans="1:19" s="211" customFormat="1" x14ac:dyDescent="0.25">
      <c r="A160" s="300">
        <f>'A) Base RI'!A161</f>
        <v>5654</v>
      </c>
      <c r="B160" s="223" t="str">
        <f>'A) Base RI'!B161</f>
        <v>Vullierens</v>
      </c>
      <c r="C160" s="238">
        <v>0</v>
      </c>
      <c r="D160" s="213">
        <f>'B) D RI'!AA161</f>
        <v>560</v>
      </c>
      <c r="E160" s="214">
        <f>'B) D RI'!S161</f>
        <v>76</v>
      </c>
      <c r="F160" s="10">
        <f>'B) D RI'!R161</f>
        <v>1570592.6300000001</v>
      </c>
      <c r="G160" s="10">
        <f>'B) D RI'!U161</f>
        <v>20665.692500000001</v>
      </c>
      <c r="H160" s="41">
        <f>'B) D RI'!T161</f>
        <v>1456637.78</v>
      </c>
      <c r="I160" s="10">
        <f t="shared" si="16"/>
        <v>38332.573157894738</v>
      </c>
      <c r="J160" s="31">
        <f t="shared" si="13"/>
        <v>50048.68832994721</v>
      </c>
      <c r="K160" s="10">
        <f t="shared" si="14"/>
        <v>38332.573157894738</v>
      </c>
      <c r="L160" s="10">
        <f>'D) Ecrêtage'!C160</f>
        <v>20665.692500000001</v>
      </c>
      <c r="M160" s="10">
        <f t="shared" si="15"/>
        <v>24156.65231739025</v>
      </c>
      <c r="N160" s="55">
        <f t="shared" si="17"/>
        <v>62489.225475284984</v>
      </c>
      <c r="O160" s="411"/>
      <c r="P160" s="215"/>
      <c r="Q160" s="212"/>
      <c r="R160" s="212"/>
      <c r="S160" s="216"/>
    </row>
    <row r="161" spans="1:19" s="211" customFormat="1" x14ac:dyDescent="0.25">
      <c r="A161" s="300">
        <f>'A) Base RI'!A162</f>
        <v>5655</v>
      </c>
      <c r="B161" s="223" t="str">
        <f>'A) Base RI'!B162</f>
        <v>Yens</v>
      </c>
      <c r="C161" s="238">
        <v>0</v>
      </c>
      <c r="D161" s="213">
        <f>'B) D RI'!AA162</f>
        <v>1499</v>
      </c>
      <c r="E161" s="214">
        <f>'B) D RI'!S162</f>
        <v>71.5</v>
      </c>
      <c r="F161" s="10">
        <f>'B) D RI'!R162</f>
        <v>5252022.21</v>
      </c>
      <c r="G161" s="10">
        <f>'B) D RI'!U162</f>
        <v>73454.856083916078</v>
      </c>
      <c r="H161" s="41">
        <f>'B) D RI'!T162</f>
        <v>4810290.41</v>
      </c>
      <c r="I161" s="10">
        <f t="shared" si="16"/>
        <v>134553.5779020979</v>
      </c>
      <c r="J161" s="31">
        <f t="shared" si="13"/>
        <v>133969.61394034085</v>
      </c>
      <c r="K161" s="10">
        <f t="shared" si="14"/>
        <v>133969.61394034085</v>
      </c>
      <c r="L161" s="10">
        <f>'D) Ecrêtage'!C161</f>
        <v>73454.856083916078</v>
      </c>
      <c r="M161" s="10">
        <f t="shared" si="15"/>
        <v>85863.245059080335</v>
      </c>
      <c r="N161" s="55">
        <f t="shared" si="17"/>
        <v>219832.85899942118</v>
      </c>
      <c r="O161" s="411"/>
      <c r="P161" s="215"/>
      <c r="Q161" s="212"/>
      <c r="R161" s="212"/>
      <c r="S161" s="216"/>
    </row>
    <row r="162" spans="1:19" s="211" customFormat="1" x14ac:dyDescent="0.25">
      <c r="A162" s="300">
        <f>'A) Base RI'!A163</f>
        <v>5661</v>
      </c>
      <c r="B162" s="223" t="str">
        <f>'A) Base RI'!B163</f>
        <v>Boulens</v>
      </c>
      <c r="C162" s="238">
        <v>0</v>
      </c>
      <c r="D162" s="213">
        <f>'B) D RI'!AA163</f>
        <v>371</v>
      </c>
      <c r="E162" s="214">
        <f>'B) D RI'!S163</f>
        <v>71.5</v>
      </c>
      <c r="F162" s="10">
        <f>'B) D RI'!R163</f>
        <v>802701.11</v>
      </c>
      <c r="G162" s="10">
        <f>'B) D RI'!U163</f>
        <v>11226.588951048951</v>
      </c>
      <c r="H162" s="41">
        <f>'B) D RI'!T163</f>
        <v>741481.36</v>
      </c>
      <c r="I162" s="10">
        <f t="shared" si="16"/>
        <v>20740.737342657343</v>
      </c>
      <c r="J162" s="31">
        <f t="shared" si="13"/>
        <v>33157.256018590029</v>
      </c>
      <c r="K162" s="10">
        <f t="shared" si="14"/>
        <v>20740.737342657343</v>
      </c>
      <c r="L162" s="10">
        <f>'D) Ecrêtage'!C162</f>
        <v>11226.588951048951</v>
      </c>
      <c r="M162" s="10">
        <f t="shared" si="15"/>
        <v>13123.044679037221</v>
      </c>
      <c r="N162" s="55">
        <f t="shared" si="17"/>
        <v>33863.782021694562</v>
      </c>
      <c r="O162" s="411"/>
      <c r="P162" s="215"/>
      <c r="Q162" s="212"/>
      <c r="R162" s="212"/>
      <c r="S162" s="216"/>
    </row>
    <row r="163" spans="1:19" s="211" customFormat="1" x14ac:dyDescent="0.25">
      <c r="A163" s="300">
        <f>'A) Base RI'!A164</f>
        <v>5663</v>
      </c>
      <c r="B163" s="223" t="str">
        <f>'A) Base RI'!B164</f>
        <v>Bussy-sur-Moudon</v>
      </c>
      <c r="C163" s="238">
        <v>0</v>
      </c>
      <c r="D163" s="213">
        <f>'B) D RI'!AA164</f>
        <v>236</v>
      </c>
      <c r="E163" s="214">
        <f>'B) D RI'!S164</f>
        <v>78.5</v>
      </c>
      <c r="F163" s="10">
        <f>'B) D RI'!R164</f>
        <v>413198.52</v>
      </c>
      <c r="G163" s="10">
        <f>'B) D RI'!U164</f>
        <v>5263.6754140127387</v>
      </c>
      <c r="H163" s="41">
        <f>'B) D RI'!T164</f>
        <v>378922.27</v>
      </c>
      <c r="I163" s="10">
        <f t="shared" si="16"/>
        <v>9654.0705732484075</v>
      </c>
      <c r="J163" s="31">
        <f t="shared" si="13"/>
        <v>21091.947224763469</v>
      </c>
      <c r="K163" s="10">
        <f t="shared" si="14"/>
        <v>9654.0705732484075</v>
      </c>
      <c r="L163" s="10">
        <f>'D) Ecrêtage'!C163</f>
        <v>5263.6754140127387</v>
      </c>
      <c r="M163" s="10">
        <f t="shared" si="15"/>
        <v>6152.8437475734672</v>
      </c>
      <c r="N163" s="55">
        <f t="shared" si="17"/>
        <v>15806.914320821874</v>
      </c>
      <c r="O163" s="411"/>
      <c r="P163" s="215"/>
      <c r="Q163" s="212"/>
      <c r="R163" s="212"/>
      <c r="S163" s="216"/>
    </row>
    <row r="164" spans="1:19" s="211" customFormat="1" x14ac:dyDescent="0.25">
      <c r="A164" s="300">
        <f>'A) Base RI'!A165</f>
        <v>5665</v>
      </c>
      <c r="B164" s="223" t="str">
        <f>'A) Base RI'!B165</f>
        <v>Chavannes-sur-Moudon</v>
      </c>
      <c r="C164" s="238">
        <v>0</v>
      </c>
      <c r="D164" s="213">
        <f>'B) D RI'!AA165</f>
        <v>222</v>
      </c>
      <c r="E164" s="214">
        <f>'B) D RI'!S165</f>
        <v>70</v>
      </c>
      <c r="F164" s="10">
        <f>'B) D RI'!R165</f>
        <v>344460.8600000001</v>
      </c>
      <c r="G164" s="10">
        <f>'B) D RI'!U165</f>
        <v>4920.86942857143</v>
      </c>
      <c r="H164" s="41">
        <f>'B) D RI'!T165</f>
        <v>315850.96000000008</v>
      </c>
      <c r="I164" s="10">
        <f t="shared" si="16"/>
        <v>9024.3131428571451</v>
      </c>
      <c r="J164" s="31">
        <f t="shared" si="13"/>
        <v>19840.730016514786</v>
      </c>
      <c r="K164" s="10">
        <f t="shared" si="14"/>
        <v>9024.3131428571451</v>
      </c>
      <c r="L164" s="10">
        <f>'D) Ecrêtage'!C164</f>
        <v>4920.86942857143</v>
      </c>
      <c r="M164" s="10">
        <f t="shared" si="15"/>
        <v>5752.1291331163893</v>
      </c>
      <c r="N164" s="55">
        <f t="shared" si="17"/>
        <v>14776.442275973535</v>
      </c>
      <c r="O164" s="411"/>
      <c r="P164" s="215"/>
      <c r="Q164" s="212"/>
      <c r="R164" s="212"/>
      <c r="S164" s="216"/>
    </row>
    <row r="165" spans="1:19" s="211" customFormat="1" x14ac:dyDescent="0.25">
      <c r="A165" s="300">
        <f>'A) Base RI'!A166</f>
        <v>5669</v>
      </c>
      <c r="B165" s="223" t="str">
        <f>'A) Base RI'!B166</f>
        <v>Curtilles</v>
      </c>
      <c r="C165" s="238">
        <v>0</v>
      </c>
      <c r="D165" s="213">
        <f>'B) D RI'!AA166</f>
        <v>296</v>
      </c>
      <c r="E165" s="214">
        <f>'B) D RI'!S166</f>
        <v>73</v>
      </c>
      <c r="F165" s="10">
        <f>'B) D RI'!R166</f>
        <v>681701.55</v>
      </c>
      <c r="G165" s="10">
        <f>'B) D RI'!U166</f>
        <v>9338.3773972602739</v>
      </c>
      <c r="H165" s="41">
        <f>'B) D RI'!T166</f>
        <v>634497.25000000012</v>
      </c>
      <c r="I165" s="10">
        <f t="shared" si="16"/>
        <v>17383.486301369867</v>
      </c>
      <c r="J165" s="31">
        <f t="shared" si="13"/>
        <v>26454.306688686385</v>
      </c>
      <c r="K165" s="10">
        <f t="shared" si="14"/>
        <v>17383.486301369867</v>
      </c>
      <c r="L165" s="10">
        <f>'D) Ecrêtage'!C165</f>
        <v>9338.3773972602739</v>
      </c>
      <c r="M165" s="10">
        <f t="shared" si="15"/>
        <v>10915.866283899855</v>
      </c>
      <c r="N165" s="55">
        <f t="shared" si="17"/>
        <v>28299.35258526972</v>
      </c>
      <c r="O165" s="411"/>
      <c r="P165" s="215"/>
      <c r="Q165" s="212"/>
      <c r="R165" s="212"/>
      <c r="S165" s="216"/>
    </row>
    <row r="166" spans="1:19" s="211" customFormat="1" x14ac:dyDescent="0.25">
      <c r="A166" s="300">
        <f>'A) Base RI'!A167</f>
        <v>5671</v>
      </c>
      <c r="B166" s="223" t="str">
        <f>'A) Base RI'!B167</f>
        <v>Dompierre</v>
      </c>
      <c r="C166" s="238">
        <v>0</v>
      </c>
      <c r="D166" s="213">
        <f>'B) D RI'!AA167</f>
        <v>246</v>
      </c>
      <c r="E166" s="214">
        <f>'B) D RI'!S167</f>
        <v>78</v>
      </c>
      <c r="F166" s="10">
        <f>'B) D RI'!R167</f>
        <v>504190.31999999995</v>
      </c>
      <c r="G166" s="10">
        <f>'B) D RI'!U167</f>
        <v>6463.9784615384606</v>
      </c>
      <c r="H166" s="41">
        <f>'B) D RI'!T167</f>
        <v>467248.97</v>
      </c>
      <c r="I166" s="10">
        <f t="shared" si="16"/>
        <v>11980.74282051282</v>
      </c>
      <c r="J166" s="31">
        <f t="shared" si="13"/>
        <v>21985.673802083955</v>
      </c>
      <c r="K166" s="10">
        <f t="shared" si="14"/>
        <v>11980.74282051282</v>
      </c>
      <c r="L166" s="10">
        <f>'D) Ecrêtage'!C166</f>
        <v>6463.9784615384606</v>
      </c>
      <c r="M166" s="10">
        <f t="shared" si="15"/>
        <v>7555.9084353202152</v>
      </c>
      <c r="N166" s="55">
        <f t="shared" si="17"/>
        <v>19536.651255833036</v>
      </c>
      <c r="O166" s="411"/>
      <c r="P166" s="215"/>
      <c r="Q166" s="212"/>
      <c r="R166" s="212"/>
      <c r="S166" s="216"/>
    </row>
    <row r="167" spans="1:19" s="211" customFormat="1" x14ac:dyDescent="0.25">
      <c r="A167" s="300">
        <f>'A) Base RI'!A168</f>
        <v>5673</v>
      </c>
      <c r="B167" s="223" t="str">
        <f>'A) Base RI'!B168</f>
        <v>Hermenches</v>
      </c>
      <c r="C167" s="238">
        <v>0</v>
      </c>
      <c r="D167" s="213">
        <f>'B) D RI'!AA168</f>
        <v>371</v>
      </c>
      <c r="E167" s="214">
        <f>'B) D RI'!S168</f>
        <v>73.5</v>
      </c>
      <c r="F167" s="10">
        <f>'B) D RI'!R168</f>
        <v>751706.2</v>
      </c>
      <c r="G167" s="10">
        <f>'B) D RI'!U168</f>
        <v>10227.295238095237</v>
      </c>
      <c r="H167" s="41">
        <f>'B) D RI'!T168</f>
        <v>701349.95</v>
      </c>
      <c r="I167" s="10">
        <f t="shared" si="16"/>
        <v>19084.352380952379</v>
      </c>
      <c r="J167" s="31">
        <f t="shared" si="13"/>
        <v>33157.256018590029</v>
      </c>
      <c r="K167" s="10">
        <f t="shared" si="14"/>
        <v>19084.352380952379</v>
      </c>
      <c r="L167" s="10">
        <f>'D) Ecrêtage'!C167</f>
        <v>10227.295238095237</v>
      </c>
      <c r="M167" s="10">
        <f t="shared" si="15"/>
        <v>11954.944902715821</v>
      </c>
      <c r="N167" s="55">
        <f t="shared" si="17"/>
        <v>31039.297283668202</v>
      </c>
      <c r="O167" s="411"/>
      <c r="P167" s="215"/>
      <c r="Q167" s="212"/>
      <c r="R167" s="212"/>
      <c r="S167" s="216"/>
    </row>
    <row r="168" spans="1:19" s="211" customFormat="1" x14ac:dyDescent="0.25">
      <c r="A168" s="300">
        <f>'A) Base RI'!A169</f>
        <v>5674</v>
      </c>
      <c r="B168" s="223" t="str">
        <f>'A) Base RI'!B169</f>
        <v>Lovatens</v>
      </c>
      <c r="C168" s="238">
        <v>0</v>
      </c>
      <c r="D168" s="213">
        <f>'B) D RI'!AA169</f>
        <v>146</v>
      </c>
      <c r="E168" s="214">
        <f>'B) D RI'!S169</f>
        <v>75</v>
      </c>
      <c r="F168" s="10">
        <f>'B) D RI'!R169</f>
        <v>316704.26</v>
      </c>
      <c r="G168" s="10">
        <f>'B) D RI'!U169</f>
        <v>4222.7234666666664</v>
      </c>
      <c r="H168" s="41">
        <f>'B) D RI'!T169</f>
        <v>291031.66000000003</v>
      </c>
      <c r="I168" s="10">
        <f t="shared" si="16"/>
        <v>7760.8442666666679</v>
      </c>
      <c r="J168" s="31">
        <f t="shared" si="13"/>
        <v>13048.408028879096</v>
      </c>
      <c r="K168" s="10">
        <f t="shared" si="14"/>
        <v>7760.8442666666679</v>
      </c>
      <c r="L168" s="10">
        <f>'D) Ecrêtage'!C168</f>
        <v>4222.7234666666664</v>
      </c>
      <c r="M168" s="10">
        <f t="shared" si="15"/>
        <v>4936.048604069354</v>
      </c>
      <c r="N168" s="55">
        <f t="shared" si="17"/>
        <v>12696.892870736021</v>
      </c>
      <c r="O168" s="411"/>
      <c r="P168" s="215"/>
      <c r="Q168" s="212"/>
      <c r="R168" s="212"/>
      <c r="S168" s="216"/>
    </row>
    <row r="169" spans="1:19" s="211" customFormat="1" x14ac:dyDescent="0.25">
      <c r="A169" s="300">
        <f>'A) Base RI'!A170</f>
        <v>5675</v>
      </c>
      <c r="B169" s="223" t="str">
        <f>'A) Base RI'!B170</f>
        <v>Lucens</v>
      </c>
      <c r="C169" s="238">
        <v>0</v>
      </c>
      <c r="D169" s="213">
        <f>'B) D RI'!AA170</f>
        <v>4373</v>
      </c>
      <c r="E169" s="214">
        <f>'B) D RI'!S170</f>
        <v>67.5</v>
      </c>
      <c r="F169" s="10">
        <f>'B) D RI'!R170</f>
        <v>7099014.2963636369</v>
      </c>
      <c r="G169" s="10">
        <f>'B) D RI'!U170</f>
        <v>105170.58216835017</v>
      </c>
      <c r="H169" s="41">
        <f>'B) D RI'!T170</f>
        <v>6364295.1100000003</v>
      </c>
      <c r="I169" s="10">
        <f t="shared" ref="I169" si="18">+H169/E169*$I$5</f>
        <v>188571.70696296298</v>
      </c>
      <c r="J169" s="31">
        <f t="shared" ref="J169" si="19">+$I$314/$D$314*D169</f>
        <v>390826.63226224849</v>
      </c>
      <c r="K169" s="10">
        <f t="shared" ref="K169" si="20">IF(C169=1,0,IF(J169&gt;I169,I169,J169))</f>
        <v>188571.70696296298</v>
      </c>
      <c r="L169" s="10">
        <f>'D) Ecrêtage'!C169</f>
        <v>105170.58216835017</v>
      </c>
      <c r="M169" s="10">
        <f t="shared" ref="M169" si="21">+$M$5*L169</f>
        <v>122936.56200770228</v>
      </c>
      <c r="N169" s="55">
        <f t="shared" si="17"/>
        <v>311508.26897066529</v>
      </c>
      <c r="O169" s="411"/>
      <c r="P169" s="215"/>
      <c r="Q169" s="212"/>
      <c r="R169" s="212"/>
      <c r="S169" s="216"/>
    </row>
    <row r="170" spans="1:19" s="211" customFormat="1" x14ac:dyDescent="0.25">
      <c r="A170" s="300">
        <f>'A) Base RI'!A171</f>
        <v>5678</v>
      </c>
      <c r="B170" s="223" t="str">
        <f>'A) Base RI'!B171</f>
        <v>Moudon</v>
      </c>
      <c r="C170" s="238">
        <v>0</v>
      </c>
      <c r="D170" s="213">
        <f>'B) D RI'!AA171</f>
        <v>6120</v>
      </c>
      <c r="E170" s="214">
        <f>'B) D RI'!S171</f>
        <v>72.5</v>
      </c>
      <c r="F170" s="10">
        <f>'B) D RI'!R171</f>
        <v>9050671.7699999996</v>
      </c>
      <c r="G170" s="10">
        <f>'B) D RI'!U171</f>
        <v>124836.852</v>
      </c>
      <c r="H170" s="41">
        <f>'B) D RI'!T171</f>
        <v>8099444.8200000003</v>
      </c>
      <c r="I170" s="10">
        <f t="shared" si="16"/>
        <v>223432.96055172416</v>
      </c>
      <c r="J170" s="31">
        <f t="shared" ref="J170:J217" si="22">+$I$314/$D$314*D170</f>
        <v>546960.6653201374</v>
      </c>
      <c r="K170" s="10">
        <f t="shared" si="14"/>
        <v>223432.96055172416</v>
      </c>
      <c r="L170" s="10">
        <f>'D) Ecrêtage'!C170</f>
        <v>124836.852</v>
      </c>
      <c r="M170" s="10">
        <f t="shared" si="15"/>
        <v>145924.96380953619</v>
      </c>
      <c r="N170" s="55">
        <f t="shared" si="17"/>
        <v>369357.92436126038</v>
      </c>
      <c r="O170" s="411"/>
      <c r="P170" s="215"/>
      <c r="Q170" s="212"/>
      <c r="R170" s="212"/>
      <c r="S170" s="216"/>
    </row>
    <row r="171" spans="1:19" s="211" customFormat="1" x14ac:dyDescent="0.25">
      <c r="A171" s="300">
        <f>'A) Base RI'!A172</f>
        <v>5680</v>
      </c>
      <c r="B171" s="223" t="str">
        <f>'A) Base RI'!B172</f>
        <v>Ogens</v>
      </c>
      <c r="C171" s="238">
        <v>0</v>
      </c>
      <c r="D171" s="213">
        <f>'B) D RI'!AA172</f>
        <v>321</v>
      </c>
      <c r="E171" s="214">
        <f>'B) D RI'!S172</f>
        <v>78</v>
      </c>
      <c r="F171" s="10">
        <f>'B) D RI'!R172</f>
        <v>663120.05666666676</v>
      </c>
      <c r="G171" s="10">
        <f>'B) D RI'!U172</f>
        <v>8501.5391880341886</v>
      </c>
      <c r="H171" s="41">
        <f>'B) D RI'!T172</f>
        <v>611476.69000000006</v>
      </c>
      <c r="I171" s="10">
        <f t="shared" si="16"/>
        <v>15678.889487179489</v>
      </c>
      <c r="J171" s="31">
        <f t="shared" si="22"/>
        <v>28688.623131987599</v>
      </c>
      <c r="K171" s="10">
        <f t="shared" si="14"/>
        <v>15678.889487179489</v>
      </c>
      <c r="L171" s="10">
        <f>'D) Ecrêtage'!C171</f>
        <v>8501.5391880341886</v>
      </c>
      <c r="M171" s="10">
        <f t="shared" si="15"/>
        <v>9937.6648678968832</v>
      </c>
      <c r="N171" s="55">
        <f t="shared" si="17"/>
        <v>25616.554355076372</v>
      </c>
      <c r="O171" s="411"/>
      <c r="P171" s="215"/>
      <c r="Q171" s="212"/>
      <c r="R171" s="212"/>
      <c r="S171" s="216"/>
    </row>
    <row r="172" spans="1:19" s="211" customFormat="1" x14ac:dyDescent="0.25">
      <c r="A172" s="300">
        <f>'A) Base RI'!A173</f>
        <v>5683</v>
      </c>
      <c r="B172" s="223" t="str">
        <f>'A) Base RI'!B173</f>
        <v>Prévonloup</v>
      </c>
      <c r="C172" s="238">
        <v>0</v>
      </c>
      <c r="D172" s="213">
        <f>'B) D RI'!AA173</f>
        <v>215</v>
      </c>
      <c r="E172" s="214">
        <f>'B) D RI'!S173</f>
        <v>72.5</v>
      </c>
      <c r="F172" s="10">
        <f>'B) D RI'!R173</f>
        <v>390516.89999999997</v>
      </c>
      <c r="G172" s="10">
        <f>'B) D RI'!U173</f>
        <v>5386.44</v>
      </c>
      <c r="H172" s="41">
        <f>'B) D RI'!T173</f>
        <v>359191.64999999997</v>
      </c>
      <c r="I172" s="10">
        <f t="shared" si="16"/>
        <v>9908.7351724137916</v>
      </c>
      <c r="J172" s="31">
        <f t="shared" si="22"/>
        <v>19215.121412390446</v>
      </c>
      <c r="K172" s="10">
        <f t="shared" si="14"/>
        <v>9908.7351724137916</v>
      </c>
      <c r="L172" s="10">
        <f>'D) Ecrêtage'!C172</f>
        <v>5386.44</v>
      </c>
      <c r="M172" s="10">
        <f t="shared" si="15"/>
        <v>6296.3463870607538</v>
      </c>
      <c r="N172" s="55">
        <f t="shared" si="17"/>
        <v>16205.081559474545</v>
      </c>
      <c r="O172" s="411"/>
      <c r="P172" s="215"/>
      <c r="Q172" s="212"/>
      <c r="R172" s="212"/>
      <c r="S172" s="216"/>
    </row>
    <row r="173" spans="1:19" s="211" customFormat="1" x14ac:dyDescent="0.25">
      <c r="A173" s="300">
        <f>'A) Base RI'!A174</f>
        <v>5684</v>
      </c>
      <c r="B173" s="223" t="str">
        <f>'A) Base RI'!B174</f>
        <v>Rossenges</v>
      </c>
      <c r="C173" s="238">
        <v>0</v>
      </c>
      <c r="D173" s="213">
        <f>'B) D RI'!AA174</f>
        <v>93</v>
      </c>
      <c r="E173" s="214">
        <f>'B) D RI'!S174</f>
        <v>75</v>
      </c>
      <c r="F173" s="10">
        <f>'B) D RI'!R174</f>
        <v>244011.125</v>
      </c>
      <c r="G173" s="10">
        <f>'B) D RI'!U174</f>
        <v>3253.4816666666666</v>
      </c>
      <c r="H173" s="41">
        <f>'B) D RI'!T174</f>
        <v>235933.75</v>
      </c>
      <c r="I173" s="10">
        <f t="shared" si="16"/>
        <v>6291.5666666666666</v>
      </c>
      <c r="J173" s="31">
        <f t="shared" si="22"/>
        <v>8311.6571690805195</v>
      </c>
      <c r="K173" s="10">
        <f t="shared" si="14"/>
        <v>6291.5666666666666</v>
      </c>
      <c r="L173" s="10">
        <f>'D) Ecrêtage'!C173</f>
        <v>3253.4816666666666</v>
      </c>
      <c r="M173" s="10">
        <f t="shared" si="15"/>
        <v>3803.0772713118627</v>
      </c>
      <c r="N173" s="55">
        <f t="shared" si="17"/>
        <v>10094.64393797853</v>
      </c>
      <c r="O173" s="411"/>
      <c r="P173" s="215"/>
      <c r="Q173" s="212"/>
      <c r="R173" s="212"/>
      <c r="S173" s="216"/>
    </row>
    <row r="174" spans="1:19" s="211" customFormat="1" x14ac:dyDescent="0.25">
      <c r="A174" s="300">
        <f>'A) Base RI'!A175</f>
        <v>5688</v>
      </c>
      <c r="B174" s="223" t="str">
        <f>'A) Base RI'!B175</f>
        <v>Syens</v>
      </c>
      <c r="C174" s="238">
        <v>0</v>
      </c>
      <c r="D174" s="213">
        <f>'B) D RI'!AA175</f>
        <v>161</v>
      </c>
      <c r="E174" s="214">
        <f>'B) D RI'!S175</f>
        <v>65</v>
      </c>
      <c r="F174" s="10">
        <f>'B) D RI'!R175</f>
        <v>400052.74999999994</v>
      </c>
      <c r="G174" s="10">
        <f>'B) D RI'!U175</f>
        <v>6154.6576923076918</v>
      </c>
      <c r="H174" s="41">
        <f>'B) D RI'!T175</f>
        <v>375242.74999999994</v>
      </c>
      <c r="I174" s="10">
        <f t="shared" si="16"/>
        <v>11545.930769230767</v>
      </c>
      <c r="J174" s="31">
        <f t="shared" si="22"/>
        <v>14388.997894859824</v>
      </c>
      <c r="K174" s="10">
        <f t="shared" si="14"/>
        <v>11545.930769230767</v>
      </c>
      <c r="L174" s="10">
        <f>'D) Ecrêtage'!C174</f>
        <v>6154.6576923076918</v>
      </c>
      <c r="M174" s="10">
        <f t="shared" si="15"/>
        <v>7194.3355397177393</v>
      </c>
      <c r="N174" s="55">
        <f t="shared" si="17"/>
        <v>18740.266308948507</v>
      </c>
      <c r="O174" s="411"/>
      <c r="P174" s="215"/>
      <c r="Q174" s="212"/>
      <c r="R174" s="212"/>
      <c r="S174" s="216"/>
    </row>
    <row r="175" spans="1:19" s="211" customFormat="1" x14ac:dyDescent="0.25">
      <c r="A175" s="300">
        <f>'A) Base RI'!A176</f>
        <v>5690</v>
      </c>
      <c r="B175" s="223" t="str">
        <f>'A) Base RI'!B176</f>
        <v>Villars-le-Comte</v>
      </c>
      <c r="C175" s="238">
        <v>0</v>
      </c>
      <c r="D175" s="213">
        <f>'B) D RI'!AA176</f>
        <v>133</v>
      </c>
      <c r="E175" s="214">
        <f>'B) D RI'!S176</f>
        <v>70</v>
      </c>
      <c r="F175" s="10">
        <f>'B) D RI'!R176</f>
        <v>245702.50666666665</v>
      </c>
      <c r="G175" s="10">
        <f>'B) D RI'!U176</f>
        <v>3510.0358095238093</v>
      </c>
      <c r="H175" s="41">
        <f>'B) D RI'!T176</f>
        <v>223814.49</v>
      </c>
      <c r="I175" s="10">
        <f t="shared" si="16"/>
        <v>6394.6997142857144</v>
      </c>
      <c r="J175" s="31">
        <f t="shared" si="22"/>
        <v>11886.563478362463</v>
      </c>
      <c r="K175" s="10">
        <f t="shared" si="14"/>
        <v>6394.6997142857144</v>
      </c>
      <c r="L175" s="10">
        <f>'D) Ecrêtage'!C175</f>
        <v>3510.0358095238093</v>
      </c>
      <c r="M175" s="10">
        <f t="shared" si="15"/>
        <v>4102.9699184895981</v>
      </c>
      <c r="N175" s="55">
        <f t="shared" si="17"/>
        <v>10497.669632775312</v>
      </c>
      <c r="O175" s="411"/>
      <c r="P175" s="215"/>
      <c r="Q175" s="212"/>
      <c r="R175" s="212"/>
      <c r="S175" s="216"/>
    </row>
    <row r="176" spans="1:19" s="211" customFormat="1" x14ac:dyDescent="0.25">
      <c r="A176" s="300">
        <f>'A) Base RI'!A177</f>
        <v>5692</v>
      </c>
      <c r="B176" s="223" t="str">
        <f>'A) Base RI'!B177</f>
        <v>Vucherens</v>
      </c>
      <c r="C176" s="238">
        <v>0</v>
      </c>
      <c r="D176" s="213">
        <f>'B) D RI'!AA177</f>
        <v>623</v>
      </c>
      <c r="E176" s="214">
        <f>'B) D RI'!S177</f>
        <v>77</v>
      </c>
      <c r="F176" s="10">
        <f>'B) D RI'!R177</f>
        <v>1447075.5599999998</v>
      </c>
      <c r="G176" s="10">
        <f>'B) D RI'!U177</f>
        <v>18793.189090909087</v>
      </c>
      <c r="H176" s="41">
        <f>'B) D RI'!T177</f>
        <v>1345466.21</v>
      </c>
      <c r="I176" s="10">
        <f t="shared" si="16"/>
        <v>34947.174285714282</v>
      </c>
      <c r="J176" s="31">
        <f t="shared" si="22"/>
        <v>55679.165767066275</v>
      </c>
      <c r="K176" s="10">
        <f t="shared" si="14"/>
        <v>34947.174285714282</v>
      </c>
      <c r="L176" s="10">
        <f>'D) Ecrêtage'!C176</f>
        <v>18793.189090909087</v>
      </c>
      <c r="M176" s="10">
        <f t="shared" si="15"/>
        <v>21967.835571155534</v>
      </c>
      <c r="N176" s="55">
        <f t="shared" si="17"/>
        <v>56915.009856869816</v>
      </c>
      <c r="O176" s="411"/>
      <c r="P176" s="215"/>
      <c r="Q176" s="212"/>
      <c r="R176" s="212"/>
      <c r="S176" s="216"/>
    </row>
    <row r="177" spans="1:19" s="211" customFormat="1" x14ac:dyDescent="0.25">
      <c r="A177" s="300">
        <f>'A) Base RI'!A178</f>
        <v>5693</v>
      </c>
      <c r="B177" s="223" t="str">
        <f>'A) Base RI'!B178</f>
        <v>Montanaire</v>
      </c>
      <c r="C177" s="238">
        <v>0</v>
      </c>
      <c r="D177" s="213">
        <f>'B) D RI'!AA178</f>
        <v>2768</v>
      </c>
      <c r="E177" s="214">
        <f>'B) D RI'!S178</f>
        <v>70</v>
      </c>
      <c r="F177" s="10">
        <f>'B) D RI'!R178</f>
        <v>5298503.6500000004</v>
      </c>
      <c r="G177" s="10">
        <f>'B) D RI'!U178</f>
        <v>75692.909285714297</v>
      </c>
      <c r="H177" s="41">
        <f>'B) D RI'!T178</f>
        <v>4859826.9000000004</v>
      </c>
      <c r="I177" s="10">
        <f t="shared" si="16"/>
        <v>138852.19714285716</v>
      </c>
      <c r="J177" s="31">
        <f t="shared" si="22"/>
        <v>247383.5166023105</v>
      </c>
      <c r="K177" s="10">
        <f t="shared" si="14"/>
        <v>138852.19714285716</v>
      </c>
      <c r="L177" s="10">
        <f>'D) Ecrêtage'!C177</f>
        <v>75692.909285714297</v>
      </c>
      <c r="M177" s="10">
        <f t="shared" si="15"/>
        <v>88479.362233167849</v>
      </c>
      <c r="N177" s="55">
        <f t="shared" si="17"/>
        <v>227331.55937602499</v>
      </c>
      <c r="O177" s="411"/>
      <c r="P177" s="215"/>
      <c r="Q177" s="212"/>
      <c r="R177" s="212"/>
      <c r="S177" s="216"/>
    </row>
    <row r="178" spans="1:19" s="211" customFormat="1" x14ac:dyDescent="0.25">
      <c r="A178" s="300">
        <f>'A) Base RI'!A179</f>
        <v>5701</v>
      </c>
      <c r="B178" s="223" t="str">
        <f>'A) Base RI'!B179</f>
        <v>Arnex-sur-Nyon</v>
      </c>
      <c r="C178" s="238">
        <v>0</v>
      </c>
      <c r="D178" s="213">
        <f>'B) D RI'!AA179</f>
        <v>226</v>
      </c>
      <c r="E178" s="214">
        <f>'B) D RI'!S179</f>
        <v>70</v>
      </c>
      <c r="F178" s="10">
        <f>'B) D RI'!R179</f>
        <v>1014210.04</v>
      </c>
      <c r="G178" s="10">
        <f>'B) D RI'!U179</f>
        <v>14488.714857142857</v>
      </c>
      <c r="H178" s="41">
        <f>'B) D RI'!T179</f>
        <v>940235.19000000006</v>
      </c>
      <c r="I178" s="10">
        <f t="shared" si="16"/>
        <v>26863.862571428574</v>
      </c>
      <c r="J178" s="31">
        <f t="shared" si="22"/>
        <v>20198.220647442984</v>
      </c>
      <c r="K178" s="10">
        <f t="shared" si="14"/>
        <v>20198.220647442984</v>
      </c>
      <c r="L178" s="10">
        <f>'D) Ecrêtage'!C178</f>
        <v>14488.714857142857</v>
      </c>
      <c r="M178" s="10">
        <f t="shared" si="15"/>
        <v>16936.226421147345</v>
      </c>
      <c r="N178" s="55">
        <f t="shared" si="17"/>
        <v>37134.447068590329</v>
      </c>
      <c r="O178" s="411"/>
      <c r="P178" s="215"/>
      <c r="Q178" s="212"/>
      <c r="R178" s="212"/>
      <c r="S178" s="216"/>
    </row>
    <row r="179" spans="1:19" s="211" customFormat="1" x14ac:dyDescent="0.25">
      <c r="A179" s="300">
        <f>'A) Base RI'!A180</f>
        <v>5702</v>
      </c>
      <c r="B179" s="223" t="str">
        <f>'A) Base RI'!B180</f>
        <v>Arzier-Le Muids</v>
      </c>
      <c r="C179" s="238">
        <v>0</v>
      </c>
      <c r="D179" s="213">
        <f>'B) D RI'!AA180</f>
        <v>2947</v>
      </c>
      <c r="E179" s="214">
        <f>'B) D RI'!S180</f>
        <v>64</v>
      </c>
      <c r="F179" s="10">
        <f>'B) D RI'!R180</f>
        <v>11191229.603333337</v>
      </c>
      <c r="G179" s="10">
        <f>'B) D RI'!U180</f>
        <v>174862.96255208339</v>
      </c>
      <c r="H179" s="41">
        <f>'B) D RI'!T180</f>
        <v>10347320.020000003</v>
      </c>
      <c r="I179" s="10">
        <f t="shared" si="16"/>
        <v>323353.7506250001</v>
      </c>
      <c r="J179" s="31">
        <f t="shared" si="22"/>
        <v>263381.22233634721</v>
      </c>
      <c r="K179" s="10">
        <f t="shared" si="14"/>
        <v>263381.22233634721</v>
      </c>
      <c r="L179" s="10">
        <f>'D) Ecrêtage'!C179</f>
        <v>174862.96255208339</v>
      </c>
      <c r="M179" s="10">
        <f t="shared" si="15"/>
        <v>204401.75375490126</v>
      </c>
      <c r="N179" s="55">
        <f t="shared" si="17"/>
        <v>467782.97609124845</v>
      </c>
      <c r="O179" s="411"/>
      <c r="P179" s="215"/>
      <c r="Q179" s="212"/>
      <c r="R179" s="212"/>
      <c r="S179" s="216"/>
    </row>
    <row r="180" spans="1:19" s="211" customFormat="1" x14ac:dyDescent="0.25">
      <c r="A180" s="300">
        <f>'A) Base RI'!A181</f>
        <v>5703</v>
      </c>
      <c r="B180" s="223" t="str">
        <f>'A) Base RI'!B181</f>
        <v>Bassins</v>
      </c>
      <c r="C180" s="238">
        <v>0</v>
      </c>
      <c r="D180" s="213">
        <f>'B) D RI'!AA181</f>
        <v>1487</v>
      </c>
      <c r="E180" s="214">
        <f>'B) D RI'!S181</f>
        <v>72.5</v>
      </c>
      <c r="F180" s="10">
        <f>'B) D RI'!R181</f>
        <v>4843017.9671428567</v>
      </c>
      <c r="G180" s="10">
        <f>'B) D RI'!U181</f>
        <v>66800.247822660094</v>
      </c>
      <c r="H180" s="41">
        <f>'B) D RI'!T181</f>
        <v>4503278.6099999994</v>
      </c>
      <c r="I180" s="10">
        <f t="shared" si="16"/>
        <v>124228.37544827585</v>
      </c>
      <c r="J180" s="31">
        <f t="shared" si="22"/>
        <v>132897.14204755626</v>
      </c>
      <c r="K180" s="10">
        <f t="shared" si="14"/>
        <v>124228.37544827585</v>
      </c>
      <c r="L180" s="10">
        <f>'D) Ecrêtage'!C180</f>
        <v>66800.247822660094</v>
      </c>
      <c r="M180" s="10">
        <f t="shared" si="15"/>
        <v>78084.504613987883</v>
      </c>
      <c r="N180" s="55">
        <f t="shared" si="17"/>
        <v>202312.88006226375</v>
      </c>
      <c r="O180" s="411"/>
      <c r="P180" s="215"/>
      <c r="Q180" s="212"/>
      <c r="R180" s="212"/>
      <c r="S180" s="216"/>
    </row>
    <row r="181" spans="1:19" s="211" customFormat="1" x14ac:dyDescent="0.25">
      <c r="A181" s="300">
        <f>'A) Base RI'!A182</f>
        <v>5704</v>
      </c>
      <c r="B181" s="223" t="str">
        <f>'A) Base RI'!B182</f>
        <v>Begnins</v>
      </c>
      <c r="C181" s="238">
        <v>0</v>
      </c>
      <c r="D181" s="213">
        <f>'B) D RI'!AA182</f>
        <v>1941</v>
      </c>
      <c r="E181" s="214">
        <f>'B) D RI'!S182</f>
        <v>62.5</v>
      </c>
      <c r="F181" s="10">
        <f>'B) D RI'!R182</f>
        <v>12646459.600000001</v>
      </c>
      <c r="G181" s="10">
        <f>'B) D RI'!U182</f>
        <v>202343.35360000003</v>
      </c>
      <c r="H181" s="41">
        <f>'B) D RI'!T182</f>
        <v>12101529.65</v>
      </c>
      <c r="I181" s="10">
        <f t="shared" si="16"/>
        <v>387248.94880000001</v>
      </c>
      <c r="J181" s="31">
        <f t="shared" si="22"/>
        <v>173472.32865790633</v>
      </c>
      <c r="K181" s="10">
        <f t="shared" si="14"/>
        <v>173472.32865790633</v>
      </c>
      <c r="L181" s="10">
        <f>'D) Ecrêtage'!C181</f>
        <v>202343.35360000003</v>
      </c>
      <c r="M181" s="10">
        <f t="shared" si="15"/>
        <v>236524.28011545973</v>
      </c>
      <c r="N181" s="55">
        <f t="shared" si="17"/>
        <v>409996.60877336608</v>
      </c>
      <c r="O181" s="411"/>
      <c r="P181" s="215"/>
      <c r="Q181" s="212"/>
      <c r="R181" s="212"/>
      <c r="S181" s="216"/>
    </row>
    <row r="182" spans="1:19" s="211" customFormat="1" x14ac:dyDescent="0.25">
      <c r="A182" s="300">
        <f>'A) Base RI'!A183</f>
        <v>5705</v>
      </c>
      <c r="B182" s="223" t="str">
        <f>'A) Base RI'!B183</f>
        <v>Bogis-Bossey</v>
      </c>
      <c r="C182" s="238">
        <v>0</v>
      </c>
      <c r="D182" s="213">
        <f>'B) D RI'!AA183</f>
        <v>888</v>
      </c>
      <c r="E182" s="214">
        <f>'B) D RI'!S183</f>
        <v>74.5</v>
      </c>
      <c r="F182" s="10">
        <f>'B) D RI'!R183</f>
        <v>3870523.71</v>
      </c>
      <c r="G182" s="10">
        <f>'B) D RI'!U183</f>
        <v>51953.338389261742</v>
      </c>
      <c r="H182" s="41">
        <f>'B) D RI'!T183</f>
        <v>3627996.96</v>
      </c>
      <c r="I182" s="10">
        <f t="shared" si="16"/>
        <v>97395.891543624166</v>
      </c>
      <c r="J182" s="31">
        <f t="shared" si="22"/>
        <v>79362.920066059145</v>
      </c>
      <c r="K182" s="10">
        <f t="shared" si="14"/>
        <v>79362.920066059145</v>
      </c>
      <c r="L182" s="10">
        <f>'D) Ecrêtage'!C182</f>
        <v>51953.338389261742</v>
      </c>
      <c r="M182" s="10">
        <f t="shared" si="15"/>
        <v>60729.575464123423</v>
      </c>
      <c r="N182" s="55">
        <f t="shared" si="17"/>
        <v>140092.49553018255</v>
      </c>
      <c r="O182" s="411"/>
      <c r="P182" s="215"/>
      <c r="Q182" s="212"/>
      <c r="R182" s="212"/>
      <c r="S182" s="216"/>
    </row>
    <row r="183" spans="1:19" s="211" customFormat="1" x14ac:dyDescent="0.25">
      <c r="A183" s="300">
        <f>'A) Base RI'!A184</f>
        <v>5706</v>
      </c>
      <c r="B183" s="223" t="str">
        <f>'A) Base RI'!B184</f>
        <v>Borex</v>
      </c>
      <c r="C183" s="238">
        <v>0</v>
      </c>
      <c r="D183" s="213">
        <f>'B) D RI'!AA184</f>
        <v>1165</v>
      </c>
      <c r="E183" s="214">
        <f>'B) D RI'!S184</f>
        <v>57</v>
      </c>
      <c r="F183" s="10">
        <f>'B) D RI'!R184</f>
        <v>4058855.7700000005</v>
      </c>
      <c r="G183" s="10">
        <f>'B) D RI'!U184</f>
        <v>71207.99596491229</v>
      </c>
      <c r="H183" s="41">
        <f>'B) D RI'!T184</f>
        <v>3758143.7700000005</v>
      </c>
      <c r="I183" s="10">
        <f t="shared" si="16"/>
        <v>131864.69368421054</v>
      </c>
      <c r="J183" s="31">
        <f t="shared" si="22"/>
        <v>104119.14625783662</v>
      </c>
      <c r="K183" s="10">
        <f t="shared" si="14"/>
        <v>104119.14625783662</v>
      </c>
      <c r="L183" s="10">
        <f>'D) Ecrêtage'!C183</f>
        <v>71207.99596491229</v>
      </c>
      <c r="M183" s="10">
        <f t="shared" si="15"/>
        <v>83236.833256011814</v>
      </c>
      <c r="N183" s="55">
        <f t="shared" si="17"/>
        <v>187355.97951384843</v>
      </c>
      <c r="O183" s="411"/>
      <c r="P183" s="215"/>
      <c r="Q183" s="212"/>
      <c r="R183" s="212"/>
      <c r="S183" s="216"/>
    </row>
    <row r="184" spans="1:19" s="211" customFormat="1" x14ac:dyDescent="0.25">
      <c r="A184" s="300">
        <f>'A) Base RI'!A185</f>
        <v>5707</v>
      </c>
      <c r="B184" s="223" t="str">
        <f>'A) Base RI'!B185</f>
        <v>Chavannes-de-Bogis</v>
      </c>
      <c r="C184" s="238">
        <v>0</v>
      </c>
      <c r="D184" s="213">
        <f>'B) D RI'!AA185</f>
        <v>1330</v>
      </c>
      <c r="E184" s="214">
        <f>'B) D RI'!S185</f>
        <v>58</v>
      </c>
      <c r="F184" s="10">
        <f>'B) D RI'!R185</f>
        <v>5105242.1033333344</v>
      </c>
      <c r="G184" s="10">
        <f>'B) D RI'!U185</f>
        <v>88021.415574712664</v>
      </c>
      <c r="H184" s="41">
        <f>'B) D RI'!T185</f>
        <v>4565477.0700000012</v>
      </c>
      <c r="I184" s="10">
        <f t="shared" si="16"/>
        <v>157430.24379310349</v>
      </c>
      <c r="J184" s="31">
        <f t="shared" si="22"/>
        <v>118865.63478362463</v>
      </c>
      <c r="K184" s="10">
        <f t="shared" si="14"/>
        <v>118865.63478362463</v>
      </c>
      <c r="L184" s="10">
        <f>'D) Ecrêtage'!C184</f>
        <v>88021.415574712664</v>
      </c>
      <c r="M184" s="10">
        <f t="shared" si="15"/>
        <v>102890.46604767069</v>
      </c>
      <c r="N184" s="55">
        <f t="shared" si="17"/>
        <v>221756.10083129531</v>
      </c>
      <c r="O184" s="411"/>
      <c r="P184" s="215"/>
      <c r="Q184" s="212"/>
      <c r="R184" s="212"/>
      <c r="S184" s="216"/>
    </row>
    <row r="185" spans="1:19" s="211" customFormat="1" x14ac:dyDescent="0.25">
      <c r="A185" s="300">
        <f>'A) Base RI'!A186</f>
        <v>5708</v>
      </c>
      <c r="B185" s="223" t="str">
        <f>'A) Base RI'!B186</f>
        <v>Chavannes-des-Bois</v>
      </c>
      <c r="C185" s="238">
        <v>0</v>
      </c>
      <c r="D185" s="213">
        <f>'B) D RI'!AA186</f>
        <v>1005</v>
      </c>
      <c r="E185" s="214">
        <f>'B) D RI'!S186</f>
        <v>68</v>
      </c>
      <c r="F185" s="10">
        <f>'B) D RI'!R186</f>
        <v>4556111.5200000005</v>
      </c>
      <c r="G185" s="10">
        <f>'B) D RI'!U186</f>
        <v>67001.640000000014</v>
      </c>
      <c r="H185" s="41">
        <f>'B) D RI'!T186</f>
        <v>4261463.0200000005</v>
      </c>
      <c r="I185" s="10">
        <f t="shared" si="16"/>
        <v>125337.14764705884</v>
      </c>
      <c r="J185" s="31">
        <f t="shared" si="22"/>
        <v>89819.521020708838</v>
      </c>
      <c r="K185" s="10">
        <f t="shared" si="14"/>
        <v>89819.521020708838</v>
      </c>
      <c r="L185" s="10">
        <f>'D) Ecrêtage'!C185</f>
        <v>67001.640000000014</v>
      </c>
      <c r="M185" s="10">
        <f t="shared" si="15"/>
        <v>78319.917040038577</v>
      </c>
      <c r="N185" s="55">
        <f t="shared" si="17"/>
        <v>168139.4380607474</v>
      </c>
      <c r="O185" s="411"/>
      <c r="P185" s="215"/>
      <c r="Q185" s="212"/>
      <c r="R185" s="212"/>
      <c r="S185" s="216"/>
    </row>
    <row r="186" spans="1:19" s="211" customFormat="1" x14ac:dyDescent="0.25">
      <c r="A186" s="300">
        <f>'A) Base RI'!A187</f>
        <v>5709</v>
      </c>
      <c r="B186" s="223" t="str">
        <f>'A) Base RI'!B187</f>
        <v>Chéserex</v>
      </c>
      <c r="C186" s="238">
        <v>0</v>
      </c>
      <c r="D186" s="213">
        <f>'B) D RI'!AA187</f>
        <v>1263</v>
      </c>
      <c r="E186" s="214">
        <f>'B) D RI'!S187</f>
        <v>57</v>
      </c>
      <c r="F186" s="10">
        <f>'B) D RI'!R187</f>
        <v>5035515.9799999995</v>
      </c>
      <c r="G186" s="10">
        <f>'B) D RI'!U187</f>
        <v>88342.385614035084</v>
      </c>
      <c r="H186" s="41">
        <f>'B) D RI'!T187</f>
        <v>4635555.08</v>
      </c>
      <c r="I186" s="10">
        <f t="shared" si="16"/>
        <v>162651.05543859649</v>
      </c>
      <c r="J186" s="31">
        <f t="shared" si="22"/>
        <v>112877.66671557738</v>
      </c>
      <c r="K186" s="10">
        <f t="shared" si="14"/>
        <v>112877.66671557738</v>
      </c>
      <c r="L186" s="10">
        <f>'D) Ecrêtage'!C186</f>
        <v>88342.385614035084</v>
      </c>
      <c r="M186" s="10">
        <f t="shared" si="15"/>
        <v>103265.65607066221</v>
      </c>
      <c r="N186" s="55">
        <f t="shared" si="17"/>
        <v>216143.32278623959</v>
      </c>
      <c r="O186" s="411"/>
      <c r="P186" s="215"/>
      <c r="Q186" s="212"/>
      <c r="R186" s="212"/>
      <c r="S186" s="216"/>
    </row>
    <row r="187" spans="1:19" s="211" customFormat="1" x14ac:dyDescent="0.25">
      <c r="A187" s="300">
        <f>'A) Base RI'!A188</f>
        <v>5710</v>
      </c>
      <c r="B187" s="223" t="str">
        <f>'A) Base RI'!B188</f>
        <v>Coinsins</v>
      </c>
      <c r="C187" s="238">
        <v>0</v>
      </c>
      <c r="D187" s="213">
        <f>'B) D RI'!AA188</f>
        <v>508</v>
      </c>
      <c r="E187" s="214">
        <f>'B) D RI'!S188</f>
        <v>51</v>
      </c>
      <c r="F187" s="10">
        <f>'B) D RI'!R188</f>
        <v>2214025.5200000005</v>
      </c>
      <c r="G187" s="10">
        <f>'B) D RI'!U188</f>
        <v>43412.265098039228</v>
      </c>
      <c r="H187" s="41">
        <f>'B) D RI'!T188</f>
        <v>2106157.8700000006</v>
      </c>
      <c r="I187" s="10">
        <f t="shared" si="16"/>
        <v>82594.426274509824</v>
      </c>
      <c r="J187" s="31">
        <f t="shared" si="22"/>
        <v>45401.310127880686</v>
      </c>
      <c r="K187" s="10">
        <f t="shared" si="14"/>
        <v>45401.310127880686</v>
      </c>
      <c r="L187" s="10">
        <f>'D) Ecrêtage'!C187</f>
        <v>43412.265098039228</v>
      </c>
      <c r="M187" s="10">
        <f t="shared" si="15"/>
        <v>50745.698179904168</v>
      </c>
      <c r="N187" s="55">
        <f t="shared" si="17"/>
        <v>96147.008307784854</v>
      </c>
      <c r="O187" s="411"/>
      <c r="P187" s="215"/>
      <c r="Q187" s="212"/>
      <c r="R187" s="212"/>
      <c r="S187" s="216"/>
    </row>
    <row r="188" spans="1:19" s="211" customFormat="1" x14ac:dyDescent="0.25">
      <c r="A188" s="300">
        <f>'A) Base RI'!A189</f>
        <v>5711</v>
      </c>
      <c r="B188" s="223" t="str">
        <f>'A) Base RI'!B189</f>
        <v>Commugny</v>
      </c>
      <c r="C188" s="238">
        <v>0</v>
      </c>
      <c r="D188" s="213">
        <f>'B) D RI'!AA189</f>
        <v>3001</v>
      </c>
      <c r="E188" s="214">
        <f>'B) D RI'!S189</f>
        <v>55.5</v>
      </c>
      <c r="F188" s="10">
        <f>'B) D RI'!R189</f>
        <v>15888153.426153844</v>
      </c>
      <c r="G188" s="10">
        <f>'B) D RI'!U189</f>
        <v>286273.03470547468</v>
      </c>
      <c r="H188" s="41">
        <f>'B) D RI'!T189</f>
        <v>14915593.079999998</v>
      </c>
      <c r="I188" s="10">
        <f t="shared" si="16"/>
        <v>537498.8497297297</v>
      </c>
      <c r="J188" s="31">
        <f t="shared" si="22"/>
        <v>268207.34585387784</v>
      </c>
      <c r="K188" s="10">
        <f t="shared" si="14"/>
        <v>268207.34585387784</v>
      </c>
      <c r="L188" s="10">
        <f>'D) Ecrêtage'!C188</f>
        <v>286273.03470547468</v>
      </c>
      <c r="M188" s="10">
        <f t="shared" si="15"/>
        <v>334631.81392176158</v>
      </c>
      <c r="N188" s="55">
        <f t="shared" si="17"/>
        <v>602839.15977563942</v>
      </c>
      <c r="O188" s="411"/>
      <c r="P188" s="215"/>
      <c r="Q188" s="212"/>
      <c r="R188" s="212"/>
      <c r="S188" s="216"/>
    </row>
    <row r="189" spans="1:19" s="211" customFormat="1" x14ac:dyDescent="0.25">
      <c r="A189" s="300">
        <f>'A) Base RI'!A190</f>
        <v>5712</v>
      </c>
      <c r="B189" s="223" t="str">
        <f>'A) Base RI'!B190</f>
        <v>Coppet</v>
      </c>
      <c r="C189" s="238">
        <v>0</v>
      </c>
      <c r="D189" s="213">
        <f>'B) D RI'!AA190</f>
        <v>3211</v>
      </c>
      <c r="E189" s="214">
        <f>'B) D RI'!S190</f>
        <v>53</v>
      </c>
      <c r="F189" s="10">
        <f>'B) D RI'!R190</f>
        <v>17688982.91</v>
      </c>
      <c r="G189" s="10">
        <f>'B) D RI'!U190</f>
        <v>333754.3945283019</v>
      </c>
      <c r="H189" s="41">
        <f>'B) D RI'!T190</f>
        <v>16456784.609999999</v>
      </c>
      <c r="I189" s="10">
        <f t="shared" si="16"/>
        <v>621010.74</v>
      </c>
      <c r="J189" s="31">
        <f t="shared" si="22"/>
        <v>286975.60397760803</v>
      </c>
      <c r="K189" s="10">
        <f t="shared" si="14"/>
        <v>286975.60397760803</v>
      </c>
      <c r="L189" s="10">
        <f>'D) Ecrêtage'!C189</f>
        <v>333754.3945283019</v>
      </c>
      <c r="M189" s="10">
        <f t="shared" si="15"/>
        <v>390133.98017130484</v>
      </c>
      <c r="N189" s="55">
        <f t="shared" si="17"/>
        <v>677109.58414891292</v>
      </c>
      <c r="O189" s="411"/>
      <c r="P189" s="215"/>
      <c r="Q189" s="212"/>
      <c r="R189" s="212"/>
      <c r="S189" s="216"/>
    </row>
    <row r="190" spans="1:19" s="211" customFormat="1" x14ac:dyDescent="0.25">
      <c r="A190" s="300">
        <f>'A) Base RI'!A191</f>
        <v>5713</v>
      </c>
      <c r="B190" s="223" t="str">
        <f>'A) Base RI'!B191</f>
        <v>Crans</v>
      </c>
      <c r="C190" s="238">
        <v>1</v>
      </c>
      <c r="D190" s="213">
        <f>'B) D RI'!AA191</f>
        <v>2373</v>
      </c>
      <c r="E190" s="214">
        <f>'B) D RI'!S191</f>
        <v>56</v>
      </c>
      <c r="F190" s="10">
        <f>'B) D RI'!R191</f>
        <v>16940268.789999999</v>
      </c>
      <c r="G190" s="10">
        <f>'B) D RI'!U191</f>
        <v>302504.79982142855</v>
      </c>
      <c r="H190" s="41">
        <f>'B) D RI'!T191</f>
        <v>16022346.889999997</v>
      </c>
      <c r="I190" s="10">
        <f t="shared" si="16"/>
        <v>572226.67464285705</v>
      </c>
      <c r="J190" s="31">
        <f t="shared" si="22"/>
        <v>212081.31679815133</v>
      </c>
      <c r="K190" s="10">
        <f t="shared" si="14"/>
        <v>0</v>
      </c>
      <c r="L190" s="10">
        <f>'D) Ecrêtage'!C190</f>
        <v>302504.79982142855</v>
      </c>
      <c r="M190" s="10">
        <f t="shared" si="15"/>
        <v>353605.53601714462</v>
      </c>
      <c r="N190" s="55">
        <f t="shared" si="17"/>
        <v>353605.53601714462</v>
      </c>
      <c r="O190" s="411"/>
      <c r="P190" s="215"/>
      <c r="Q190" s="212"/>
      <c r="R190" s="212"/>
      <c r="S190" s="216"/>
    </row>
    <row r="191" spans="1:19" s="211" customFormat="1" x14ac:dyDescent="0.25">
      <c r="A191" s="300">
        <f>'A) Base RI'!A192</f>
        <v>5714</v>
      </c>
      <c r="B191" s="223" t="str">
        <f>'A) Base RI'!B192</f>
        <v>Crassier</v>
      </c>
      <c r="C191" s="238">
        <v>0</v>
      </c>
      <c r="D191" s="213">
        <f>'B) D RI'!AA192</f>
        <v>1228</v>
      </c>
      <c r="E191" s="214">
        <f>'B) D RI'!S192</f>
        <v>68</v>
      </c>
      <c r="F191" s="10">
        <f>'B) D RI'!R192</f>
        <v>4225250.0299999993</v>
      </c>
      <c r="G191" s="10">
        <f>'B) D RI'!U192</f>
        <v>62136.029852941167</v>
      </c>
      <c r="H191" s="41">
        <f>'B) D RI'!T192</f>
        <v>3921955.0799999996</v>
      </c>
      <c r="I191" s="10">
        <f t="shared" si="16"/>
        <v>115351.62</v>
      </c>
      <c r="J191" s="31">
        <f t="shared" si="22"/>
        <v>109749.62369495568</v>
      </c>
      <c r="K191" s="10">
        <f t="shared" si="14"/>
        <v>109749.62369495568</v>
      </c>
      <c r="L191" s="10">
        <f>'D) Ecrêtage'!C191</f>
        <v>62136.029852941167</v>
      </c>
      <c r="M191" s="10">
        <f t="shared" si="15"/>
        <v>72632.38188318543</v>
      </c>
      <c r="N191" s="55">
        <f t="shared" si="17"/>
        <v>182382.00557814111</v>
      </c>
      <c r="O191" s="411"/>
      <c r="P191" s="215"/>
      <c r="Q191" s="212"/>
      <c r="R191" s="212"/>
      <c r="S191" s="216"/>
    </row>
    <row r="192" spans="1:19" s="211" customFormat="1" x14ac:dyDescent="0.25">
      <c r="A192" s="300">
        <f>'A) Base RI'!A193</f>
        <v>5715</v>
      </c>
      <c r="B192" s="223" t="str">
        <f>'A) Base RI'!B193</f>
        <v>Duillier</v>
      </c>
      <c r="C192" s="238">
        <v>0</v>
      </c>
      <c r="D192" s="213">
        <f>'B) D RI'!AA193</f>
        <v>1146</v>
      </c>
      <c r="E192" s="214">
        <f>'B) D RI'!S193</f>
        <v>66</v>
      </c>
      <c r="F192" s="10">
        <f>'B) D RI'!R193</f>
        <v>4646078.54</v>
      </c>
      <c r="G192" s="10">
        <f>'B) D RI'!U193</f>
        <v>70395.129393939395</v>
      </c>
      <c r="H192" s="41">
        <f>'B) D RI'!T193</f>
        <v>4359618.1399999997</v>
      </c>
      <c r="I192" s="10">
        <f t="shared" si="16"/>
        <v>132109.6406060606</v>
      </c>
      <c r="J192" s="31">
        <f t="shared" si="22"/>
        <v>102421.06576092768</v>
      </c>
      <c r="K192" s="10">
        <f t="shared" ref="K192:K252" si="23">IF(C192=1,0,IF(J192&gt;I192,I192,J192))</f>
        <v>102421.06576092768</v>
      </c>
      <c r="L192" s="10">
        <f>'D) Ecrêtage'!C192</f>
        <v>70395.129393939395</v>
      </c>
      <c r="M192" s="10">
        <f t="shared" ref="M192:M252" si="24">+$M$5*L192</f>
        <v>82286.652896199463</v>
      </c>
      <c r="N192" s="55">
        <f t="shared" si="17"/>
        <v>184707.71865712714</v>
      </c>
      <c r="O192" s="411"/>
      <c r="P192" s="215"/>
      <c r="Q192" s="212"/>
      <c r="R192" s="212"/>
      <c r="S192" s="216"/>
    </row>
    <row r="193" spans="1:19" s="211" customFormat="1" x14ac:dyDescent="0.25">
      <c r="A193" s="300">
        <f>'A) Base RI'!A194</f>
        <v>5716</v>
      </c>
      <c r="B193" s="223" t="str">
        <f>'A) Base RI'!B194</f>
        <v>Eysins</v>
      </c>
      <c r="C193" s="238">
        <v>0</v>
      </c>
      <c r="D193" s="213">
        <f>'B) D RI'!AA194</f>
        <v>1736</v>
      </c>
      <c r="E193" s="214">
        <f>'B) D RI'!S194</f>
        <v>59.5</v>
      </c>
      <c r="F193" s="10">
        <f>'B) D RI'!R194</f>
        <v>12129334.780000001</v>
      </c>
      <c r="G193" s="10">
        <f>'B) D RI'!U194</f>
        <v>203854.36605042018</v>
      </c>
      <c r="H193" s="41">
        <f>'B) D RI'!T194</f>
        <v>11300201.780000001</v>
      </c>
      <c r="I193" s="10">
        <f t="shared" ref="I193:I253" si="25">+H193/E193*$I$5</f>
        <v>379838.71529411769</v>
      </c>
      <c r="J193" s="31">
        <f t="shared" si="22"/>
        <v>155150.93382283635</v>
      </c>
      <c r="K193" s="10">
        <f t="shared" si="23"/>
        <v>155150.93382283635</v>
      </c>
      <c r="L193" s="10">
        <f>'D) Ecrêtage'!C193</f>
        <v>203854.36605042018</v>
      </c>
      <c r="M193" s="10">
        <f t="shared" si="24"/>
        <v>238290.54090793245</v>
      </c>
      <c r="N193" s="55">
        <f t="shared" si="17"/>
        <v>393441.47473076882</v>
      </c>
      <c r="O193" s="411"/>
      <c r="P193" s="215"/>
      <c r="Q193" s="212"/>
      <c r="R193" s="212"/>
      <c r="S193" s="216"/>
    </row>
    <row r="194" spans="1:19" s="211" customFormat="1" x14ac:dyDescent="0.25">
      <c r="A194" s="300">
        <f>'A) Base RI'!A195</f>
        <v>5717</v>
      </c>
      <c r="B194" s="223" t="str">
        <f>'A) Base RI'!B195</f>
        <v>Founex</v>
      </c>
      <c r="C194" s="238">
        <v>0</v>
      </c>
      <c r="D194" s="213">
        <f>'B) D RI'!AA195</f>
        <v>3822</v>
      </c>
      <c r="E194" s="214">
        <f>'B) D RI'!S195</f>
        <v>57</v>
      </c>
      <c r="F194" s="10">
        <f>'B) D RI'!R195</f>
        <v>22271537.039999999</v>
      </c>
      <c r="G194" s="10">
        <f>'B) D RI'!U195</f>
        <v>390728.72</v>
      </c>
      <c r="H194" s="41">
        <f>'B) D RI'!T195</f>
        <v>20854629.640000001</v>
      </c>
      <c r="I194" s="10">
        <f t="shared" si="25"/>
        <v>731741.39087719296</v>
      </c>
      <c r="J194" s="31">
        <f t="shared" si="22"/>
        <v>341582.29785188974</v>
      </c>
      <c r="K194" s="10">
        <f t="shared" si="23"/>
        <v>341582.29785188974</v>
      </c>
      <c r="L194" s="10">
        <f>'D) Ecrêtage'!C194</f>
        <v>390728.72</v>
      </c>
      <c r="M194" s="10">
        <f t="shared" si="24"/>
        <v>456732.71483444964</v>
      </c>
      <c r="N194" s="55">
        <f t="shared" si="17"/>
        <v>798315.01268633944</v>
      </c>
      <c r="O194" s="411"/>
      <c r="P194" s="215"/>
      <c r="Q194" s="212"/>
      <c r="R194" s="212"/>
      <c r="S194" s="216"/>
    </row>
    <row r="195" spans="1:19" s="211" customFormat="1" x14ac:dyDescent="0.25">
      <c r="A195" s="300">
        <f>'A) Base RI'!A196</f>
        <v>5718</v>
      </c>
      <c r="B195" s="223" t="str">
        <f>'A) Base RI'!B196</f>
        <v>Genolier</v>
      </c>
      <c r="C195" s="238">
        <v>0</v>
      </c>
      <c r="D195" s="213">
        <f>'B) D RI'!AA196</f>
        <v>2022</v>
      </c>
      <c r="E195" s="214">
        <f>'B) D RI'!S196</f>
        <v>55</v>
      </c>
      <c r="F195" s="10">
        <f>'B) D RI'!R196</f>
        <v>10575101.5</v>
      </c>
      <c r="G195" s="10">
        <f>'B) D RI'!U196</f>
        <v>192274.57272727272</v>
      </c>
      <c r="H195" s="41">
        <f>'B) D RI'!T196</f>
        <v>9823052.6500000004</v>
      </c>
      <c r="I195" s="10">
        <f t="shared" si="25"/>
        <v>357201.91454545455</v>
      </c>
      <c r="J195" s="31">
        <f t="shared" si="22"/>
        <v>180711.51393420226</v>
      </c>
      <c r="K195" s="10">
        <f t="shared" si="23"/>
        <v>180711.51393420226</v>
      </c>
      <c r="L195" s="10">
        <f>'D) Ecrêtage'!C195</f>
        <v>192274.57272727272</v>
      </c>
      <c r="M195" s="10">
        <f t="shared" si="24"/>
        <v>224754.62667643451</v>
      </c>
      <c r="N195" s="55">
        <f t="shared" si="17"/>
        <v>405466.14061063679</v>
      </c>
      <c r="O195" s="411"/>
      <c r="P195" s="215"/>
      <c r="Q195" s="212"/>
      <c r="R195" s="212"/>
      <c r="S195" s="216"/>
    </row>
    <row r="196" spans="1:19" s="211" customFormat="1" x14ac:dyDescent="0.25">
      <c r="A196" s="300">
        <f>'A) Base RI'!A197</f>
        <v>5719</v>
      </c>
      <c r="B196" s="223" t="str">
        <f>'A) Base RI'!B197</f>
        <v>Gingins</v>
      </c>
      <c r="C196" s="238">
        <v>0</v>
      </c>
      <c r="D196" s="213">
        <f>'B) D RI'!AA197</f>
        <v>1265</v>
      </c>
      <c r="E196" s="214">
        <f>'B) D RI'!S197</f>
        <v>60</v>
      </c>
      <c r="F196" s="10">
        <f>'B) D RI'!R197</f>
        <v>9077654.3300000019</v>
      </c>
      <c r="G196" s="10">
        <f>'B) D RI'!U197</f>
        <v>151294.23883333337</v>
      </c>
      <c r="H196" s="41">
        <f>'B) D RI'!T197</f>
        <v>8640621.5300000012</v>
      </c>
      <c r="I196" s="10">
        <f t="shared" si="25"/>
        <v>288020.71766666672</v>
      </c>
      <c r="J196" s="31">
        <f t="shared" si="22"/>
        <v>113056.41203104147</v>
      </c>
      <c r="K196" s="10">
        <f t="shared" si="23"/>
        <v>113056.41203104147</v>
      </c>
      <c r="L196" s="10">
        <f>'D) Ecrêtage'!C196</f>
        <v>151294.23883333337</v>
      </c>
      <c r="M196" s="10">
        <f t="shared" si="24"/>
        <v>176851.67458680787</v>
      </c>
      <c r="N196" s="55">
        <f t="shared" si="17"/>
        <v>289908.08661784936</v>
      </c>
      <c r="O196" s="411"/>
      <c r="P196" s="215"/>
      <c r="Q196" s="212"/>
      <c r="R196" s="212"/>
      <c r="S196" s="216"/>
    </row>
    <row r="197" spans="1:19" s="211" customFormat="1" x14ac:dyDescent="0.25">
      <c r="A197" s="300">
        <f>'A) Base RI'!A198</f>
        <v>5720</v>
      </c>
      <c r="B197" s="223" t="str">
        <f>'A) Base RI'!B198</f>
        <v>Givrins</v>
      </c>
      <c r="C197" s="238">
        <v>0</v>
      </c>
      <c r="D197" s="213">
        <f>'B) D RI'!AA198</f>
        <v>1010</v>
      </c>
      <c r="E197" s="214">
        <f>'B) D RI'!S198</f>
        <v>67</v>
      </c>
      <c r="F197" s="10">
        <f>'B) D RI'!R198</f>
        <v>5010918.6022222228</v>
      </c>
      <c r="G197" s="10">
        <f>'B) D RI'!U198</f>
        <v>74789.829883913771</v>
      </c>
      <c r="H197" s="41">
        <f>'B) D RI'!T198</f>
        <v>4689371.8800000008</v>
      </c>
      <c r="I197" s="10">
        <f t="shared" si="25"/>
        <v>139981.25014925376</v>
      </c>
      <c r="J197" s="31">
        <f t="shared" si="22"/>
        <v>90266.384309369081</v>
      </c>
      <c r="K197" s="10">
        <f t="shared" si="23"/>
        <v>90266.384309369081</v>
      </c>
      <c r="L197" s="10">
        <f>'D) Ecrêtage'!C197</f>
        <v>74789.829883913771</v>
      </c>
      <c r="M197" s="10">
        <f t="shared" si="24"/>
        <v>87423.729806415548</v>
      </c>
      <c r="N197" s="55">
        <f t="shared" si="17"/>
        <v>177690.11411578464</v>
      </c>
      <c r="O197" s="411"/>
      <c r="P197" s="215"/>
      <c r="Q197" s="212"/>
      <c r="R197" s="212"/>
      <c r="S197" s="216"/>
    </row>
    <row r="198" spans="1:19" s="211" customFormat="1" x14ac:dyDescent="0.25">
      <c r="A198" s="300">
        <f>'A) Base RI'!A199</f>
        <v>5721</v>
      </c>
      <c r="B198" s="223" t="str">
        <f>'A) Base RI'!B199</f>
        <v>Gland</v>
      </c>
      <c r="C198" s="238">
        <v>0</v>
      </c>
      <c r="D198" s="213">
        <f>'B) D RI'!AA199</f>
        <v>13306</v>
      </c>
      <c r="E198" s="214">
        <f>'B) D RI'!S199</f>
        <v>61</v>
      </c>
      <c r="F198" s="10">
        <f>'B) D RI'!R199</f>
        <v>44104452.530000001</v>
      </c>
      <c r="G198" s="10">
        <f>'B) D RI'!U199</f>
        <v>723023.81196721317</v>
      </c>
      <c r="H198" s="41">
        <f>'B) D RI'!T199</f>
        <v>40572828.280000001</v>
      </c>
      <c r="I198" s="10">
        <f t="shared" si="25"/>
        <v>1330256.6649180329</v>
      </c>
      <c r="J198" s="31">
        <f t="shared" si="22"/>
        <v>1189192.5837826387</v>
      </c>
      <c r="K198" s="10">
        <f t="shared" si="23"/>
        <v>1189192.5837826387</v>
      </c>
      <c r="L198" s="10">
        <f>'D) Ecrêtage'!C198</f>
        <v>723023.81196721317</v>
      </c>
      <c r="M198" s="10">
        <f t="shared" si="24"/>
        <v>845160.87921496516</v>
      </c>
      <c r="N198" s="55">
        <f t="shared" ref="N198:N261" si="26">+M198+K198</f>
        <v>2034353.4629976037</v>
      </c>
      <c r="O198" s="411"/>
      <c r="P198" s="215"/>
      <c r="Q198" s="212"/>
      <c r="R198" s="212"/>
      <c r="S198" s="216"/>
    </row>
    <row r="199" spans="1:19" s="211" customFormat="1" x14ac:dyDescent="0.25">
      <c r="A199" s="300">
        <f>'A) Base RI'!A200</f>
        <v>5722</v>
      </c>
      <c r="B199" s="223" t="str">
        <f>'A) Base RI'!B200</f>
        <v>Grens</v>
      </c>
      <c r="C199" s="238">
        <v>0</v>
      </c>
      <c r="D199" s="213">
        <f>'B) D RI'!AA200</f>
        <v>401</v>
      </c>
      <c r="E199" s="214">
        <f>'B) D RI'!S200</f>
        <v>62</v>
      </c>
      <c r="F199" s="10">
        <f>'B) D RI'!R200</f>
        <v>1383639.1900000004</v>
      </c>
      <c r="G199" s="10">
        <f>'B) D RI'!U200</f>
        <v>22316.761129032264</v>
      </c>
      <c r="H199" s="41">
        <f>'B) D RI'!T200</f>
        <v>1288696.5400000003</v>
      </c>
      <c r="I199" s="10">
        <f t="shared" si="25"/>
        <v>41570.856129032269</v>
      </c>
      <c r="J199" s="31">
        <f t="shared" si="22"/>
        <v>35838.435750551485</v>
      </c>
      <c r="K199" s="10">
        <f t="shared" si="23"/>
        <v>35838.435750551485</v>
      </c>
      <c r="L199" s="10">
        <f>'D) Ecrêtage'!C199</f>
        <v>22316.761129032264</v>
      </c>
      <c r="M199" s="10">
        <f t="shared" si="24"/>
        <v>26086.62833071197</v>
      </c>
      <c r="N199" s="55">
        <f t="shared" si="26"/>
        <v>61925.064081263452</v>
      </c>
      <c r="O199" s="411"/>
      <c r="P199" s="215"/>
      <c r="Q199" s="212"/>
      <c r="R199" s="212"/>
      <c r="S199" s="216"/>
    </row>
    <row r="200" spans="1:19" s="211" customFormat="1" x14ac:dyDescent="0.25">
      <c r="A200" s="300">
        <f>'A) Base RI'!A201</f>
        <v>5723</v>
      </c>
      <c r="B200" s="223" t="str">
        <f>'A) Base RI'!B201</f>
        <v>Mies</v>
      </c>
      <c r="C200" s="238">
        <v>0</v>
      </c>
      <c r="D200" s="213">
        <f>'B) D RI'!AA201</f>
        <v>2195</v>
      </c>
      <c r="E200" s="214">
        <f>'B) D RI'!S201</f>
        <v>52</v>
      </c>
      <c r="F200" s="10">
        <f>'B) D RI'!R201</f>
        <v>12790691.959999999</v>
      </c>
      <c r="G200" s="10">
        <f>'B) D RI'!U201</f>
        <v>245974.84538461536</v>
      </c>
      <c r="H200" s="41">
        <f>'B) D RI'!T201</f>
        <v>11861303.309999999</v>
      </c>
      <c r="I200" s="10">
        <f t="shared" si="25"/>
        <v>456203.97346153844</v>
      </c>
      <c r="J200" s="31">
        <f t="shared" si="22"/>
        <v>196172.98372184666</v>
      </c>
      <c r="K200" s="10">
        <f t="shared" si="23"/>
        <v>196172.98372184666</v>
      </c>
      <c r="L200" s="10">
        <f>'D) Ecrêtage'!C200</f>
        <v>245974.84538461536</v>
      </c>
      <c r="M200" s="10">
        <f t="shared" si="24"/>
        <v>287526.23793177883</v>
      </c>
      <c r="N200" s="55">
        <f t="shared" si="26"/>
        <v>483699.22165362549</v>
      </c>
      <c r="O200" s="411"/>
      <c r="P200" s="215"/>
      <c r="Q200" s="212"/>
      <c r="R200" s="212"/>
      <c r="S200" s="216"/>
    </row>
    <row r="201" spans="1:19" s="211" customFormat="1" x14ac:dyDescent="0.25">
      <c r="A201" s="300">
        <f>'A) Base RI'!A202</f>
        <v>5724</v>
      </c>
      <c r="B201" s="223" t="str">
        <f>'A) Base RI'!B202</f>
        <v>Nyon</v>
      </c>
      <c r="C201" s="238">
        <v>1</v>
      </c>
      <c r="D201" s="213">
        <f>'B) D RI'!AA202</f>
        <v>22124</v>
      </c>
      <c r="E201" s="214">
        <f>'B) D RI'!S202</f>
        <v>61</v>
      </c>
      <c r="F201" s="10">
        <f>'B) D RI'!R202</f>
        <v>89174255.106666654</v>
      </c>
      <c r="G201" s="10">
        <f>'B) D RI'!U202</f>
        <v>1461873.0345355188</v>
      </c>
      <c r="H201" s="41">
        <f>'B) D RI'!T202</f>
        <v>82679527.139999986</v>
      </c>
      <c r="I201" s="10">
        <f t="shared" si="25"/>
        <v>2710804.1685245899</v>
      </c>
      <c r="J201" s="31">
        <f t="shared" si="22"/>
        <v>1977280.679663843</v>
      </c>
      <c r="K201" s="10">
        <f t="shared" si="23"/>
        <v>0</v>
      </c>
      <c r="L201" s="10">
        <f>'D) Ecrêtage'!C201</f>
        <v>1461873.0345355188</v>
      </c>
      <c r="M201" s="10">
        <f t="shared" si="24"/>
        <v>1708820.4824223896</v>
      </c>
      <c r="N201" s="55">
        <f t="shared" si="26"/>
        <v>1708820.4824223896</v>
      </c>
      <c r="O201" s="411"/>
      <c r="P201" s="215"/>
      <c r="Q201" s="212"/>
      <c r="R201" s="212"/>
      <c r="S201" s="216"/>
    </row>
    <row r="202" spans="1:19" s="211" customFormat="1" x14ac:dyDescent="0.25">
      <c r="A202" s="300">
        <f>'A) Base RI'!A203</f>
        <v>5725</v>
      </c>
      <c r="B202" s="223" t="str">
        <f>'A) Base RI'!B203</f>
        <v>Prangins</v>
      </c>
      <c r="C202" s="238">
        <v>1</v>
      </c>
      <c r="D202" s="213">
        <f>'B) D RI'!AA203</f>
        <v>4060</v>
      </c>
      <c r="E202" s="214">
        <f>'B) D RI'!S203</f>
        <v>55</v>
      </c>
      <c r="F202" s="10">
        <f>'B) D RI'!R203</f>
        <v>19529542.351428576</v>
      </c>
      <c r="G202" s="10">
        <f>'B) D RI'!U203</f>
        <v>355082.58820779232</v>
      </c>
      <c r="H202" s="41">
        <f>'B) D RI'!T203</f>
        <v>18261090.730000004</v>
      </c>
      <c r="I202" s="10">
        <f t="shared" si="25"/>
        <v>664039.6629090911</v>
      </c>
      <c r="J202" s="31">
        <f t="shared" si="22"/>
        <v>362852.9903921173</v>
      </c>
      <c r="K202" s="10">
        <f t="shared" si="23"/>
        <v>0</v>
      </c>
      <c r="L202" s="10">
        <f>'D) Ecrêtage'!C202</f>
        <v>355082.58820779232</v>
      </c>
      <c r="M202" s="10">
        <f t="shared" si="24"/>
        <v>415065.04692715686</v>
      </c>
      <c r="N202" s="55">
        <f t="shared" si="26"/>
        <v>415065.04692715686</v>
      </c>
      <c r="O202" s="411"/>
      <c r="P202" s="215"/>
      <c r="Q202" s="212"/>
      <c r="R202" s="212"/>
      <c r="S202" s="216"/>
    </row>
    <row r="203" spans="1:19" s="211" customFormat="1" x14ac:dyDescent="0.25">
      <c r="A203" s="300">
        <f>'A) Base RI'!A204</f>
        <v>5726</v>
      </c>
      <c r="B203" s="223" t="str">
        <f>'A) Base RI'!B204</f>
        <v>La Rippe</v>
      </c>
      <c r="C203" s="238">
        <v>0</v>
      </c>
      <c r="D203" s="213">
        <f>'B) D RI'!AA204</f>
        <v>1165</v>
      </c>
      <c r="E203" s="214">
        <f>'B) D RI'!S204</f>
        <v>64</v>
      </c>
      <c r="F203" s="10">
        <f>'B) D RI'!R204</f>
        <v>4503454.0600000005</v>
      </c>
      <c r="G203" s="10">
        <f>'B) D RI'!U204</f>
        <v>70366.469687500008</v>
      </c>
      <c r="H203" s="41">
        <f>'B) D RI'!T204</f>
        <v>4223151.41</v>
      </c>
      <c r="I203" s="10">
        <f t="shared" si="25"/>
        <v>131973.4815625</v>
      </c>
      <c r="J203" s="31">
        <f t="shared" si="22"/>
        <v>104119.14625783662</v>
      </c>
      <c r="K203" s="10">
        <f t="shared" si="23"/>
        <v>104119.14625783662</v>
      </c>
      <c r="L203" s="10">
        <f>'D) Ecrêtage'!C203</f>
        <v>70366.469687500008</v>
      </c>
      <c r="M203" s="10">
        <f t="shared" si="24"/>
        <v>82253.151838154852</v>
      </c>
      <c r="N203" s="55">
        <f t="shared" si="26"/>
        <v>186372.29809599149</v>
      </c>
      <c r="O203" s="411"/>
      <c r="P203" s="215"/>
      <c r="Q203" s="212"/>
      <c r="R203" s="212"/>
      <c r="S203" s="216"/>
    </row>
    <row r="204" spans="1:19" s="211" customFormat="1" x14ac:dyDescent="0.25">
      <c r="A204" s="300">
        <f>'A) Base RI'!A205</f>
        <v>5727</v>
      </c>
      <c r="B204" s="223" t="str">
        <f>'A) Base RI'!B205</f>
        <v>Saint-Cergue</v>
      </c>
      <c r="C204" s="238">
        <v>0</v>
      </c>
      <c r="D204" s="213">
        <f>'B) D RI'!AA205</f>
        <v>2755</v>
      </c>
      <c r="E204" s="214">
        <f>'B) D RI'!S205</f>
        <v>66</v>
      </c>
      <c r="F204" s="10">
        <f>'B) D RI'!R205</f>
        <v>7007438.0666666683</v>
      </c>
      <c r="G204" s="10">
        <f>'B) D RI'!U205</f>
        <v>106173.30404040407</v>
      </c>
      <c r="H204" s="41">
        <f>'B) D RI'!T205</f>
        <v>6459981.0500000007</v>
      </c>
      <c r="I204" s="10">
        <f t="shared" si="25"/>
        <v>195757.00151515153</v>
      </c>
      <c r="J204" s="31">
        <f t="shared" si="22"/>
        <v>246221.67205179387</v>
      </c>
      <c r="K204" s="10">
        <f t="shared" si="23"/>
        <v>195757.00151515153</v>
      </c>
      <c r="L204" s="10">
        <f>'D) Ecrêtage'!C204</f>
        <v>106173.30404040407</v>
      </c>
      <c r="M204" s="10">
        <f t="shared" si="24"/>
        <v>124108.66904617914</v>
      </c>
      <c r="N204" s="55">
        <f t="shared" si="26"/>
        <v>319865.67056133068</v>
      </c>
      <c r="O204" s="411"/>
      <c r="P204" s="215"/>
      <c r="Q204" s="212"/>
      <c r="R204" s="212"/>
      <c r="S204" s="216"/>
    </row>
    <row r="205" spans="1:19" s="211" customFormat="1" x14ac:dyDescent="0.25">
      <c r="A205" s="300">
        <f>'A) Base RI'!A206</f>
        <v>5728</v>
      </c>
      <c r="B205" s="223" t="str">
        <f>'A) Base RI'!B206</f>
        <v>Signy-Avenex</v>
      </c>
      <c r="C205" s="238">
        <v>0</v>
      </c>
      <c r="D205" s="213">
        <f>'B) D RI'!AA206</f>
        <v>584</v>
      </c>
      <c r="E205" s="214">
        <f>'B) D RI'!S206</f>
        <v>58</v>
      </c>
      <c r="F205" s="10">
        <f>'B) D RI'!R206</f>
        <v>3275667.5200000005</v>
      </c>
      <c r="G205" s="10">
        <f>'B) D RI'!U206</f>
        <v>56477.02620689656</v>
      </c>
      <c r="H205" s="41">
        <f>'B) D RI'!T206</f>
        <v>2979147.0700000003</v>
      </c>
      <c r="I205" s="10">
        <f t="shared" si="25"/>
        <v>102729.20931034484</v>
      </c>
      <c r="J205" s="31">
        <f t="shared" si="22"/>
        <v>52193.632115516382</v>
      </c>
      <c r="K205" s="10">
        <f t="shared" si="23"/>
        <v>52193.632115516382</v>
      </c>
      <c r="L205" s="10">
        <f>'D) Ecrêtage'!C205</f>
        <v>56477.02620689656</v>
      </c>
      <c r="M205" s="10">
        <f t="shared" si="24"/>
        <v>66017.428934459254</v>
      </c>
      <c r="N205" s="55">
        <f t="shared" si="26"/>
        <v>118211.06104997563</v>
      </c>
      <c r="O205" s="411"/>
      <c r="P205" s="215"/>
      <c r="Q205" s="212"/>
      <c r="R205" s="212"/>
      <c r="S205" s="216"/>
    </row>
    <row r="206" spans="1:19" s="211" customFormat="1" x14ac:dyDescent="0.25">
      <c r="A206" s="300">
        <f>'A) Base RI'!A207</f>
        <v>5729</v>
      </c>
      <c r="B206" s="223" t="str">
        <f>'A) Base RI'!B207</f>
        <v>Tannay</v>
      </c>
      <c r="C206" s="238">
        <v>0</v>
      </c>
      <c r="D206" s="213">
        <f>'B) D RI'!AA207</f>
        <v>1644</v>
      </c>
      <c r="E206" s="214">
        <f>'B) D RI'!S207</f>
        <v>60.5</v>
      </c>
      <c r="F206" s="10">
        <f>'B) D RI'!R207</f>
        <v>9782126.4466666654</v>
      </c>
      <c r="G206" s="10">
        <f>'B) D RI'!U207</f>
        <v>161688.04044077132</v>
      </c>
      <c r="H206" s="41">
        <f>'B) D RI'!T207</f>
        <v>9176879.2299999986</v>
      </c>
      <c r="I206" s="10">
        <f t="shared" si="25"/>
        <v>303367.90842975205</v>
      </c>
      <c r="J206" s="31">
        <f t="shared" si="22"/>
        <v>146928.64931148788</v>
      </c>
      <c r="K206" s="10">
        <f t="shared" si="23"/>
        <v>146928.64931148788</v>
      </c>
      <c r="L206" s="10">
        <f>'D) Ecrêtage'!C206</f>
        <v>161688.04044077132</v>
      </c>
      <c r="M206" s="10">
        <f t="shared" si="24"/>
        <v>189001.25300944291</v>
      </c>
      <c r="N206" s="55">
        <f t="shared" si="26"/>
        <v>335929.90232093079</v>
      </c>
      <c r="O206" s="411"/>
      <c r="P206" s="215"/>
      <c r="Q206" s="212"/>
      <c r="R206" s="212"/>
      <c r="S206" s="216"/>
    </row>
    <row r="207" spans="1:19" s="211" customFormat="1" x14ac:dyDescent="0.25">
      <c r="A207" s="300">
        <f>'A) Base RI'!A208</f>
        <v>5730</v>
      </c>
      <c r="B207" s="223" t="str">
        <f>'A) Base RI'!B208</f>
        <v>Trélex</v>
      </c>
      <c r="C207" s="238">
        <v>0</v>
      </c>
      <c r="D207" s="213">
        <f>'B) D RI'!AA208</f>
        <v>1439</v>
      </c>
      <c r="E207" s="214">
        <f>'B) D RI'!S208</f>
        <v>55.5</v>
      </c>
      <c r="F207" s="10">
        <f>'B) D RI'!R208</f>
        <v>6942253.5077777794</v>
      </c>
      <c r="G207" s="10">
        <f>'B) D RI'!U208</f>
        <v>125085.64878878882</v>
      </c>
      <c r="H207" s="41">
        <f>'B) D RI'!T208</f>
        <v>6473316.5300000012</v>
      </c>
      <c r="I207" s="10">
        <f t="shared" si="25"/>
        <v>233272.66774774779</v>
      </c>
      <c r="J207" s="31">
        <f t="shared" si="22"/>
        <v>128607.25447641793</v>
      </c>
      <c r="K207" s="10">
        <f t="shared" si="23"/>
        <v>128607.25447641793</v>
      </c>
      <c r="L207" s="10">
        <f>'D) Ecrêtage'!C207</f>
        <v>125085.64878878882</v>
      </c>
      <c r="M207" s="10">
        <f t="shared" si="24"/>
        <v>146215.78868871479</v>
      </c>
      <c r="N207" s="55">
        <f t="shared" si="26"/>
        <v>274823.04316513275</v>
      </c>
      <c r="O207" s="411"/>
      <c r="P207" s="215"/>
      <c r="Q207" s="212"/>
      <c r="R207" s="212"/>
      <c r="S207" s="216"/>
    </row>
    <row r="208" spans="1:19" s="211" customFormat="1" x14ac:dyDescent="0.25">
      <c r="A208" s="300">
        <f>'A) Base RI'!A209</f>
        <v>5731</v>
      </c>
      <c r="B208" s="223" t="str">
        <f>'A) Base RI'!B209</f>
        <v>Le Vaud</v>
      </c>
      <c r="C208" s="238">
        <v>0</v>
      </c>
      <c r="D208" s="213">
        <f>'B) D RI'!AA209</f>
        <v>1387</v>
      </c>
      <c r="E208" s="214">
        <f>'B) D RI'!S209</f>
        <v>74</v>
      </c>
      <c r="F208" s="10">
        <f>'B) D RI'!R209</f>
        <v>5150149.3833333328</v>
      </c>
      <c r="G208" s="10">
        <f>'B) D RI'!U209</f>
        <v>69596.613288288281</v>
      </c>
      <c r="H208" s="41">
        <f>'B) D RI'!T209</f>
        <v>4861951.6499999994</v>
      </c>
      <c r="I208" s="10">
        <f t="shared" si="25"/>
        <v>131404.09864864862</v>
      </c>
      <c r="J208" s="31">
        <f t="shared" si="22"/>
        <v>123959.87627435139</v>
      </c>
      <c r="K208" s="10">
        <f t="shared" si="23"/>
        <v>123959.87627435139</v>
      </c>
      <c r="L208" s="10">
        <f>'D) Ecrêtage'!C208</f>
        <v>69596.613288288281</v>
      </c>
      <c r="M208" s="10">
        <f t="shared" si="24"/>
        <v>81353.247159418548</v>
      </c>
      <c r="N208" s="55">
        <f t="shared" si="26"/>
        <v>205313.12343376994</v>
      </c>
      <c r="O208" s="411"/>
      <c r="P208" s="215"/>
      <c r="Q208" s="212"/>
      <c r="R208" s="212"/>
      <c r="S208" s="216"/>
    </row>
    <row r="209" spans="1:19" s="211" customFormat="1" x14ac:dyDescent="0.25">
      <c r="A209" s="300">
        <f>'A) Base RI'!A210</f>
        <v>5732</v>
      </c>
      <c r="B209" s="223" t="str">
        <f>'A) Base RI'!B210</f>
        <v>Vich</v>
      </c>
      <c r="C209" s="238">
        <v>0</v>
      </c>
      <c r="D209" s="213">
        <f>'B) D RI'!AA210</f>
        <v>1157</v>
      </c>
      <c r="E209" s="214">
        <f>'B) D RI'!S210</f>
        <v>63</v>
      </c>
      <c r="F209" s="10">
        <f>'B) D RI'!R210</f>
        <v>5451895.9899999993</v>
      </c>
      <c r="G209" s="10">
        <f>'B) D RI'!U210</f>
        <v>86538.031587301579</v>
      </c>
      <c r="H209" s="41">
        <f>'B) D RI'!T210</f>
        <v>5064405.2899999991</v>
      </c>
      <c r="I209" s="10">
        <f t="shared" si="25"/>
        <v>160774.77111111107</v>
      </c>
      <c r="J209" s="31">
        <f t="shared" si="22"/>
        <v>103404.16499598023</v>
      </c>
      <c r="K209" s="10">
        <f t="shared" si="23"/>
        <v>103404.16499598023</v>
      </c>
      <c r="L209" s="10">
        <f>'D) Ecrêtage'!C209</f>
        <v>86538.031587301579</v>
      </c>
      <c r="M209" s="10">
        <f t="shared" si="24"/>
        <v>101156.50086663097</v>
      </c>
      <c r="N209" s="55">
        <f t="shared" si="26"/>
        <v>204560.6658626112</v>
      </c>
      <c r="O209" s="411"/>
      <c r="P209" s="215"/>
      <c r="Q209" s="212"/>
      <c r="R209" s="212"/>
      <c r="S209" s="216"/>
    </row>
    <row r="210" spans="1:19" s="211" customFormat="1" x14ac:dyDescent="0.25">
      <c r="A210" s="300">
        <f>'A) Base RI'!A211</f>
        <v>5741</v>
      </c>
      <c r="B210" s="223" t="str">
        <f>'A) Base RI'!B211</f>
        <v>L'Abergement</v>
      </c>
      <c r="C210" s="238">
        <v>0</v>
      </c>
      <c r="D210" s="213">
        <f>'B) D RI'!AA211</f>
        <v>254</v>
      </c>
      <c r="E210" s="214">
        <f>'B) D RI'!S211</f>
        <v>81</v>
      </c>
      <c r="F210" s="10">
        <f>'B) D RI'!R211</f>
        <v>727977.64166666672</v>
      </c>
      <c r="G210" s="10">
        <f>'B) D RI'!U211</f>
        <v>8987.3782921810707</v>
      </c>
      <c r="H210" s="41">
        <f>'B) D RI'!T211</f>
        <v>685082.35000000009</v>
      </c>
      <c r="I210" s="10">
        <f t="shared" si="25"/>
        <v>16915.613580246914</v>
      </c>
      <c r="J210" s="31">
        <f t="shared" si="22"/>
        <v>22700.655063940343</v>
      </c>
      <c r="K210" s="10">
        <f t="shared" si="23"/>
        <v>16915.613580246914</v>
      </c>
      <c r="L210" s="10">
        <f>'D) Ecrêtage'!C210</f>
        <v>8987.3782921810707</v>
      </c>
      <c r="M210" s="10">
        <f t="shared" si="24"/>
        <v>10505.57452401262</v>
      </c>
      <c r="N210" s="55">
        <f t="shared" si="26"/>
        <v>27421.188104259534</v>
      </c>
      <c r="O210" s="411"/>
      <c r="P210" s="215"/>
      <c r="Q210" s="212"/>
      <c r="R210" s="212"/>
      <c r="S210" s="216"/>
    </row>
    <row r="211" spans="1:19" s="211" customFormat="1" x14ac:dyDescent="0.25">
      <c r="A211" s="300">
        <f>'A) Base RI'!A212</f>
        <v>5742</v>
      </c>
      <c r="B211" s="223" t="str">
        <f>'A) Base RI'!B212</f>
        <v>Agiez</v>
      </c>
      <c r="C211" s="238">
        <v>0</v>
      </c>
      <c r="D211" s="213">
        <f>'B) D RI'!AA212</f>
        <v>375</v>
      </c>
      <c r="E211" s="214">
        <f>'B) D RI'!S212</f>
        <v>76</v>
      </c>
      <c r="F211" s="10">
        <f>'B) D RI'!R212</f>
        <v>772165.29</v>
      </c>
      <c r="G211" s="10">
        <f>'B) D RI'!U212</f>
        <v>10160.069605263159</v>
      </c>
      <c r="H211" s="41">
        <f>'B) D RI'!T212</f>
        <v>711846.09</v>
      </c>
      <c r="I211" s="10">
        <f t="shared" si="25"/>
        <v>18732.791842105264</v>
      </c>
      <c r="J211" s="31">
        <f t="shared" si="22"/>
        <v>33514.746649518223</v>
      </c>
      <c r="K211" s="10">
        <f t="shared" si="23"/>
        <v>18732.791842105264</v>
      </c>
      <c r="L211" s="10">
        <f>'D) Ecrêtage'!C211</f>
        <v>10160.069605263159</v>
      </c>
      <c r="M211" s="10">
        <f t="shared" si="24"/>
        <v>11876.363154770957</v>
      </c>
      <c r="N211" s="55">
        <f t="shared" si="26"/>
        <v>30609.154996876219</v>
      </c>
      <c r="O211" s="411"/>
      <c r="P211" s="215"/>
      <c r="Q211" s="212"/>
      <c r="R211" s="212"/>
      <c r="S211" s="216"/>
    </row>
    <row r="212" spans="1:19" s="211" customFormat="1" x14ac:dyDescent="0.25">
      <c r="A212" s="300">
        <f>'A) Base RI'!A213</f>
        <v>5743</v>
      </c>
      <c r="B212" s="223" t="str">
        <f>'A) Base RI'!B213</f>
        <v>Arnex-sur-Orbe</v>
      </c>
      <c r="C212" s="238">
        <v>0</v>
      </c>
      <c r="D212" s="213">
        <f>'B) D RI'!AA213</f>
        <v>665</v>
      </c>
      <c r="E212" s="214">
        <f>'B) D RI'!S213</f>
        <v>71</v>
      </c>
      <c r="F212" s="10">
        <f>'B) D RI'!R213</f>
        <v>1315851.3650000002</v>
      </c>
      <c r="G212" s="10">
        <f>'B) D RI'!U213</f>
        <v>18533.117816901413</v>
      </c>
      <c r="H212" s="41">
        <f>'B) D RI'!T213</f>
        <v>1228143.9900000002</v>
      </c>
      <c r="I212" s="10">
        <f t="shared" si="25"/>
        <v>34595.605352112681</v>
      </c>
      <c r="J212" s="31">
        <f t="shared" si="22"/>
        <v>59432.817391812314</v>
      </c>
      <c r="K212" s="10">
        <f t="shared" si="23"/>
        <v>34595.605352112681</v>
      </c>
      <c r="L212" s="10">
        <f>'D) Ecrêtage'!C212</f>
        <v>18533.117816901413</v>
      </c>
      <c r="M212" s="10">
        <f t="shared" si="24"/>
        <v>21663.831660135176</v>
      </c>
      <c r="N212" s="55">
        <f t="shared" si="26"/>
        <v>56259.437012247858</v>
      </c>
      <c r="O212" s="411"/>
      <c r="P212" s="215"/>
      <c r="Q212" s="212"/>
      <c r="R212" s="212"/>
      <c r="S212" s="216"/>
    </row>
    <row r="213" spans="1:19" s="211" customFormat="1" x14ac:dyDescent="0.25">
      <c r="A213" s="300">
        <f>'A) Base RI'!A214</f>
        <v>5744</v>
      </c>
      <c r="B213" s="223" t="str">
        <f>'A) Base RI'!B214</f>
        <v>Ballaigues</v>
      </c>
      <c r="C213" s="238">
        <v>0</v>
      </c>
      <c r="D213" s="213">
        <f>'B) D RI'!AA214</f>
        <v>1173</v>
      </c>
      <c r="E213" s="214">
        <f>'B) D RI'!S214</f>
        <v>65</v>
      </c>
      <c r="F213" s="10">
        <f>'B) D RI'!R214</f>
        <v>3200941.8800000004</v>
      </c>
      <c r="G213" s="10">
        <f>'B) D RI'!U214</f>
        <v>49245.2596923077</v>
      </c>
      <c r="H213" s="41">
        <f>'B) D RI'!T214</f>
        <v>3009987.18</v>
      </c>
      <c r="I213" s="10">
        <f t="shared" si="25"/>
        <v>92614.990153846156</v>
      </c>
      <c r="J213" s="31">
        <f t="shared" si="22"/>
        <v>104834.12751969301</v>
      </c>
      <c r="K213" s="10">
        <f t="shared" si="23"/>
        <v>92614.990153846156</v>
      </c>
      <c r="L213" s="10">
        <f>'D) Ecrêtage'!C213</f>
        <v>49245.2596923077</v>
      </c>
      <c r="M213" s="10">
        <f t="shared" si="24"/>
        <v>57564.033562711214</v>
      </c>
      <c r="N213" s="55">
        <f t="shared" si="26"/>
        <v>150179.02371655736</v>
      </c>
      <c r="O213" s="411"/>
      <c r="P213" s="215"/>
      <c r="Q213" s="212"/>
      <c r="R213" s="212"/>
      <c r="S213" s="216"/>
    </row>
    <row r="214" spans="1:19" s="211" customFormat="1" x14ac:dyDescent="0.25">
      <c r="A214" s="300">
        <f>'A) Base RI'!A215</f>
        <v>5745</v>
      </c>
      <c r="B214" s="223" t="str">
        <f>'A) Base RI'!B215</f>
        <v>Baulmes</v>
      </c>
      <c r="C214" s="238">
        <v>0</v>
      </c>
      <c r="D214" s="213">
        <f>'B) D RI'!AA215</f>
        <v>1126</v>
      </c>
      <c r="E214" s="214">
        <f>'B) D RI'!S215</f>
        <v>76.5</v>
      </c>
      <c r="F214" s="10">
        <f>'B) D RI'!R215</f>
        <v>2178075.27</v>
      </c>
      <c r="G214" s="10">
        <f>'B) D RI'!U215</f>
        <v>28471.572156862745</v>
      </c>
      <c r="H214" s="41">
        <f>'B) D RI'!T215</f>
        <v>2032337.67</v>
      </c>
      <c r="I214" s="10">
        <f t="shared" si="25"/>
        <v>53133.010980392151</v>
      </c>
      <c r="J214" s="31">
        <f t="shared" si="22"/>
        <v>100633.61260628671</v>
      </c>
      <c r="K214" s="10">
        <f t="shared" si="23"/>
        <v>53133.010980392151</v>
      </c>
      <c r="L214" s="10">
        <f>'D) Ecrêtage'!C214</f>
        <v>28471.572156862745</v>
      </c>
      <c r="M214" s="10">
        <f t="shared" si="24"/>
        <v>33281.143108212906</v>
      </c>
      <c r="N214" s="55">
        <f t="shared" si="26"/>
        <v>86414.15408860505</v>
      </c>
      <c r="O214" s="411"/>
      <c r="P214" s="215"/>
      <c r="Q214" s="212"/>
      <c r="R214" s="212"/>
      <c r="S214" s="216"/>
    </row>
    <row r="215" spans="1:19" s="211" customFormat="1" x14ac:dyDescent="0.25">
      <c r="A215" s="300">
        <f>'A) Base RI'!A216</f>
        <v>5746</v>
      </c>
      <c r="B215" s="223" t="str">
        <f>'A) Base RI'!B216</f>
        <v>Bavois</v>
      </c>
      <c r="C215" s="238">
        <v>0</v>
      </c>
      <c r="D215" s="213">
        <f>'B) D RI'!AA216</f>
        <v>978</v>
      </c>
      <c r="E215" s="214">
        <f>'B) D RI'!S216</f>
        <v>73</v>
      </c>
      <c r="F215" s="10">
        <f>'B) D RI'!R216</f>
        <v>2000793.1183333332</v>
      </c>
      <c r="G215" s="10">
        <f>'B) D RI'!U216</f>
        <v>27408.124908675796</v>
      </c>
      <c r="H215" s="41">
        <f>'B) D RI'!T216</f>
        <v>1797196.91</v>
      </c>
      <c r="I215" s="10">
        <f t="shared" si="25"/>
        <v>49238.271506849313</v>
      </c>
      <c r="J215" s="31">
        <f t="shared" si="22"/>
        <v>87406.459261943528</v>
      </c>
      <c r="K215" s="10">
        <f t="shared" si="23"/>
        <v>49238.271506849313</v>
      </c>
      <c r="L215" s="10">
        <f>'D) Ecrêtage'!C215</f>
        <v>27408.124908675796</v>
      </c>
      <c r="M215" s="10">
        <f t="shared" si="24"/>
        <v>32038.052636778786</v>
      </c>
      <c r="N215" s="55">
        <f t="shared" si="26"/>
        <v>81276.324143628095</v>
      </c>
      <c r="O215" s="411"/>
      <c r="P215" s="215"/>
      <c r="Q215" s="212"/>
      <c r="R215" s="212"/>
      <c r="S215" s="216"/>
    </row>
    <row r="216" spans="1:19" s="211" customFormat="1" x14ac:dyDescent="0.25">
      <c r="A216" s="300">
        <f>'A) Base RI'!A217</f>
        <v>5747</v>
      </c>
      <c r="B216" s="223" t="str">
        <f>'A) Base RI'!B217</f>
        <v>Bofflens</v>
      </c>
      <c r="C216" s="238">
        <v>0</v>
      </c>
      <c r="D216" s="213">
        <f>'B) D RI'!AA217</f>
        <v>206</v>
      </c>
      <c r="E216" s="214">
        <f>'B) D RI'!S217</f>
        <v>69</v>
      </c>
      <c r="F216" s="10">
        <f>'B) D RI'!R217</f>
        <v>400764.13999999996</v>
      </c>
      <c r="G216" s="10">
        <f>'B) D RI'!U217</f>
        <v>5808.1759420289845</v>
      </c>
      <c r="H216" s="41">
        <f>'B) D RI'!T217</f>
        <v>368245.04</v>
      </c>
      <c r="I216" s="10">
        <f t="shared" si="25"/>
        <v>10673.769275362318</v>
      </c>
      <c r="J216" s="31">
        <f t="shared" si="22"/>
        <v>18410.76749280201</v>
      </c>
      <c r="K216" s="10">
        <f t="shared" si="23"/>
        <v>10673.769275362318</v>
      </c>
      <c r="L216" s="10">
        <f>'D) Ecrêtage'!C216</f>
        <v>5808.1759420289845</v>
      </c>
      <c r="M216" s="10">
        <f t="shared" si="24"/>
        <v>6789.3242304764171</v>
      </c>
      <c r="N216" s="55">
        <f t="shared" si="26"/>
        <v>17463.093505838733</v>
      </c>
      <c r="O216" s="411"/>
      <c r="P216" s="215"/>
      <c r="Q216" s="212"/>
      <c r="R216" s="212"/>
      <c r="S216" s="216"/>
    </row>
    <row r="217" spans="1:19" s="211" customFormat="1" x14ac:dyDescent="0.25">
      <c r="A217" s="300">
        <f>'A) Base RI'!A218</f>
        <v>5748</v>
      </c>
      <c r="B217" s="223" t="str">
        <f>'A) Base RI'!B218</f>
        <v>Bretonnières</v>
      </c>
      <c r="C217" s="238">
        <v>0</v>
      </c>
      <c r="D217" s="213">
        <f>'B) D RI'!AA218</f>
        <v>266</v>
      </c>
      <c r="E217" s="214">
        <f>'B) D RI'!S218</f>
        <v>70.5</v>
      </c>
      <c r="F217" s="10">
        <f>'B) D RI'!R218</f>
        <v>468374.88333333336</v>
      </c>
      <c r="G217" s="10">
        <f>'B) D RI'!U218</f>
        <v>6643.6153664302601</v>
      </c>
      <c r="H217" s="41">
        <f>'B) D RI'!T218</f>
        <v>429284.55000000005</v>
      </c>
      <c r="I217" s="10">
        <f t="shared" si="25"/>
        <v>12178.28510638298</v>
      </c>
      <c r="J217" s="31">
        <f t="shared" si="22"/>
        <v>23773.126956724926</v>
      </c>
      <c r="K217" s="10">
        <f t="shared" si="23"/>
        <v>12178.28510638298</v>
      </c>
      <c r="L217" s="10">
        <f>'D) Ecrêtage'!C217</f>
        <v>6643.6153664302601</v>
      </c>
      <c r="M217" s="10">
        <f t="shared" si="24"/>
        <v>7765.8905714060638</v>
      </c>
      <c r="N217" s="55">
        <f t="shared" si="26"/>
        <v>19944.175677789044</v>
      </c>
      <c r="O217" s="411"/>
      <c r="P217" s="215"/>
      <c r="Q217" s="212"/>
      <c r="R217" s="212"/>
      <c r="S217" s="216"/>
    </row>
    <row r="218" spans="1:19" s="211" customFormat="1" x14ac:dyDescent="0.25">
      <c r="A218" s="300">
        <f>'A) Base RI'!A219</f>
        <v>5749</v>
      </c>
      <c r="B218" s="223" t="str">
        <f>'A) Base RI'!B219</f>
        <v>Chavornay</v>
      </c>
      <c r="C218" s="238">
        <v>0</v>
      </c>
      <c r="D218" s="213">
        <f>'B) D RI'!AA219</f>
        <v>5366</v>
      </c>
      <c r="E218" s="214">
        <f>'B) D RI'!S219</f>
        <v>70.5</v>
      </c>
      <c r="F218" s="10">
        <f>'B) D RI'!R219</f>
        <v>10810372.49</v>
      </c>
      <c r="G218" s="10">
        <f>'B) D RI'!U219</f>
        <v>153338.61687943264</v>
      </c>
      <c r="H218" s="41">
        <f>'B) D RI'!T219</f>
        <v>9859793.9900000002</v>
      </c>
      <c r="I218" s="10">
        <f t="shared" ref="I218" si="27">+H218/E218*$I$5</f>
        <v>279710.46780141845</v>
      </c>
      <c r="J218" s="31">
        <f t="shared" ref="J218" si="28">+$I$314/$D$314*D218</f>
        <v>479573.68139017274</v>
      </c>
      <c r="K218" s="10">
        <f t="shared" ref="K218" si="29">IF(C218=1,0,IF(J218&gt;I218,I218,J218))</f>
        <v>279710.46780141845</v>
      </c>
      <c r="L218" s="10">
        <f>'D) Ecrêtage'!C218</f>
        <v>153338.61687943264</v>
      </c>
      <c r="M218" s="10">
        <f t="shared" ref="M218" si="30">+$M$5*L218</f>
        <v>179241.39995724615</v>
      </c>
      <c r="N218" s="55">
        <f t="shared" si="26"/>
        <v>458951.86775866459</v>
      </c>
      <c r="O218" s="411"/>
      <c r="P218" s="215"/>
      <c r="Q218" s="212"/>
      <c r="R218" s="212"/>
      <c r="S218" s="216"/>
    </row>
    <row r="219" spans="1:19" s="211" customFormat="1" x14ac:dyDescent="0.25">
      <c r="A219" s="300">
        <f>'A) Base RI'!A220</f>
        <v>5750</v>
      </c>
      <c r="B219" s="223" t="str">
        <f>'A) Base RI'!B220</f>
        <v>Les Clées</v>
      </c>
      <c r="C219" s="238">
        <v>0</v>
      </c>
      <c r="D219" s="213">
        <f>'B) D RI'!AA220</f>
        <v>182</v>
      </c>
      <c r="E219" s="214">
        <f>'B) D RI'!S220</f>
        <v>80</v>
      </c>
      <c r="F219" s="10">
        <f>'B) D RI'!R220</f>
        <v>385581.93333333335</v>
      </c>
      <c r="G219" s="10">
        <f>'B) D RI'!U220</f>
        <v>4819.774166666667</v>
      </c>
      <c r="H219" s="41">
        <f>'B) D RI'!T220</f>
        <v>362151.7</v>
      </c>
      <c r="I219" s="10">
        <f t="shared" si="25"/>
        <v>9053.7924999999996</v>
      </c>
      <c r="J219" s="31">
        <f t="shared" ref="J219:J242" si="31">+$I$314/$D$314*D219</f>
        <v>16265.823707232845</v>
      </c>
      <c r="K219" s="10">
        <f t="shared" si="23"/>
        <v>9053.7924999999996</v>
      </c>
      <c r="L219" s="10">
        <f>'D) Ecrêtage'!C219</f>
        <v>4819.774166666667</v>
      </c>
      <c r="M219" s="10">
        <f t="shared" si="24"/>
        <v>5633.9563163685898</v>
      </c>
      <c r="N219" s="55">
        <f t="shared" si="26"/>
        <v>14687.748816368588</v>
      </c>
      <c r="O219" s="411"/>
      <c r="P219" s="215"/>
      <c r="Q219" s="212"/>
      <c r="R219" s="212"/>
      <c r="S219" s="216"/>
    </row>
    <row r="220" spans="1:19" s="211" customFormat="1" x14ac:dyDescent="0.25">
      <c r="A220" s="300">
        <f>'A) Base RI'!A221</f>
        <v>5752</v>
      </c>
      <c r="B220" s="223" t="str">
        <f>'A) Base RI'!B221</f>
        <v>Croy</v>
      </c>
      <c r="C220" s="238">
        <v>0</v>
      </c>
      <c r="D220" s="213">
        <f>'B) D RI'!AA221</f>
        <v>390</v>
      </c>
      <c r="E220" s="214">
        <f>'B) D RI'!S221</f>
        <v>74</v>
      </c>
      <c r="F220" s="10">
        <f>'B) D RI'!R221</f>
        <v>715653.6471428572</v>
      </c>
      <c r="G220" s="10">
        <f>'B) D RI'!U221</f>
        <v>9670.9952316602321</v>
      </c>
      <c r="H220" s="41">
        <f>'B) D RI'!T221</f>
        <v>653369.39</v>
      </c>
      <c r="I220" s="10">
        <f t="shared" si="25"/>
        <v>17658.632162162161</v>
      </c>
      <c r="J220" s="31">
        <f t="shared" si="31"/>
        <v>34855.336515498951</v>
      </c>
      <c r="K220" s="10">
        <f t="shared" si="23"/>
        <v>17658.632162162161</v>
      </c>
      <c r="L220" s="10">
        <f>'D) Ecrêtage'!C220</f>
        <v>9670.9952316602321</v>
      </c>
      <c r="M220" s="10">
        <f t="shared" si="24"/>
        <v>11304.671710099006</v>
      </c>
      <c r="N220" s="55">
        <f t="shared" si="26"/>
        <v>28963.303872261167</v>
      </c>
      <c r="O220" s="411"/>
      <c r="P220" s="215"/>
      <c r="Q220" s="212"/>
      <c r="R220" s="212"/>
      <c r="S220" s="216"/>
    </row>
    <row r="221" spans="1:19" s="211" customFormat="1" x14ac:dyDescent="0.25">
      <c r="A221" s="300">
        <f>'A) Base RI'!A222</f>
        <v>5754</v>
      </c>
      <c r="B221" s="223" t="str">
        <f>'A) Base RI'!B222</f>
        <v>Juriens</v>
      </c>
      <c r="C221" s="238">
        <v>0</v>
      </c>
      <c r="D221" s="213">
        <f>'B) D RI'!AA222</f>
        <v>348</v>
      </c>
      <c r="E221" s="214">
        <f>'B) D RI'!S222</f>
        <v>79</v>
      </c>
      <c r="F221" s="10">
        <f>'B) D RI'!R222</f>
        <v>716821.78999999992</v>
      </c>
      <c r="G221" s="10">
        <f>'B) D RI'!U222</f>
        <v>9073.6935443037964</v>
      </c>
      <c r="H221" s="41">
        <f>'B) D RI'!T222</f>
        <v>671195.19</v>
      </c>
      <c r="I221" s="10">
        <f t="shared" si="25"/>
        <v>16992.28329113924</v>
      </c>
      <c r="J221" s="31">
        <f t="shared" si="31"/>
        <v>31101.684890752909</v>
      </c>
      <c r="K221" s="10">
        <f t="shared" si="23"/>
        <v>16992.28329113924</v>
      </c>
      <c r="L221" s="10">
        <f>'D) Ecrêtage'!C221</f>
        <v>9073.6935443037964</v>
      </c>
      <c r="M221" s="10">
        <f t="shared" si="24"/>
        <v>10606.470612310488</v>
      </c>
      <c r="N221" s="55">
        <f t="shared" si="26"/>
        <v>27598.753903449728</v>
      </c>
      <c r="O221" s="411"/>
      <c r="P221" s="215"/>
      <c r="Q221" s="212"/>
      <c r="R221" s="212"/>
      <c r="S221" s="216"/>
    </row>
    <row r="222" spans="1:19" s="211" customFormat="1" x14ac:dyDescent="0.25">
      <c r="A222" s="300">
        <f>'A) Base RI'!A223</f>
        <v>5755</v>
      </c>
      <c r="B222" s="223" t="str">
        <f>'A) Base RI'!B223</f>
        <v>Lignerolle</v>
      </c>
      <c r="C222" s="238">
        <v>0</v>
      </c>
      <c r="D222" s="213">
        <f>'B) D RI'!AA223</f>
        <v>409</v>
      </c>
      <c r="E222" s="214">
        <f>'B) D RI'!S223</f>
        <v>78.5</v>
      </c>
      <c r="F222" s="10">
        <f>'B) D RI'!R223</f>
        <v>843617.36571428576</v>
      </c>
      <c r="G222" s="10">
        <f>'B) D RI'!U223</f>
        <v>10746.718034576888</v>
      </c>
      <c r="H222" s="41">
        <f>'B) D RI'!T223</f>
        <v>775068.9800000001</v>
      </c>
      <c r="I222" s="10">
        <f t="shared" si="25"/>
        <v>19746.980382165606</v>
      </c>
      <c r="J222" s="31">
        <f t="shared" si="31"/>
        <v>36553.417012407874</v>
      </c>
      <c r="K222" s="10">
        <f t="shared" si="23"/>
        <v>19746.980382165606</v>
      </c>
      <c r="L222" s="10">
        <f>'D) Ecrêtage'!C222</f>
        <v>10746.718034576888</v>
      </c>
      <c r="M222" s="10">
        <f t="shared" si="24"/>
        <v>12562.111388926423</v>
      </c>
      <c r="N222" s="55">
        <f t="shared" si="26"/>
        <v>32309.091771092029</v>
      </c>
      <c r="O222" s="411"/>
      <c r="P222" s="215"/>
      <c r="Q222" s="212"/>
      <c r="R222" s="212"/>
      <c r="S222" s="216"/>
    </row>
    <row r="223" spans="1:19" s="211" customFormat="1" x14ac:dyDescent="0.25">
      <c r="A223" s="300">
        <f>'A) Base RI'!A224</f>
        <v>5756</v>
      </c>
      <c r="B223" s="223" t="str">
        <f>'A) Base RI'!B224</f>
        <v>Montcherand</v>
      </c>
      <c r="C223" s="238">
        <v>1</v>
      </c>
      <c r="D223" s="213">
        <f>'B) D RI'!AA224</f>
        <v>502</v>
      </c>
      <c r="E223" s="214">
        <f>'B) D RI'!S224</f>
        <v>72</v>
      </c>
      <c r="F223" s="10">
        <f>'B) D RI'!R224</f>
        <v>1277245.7599999998</v>
      </c>
      <c r="G223" s="10">
        <f>'B) D RI'!U224</f>
        <v>17739.52444444444</v>
      </c>
      <c r="H223" s="41">
        <f>'B) D RI'!T224</f>
        <v>1190765.3599999999</v>
      </c>
      <c r="I223" s="10">
        <f t="shared" si="25"/>
        <v>33076.81555555555</v>
      </c>
      <c r="J223" s="31">
        <f t="shared" si="31"/>
        <v>44865.074181488395</v>
      </c>
      <c r="K223" s="10">
        <f t="shared" si="23"/>
        <v>0</v>
      </c>
      <c r="L223" s="10">
        <f>'D) Ecrêtage'!C223</f>
        <v>17739.52444444444</v>
      </c>
      <c r="M223" s="10">
        <f t="shared" si="24"/>
        <v>20736.180231090235</v>
      </c>
      <c r="N223" s="55">
        <f t="shared" si="26"/>
        <v>20736.180231090235</v>
      </c>
      <c r="O223" s="411"/>
      <c r="P223" s="215"/>
      <c r="Q223" s="212"/>
      <c r="R223" s="212"/>
      <c r="S223" s="216"/>
    </row>
    <row r="224" spans="1:19" s="211" customFormat="1" x14ac:dyDescent="0.25">
      <c r="A224" s="300">
        <f>'A) Base RI'!A225</f>
        <v>5757</v>
      </c>
      <c r="B224" s="223" t="str">
        <f>'A) Base RI'!B225</f>
        <v>Orbe</v>
      </c>
      <c r="C224" s="238">
        <v>1</v>
      </c>
      <c r="D224" s="213">
        <f>'B) D RI'!AA225</f>
        <v>7570</v>
      </c>
      <c r="E224" s="214">
        <f>'B) D RI'!S225</f>
        <v>75.5</v>
      </c>
      <c r="F224" s="10">
        <f>'B) D RI'!R225</f>
        <v>16321954.15</v>
      </c>
      <c r="G224" s="10">
        <f>'B) D RI'!U225</f>
        <v>216184.82317880794</v>
      </c>
      <c r="H224" s="41">
        <f>'B) D RI'!T225</f>
        <v>14803801.949999999</v>
      </c>
      <c r="I224" s="10">
        <f t="shared" si="25"/>
        <v>392153.69403973507</v>
      </c>
      <c r="J224" s="31">
        <f t="shared" si="31"/>
        <v>676551.0190316079</v>
      </c>
      <c r="K224" s="10">
        <f t="shared" si="23"/>
        <v>0</v>
      </c>
      <c r="L224" s="10">
        <f>'D) Ecrêtage'!C224</f>
        <v>216184.82317880794</v>
      </c>
      <c r="M224" s="10">
        <f t="shared" si="24"/>
        <v>252703.92510809653</v>
      </c>
      <c r="N224" s="55">
        <f t="shared" si="26"/>
        <v>252703.92510809653</v>
      </c>
      <c r="O224" s="411"/>
      <c r="P224" s="215"/>
      <c r="Q224" s="212"/>
      <c r="R224" s="212"/>
      <c r="S224" s="216"/>
    </row>
    <row r="225" spans="1:19" s="211" customFormat="1" x14ac:dyDescent="0.25">
      <c r="A225" s="300">
        <f>'A) Base RI'!A226</f>
        <v>5758</v>
      </c>
      <c r="B225" s="223" t="str">
        <f>'A) Base RI'!B226</f>
        <v>La Praz</v>
      </c>
      <c r="C225" s="238">
        <v>0</v>
      </c>
      <c r="D225" s="213">
        <f>'B) D RI'!AA226</f>
        <v>182</v>
      </c>
      <c r="E225" s="214">
        <f>'B) D RI'!S226</f>
        <v>83</v>
      </c>
      <c r="F225" s="10">
        <f>'B) D RI'!R226</f>
        <v>396064.89000000007</v>
      </c>
      <c r="G225" s="10">
        <f>'B) D RI'!U226</f>
        <v>4771.8661445783146</v>
      </c>
      <c r="H225" s="41">
        <f>'B) D RI'!T226</f>
        <v>366661.39000000007</v>
      </c>
      <c r="I225" s="10">
        <f t="shared" si="25"/>
        <v>8835.2142168674709</v>
      </c>
      <c r="J225" s="31">
        <f t="shared" si="31"/>
        <v>16265.823707232845</v>
      </c>
      <c r="K225" s="10">
        <f t="shared" si="23"/>
        <v>8835.2142168674709</v>
      </c>
      <c r="L225" s="10">
        <f>'D) Ecrêtage'!C225</f>
        <v>4771.8661445783146</v>
      </c>
      <c r="M225" s="10">
        <f t="shared" si="24"/>
        <v>5577.9554137711002</v>
      </c>
      <c r="N225" s="55">
        <f t="shared" si="26"/>
        <v>14413.169630638571</v>
      </c>
      <c r="O225" s="411"/>
      <c r="P225" s="215"/>
      <c r="Q225" s="212"/>
      <c r="R225" s="212"/>
      <c r="S225" s="216"/>
    </row>
    <row r="226" spans="1:19" s="211" customFormat="1" x14ac:dyDescent="0.25">
      <c r="A226" s="300">
        <f>'A) Base RI'!A227</f>
        <v>5759</v>
      </c>
      <c r="B226" s="223" t="str">
        <f>'A) Base RI'!B227</f>
        <v>Premier</v>
      </c>
      <c r="C226" s="238">
        <v>0</v>
      </c>
      <c r="D226" s="213">
        <f>'B) D RI'!AA227</f>
        <v>232</v>
      </c>
      <c r="E226" s="214">
        <f>'B) D RI'!S227</f>
        <v>79.5</v>
      </c>
      <c r="F226" s="10">
        <f>'B) D RI'!R227</f>
        <v>469054.54999999993</v>
      </c>
      <c r="G226" s="10">
        <f>'B) D RI'!U227</f>
        <v>5900.0572327044019</v>
      </c>
      <c r="H226" s="41">
        <f>'B) D RI'!T227</f>
        <v>436767.89999999991</v>
      </c>
      <c r="I226" s="10">
        <f t="shared" si="25"/>
        <v>10987.871698113206</v>
      </c>
      <c r="J226" s="31">
        <f t="shared" si="31"/>
        <v>20734.456593835275</v>
      </c>
      <c r="K226" s="10">
        <f t="shared" si="23"/>
        <v>10987.871698113206</v>
      </c>
      <c r="L226" s="10">
        <f>'D) Ecrêtage'!C226</f>
        <v>5900.0572327044019</v>
      </c>
      <c r="M226" s="10">
        <f t="shared" si="24"/>
        <v>6896.7266024665705</v>
      </c>
      <c r="N226" s="55">
        <f t="shared" si="26"/>
        <v>17884.598300579775</v>
      </c>
      <c r="O226" s="411"/>
      <c r="P226" s="215"/>
      <c r="Q226" s="212"/>
      <c r="R226" s="212"/>
      <c r="S226" s="216"/>
    </row>
    <row r="227" spans="1:19" s="211" customFormat="1" x14ac:dyDescent="0.25">
      <c r="A227" s="300">
        <f>'A) Base RI'!A228</f>
        <v>5760</v>
      </c>
      <c r="B227" s="223" t="str">
        <f>'A) Base RI'!B228</f>
        <v>Rances</v>
      </c>
      <c r="C227" s="238">
        <v>0</v>
      </c>
      <c r="D227" s="213">
        <f>'B) D RI'!AA228</f>
        <v>512</v>
      </c>
      <c r="E227" s="214">
        <f>'B) D RI'!S228</f>
        <v>76.5</v>
      </c>
      <c r="F227" s="10">
        <f>'B) D RI'!R228</f>
        <v>1107864.7733333332</v>
      </c>
      <c r="G227" s="10">
        <f>'B) D RI'!U228</f>
        <v>14481.892461873636</v>
      </c>
      <c r="H227" s="41">
        <f>'B) D RI'!T228</f>
        <v>1025769.44</v>
      </c>
      <c r="I227" s="10">
        <f t="shared" si="25"/>
        <v>26817.501699346405</v>
      </c>
      <c r="J227" s="31">
        <f t="shared" si="31"/>
        <v>45758.80075880888</v>
      </c>
      <c r="K227" s="10">
        <f t="shared" si="23"/>
        <v>26817.501699346405</v>
      </c>
      <c r="L227" s="10">
        <f>'D) Ecrêtage'!C227</f>
        <v>14481.892461873636</v>
      </c>
      <c r="M227" s="10">
        <f t="shared" si="24"/>
        <v>16928.251550211353</v>
      </c>
      <c r="N227" s="55">
        <f t="shared" si="26"/>
        <v>43745.753249557762</v>
      </c>
      <c r="O227" s="411"/>
      <c r="P227" s="215"/>
      <c r="Q227" s="212"/>
      <c r="R227" s="212"/>
      <c r="S227" s="216"/>
    </row>
    <row r="228" spans="1:19" s="211" customFormat="1" x14ac:dyDescent="0.25">
      <c r="A228" s="300">
        <f>'A) Base RI'!A229</f>
        <v>5761</v>
      </c>
      <c r="B228" s="223" t="str">
        <f>'A) Base RI'!B229</f>
        <v>Romainmôtier-Envy</v>
      </c>
      <c r="C228" s="238">
        <v>0</v>
      </c>
      <c r="D228" s="213">
        <f>'B) D RI'!AA229</f>
        <v>551</v>
      </c>
      <c r="E228" s="214">
        <f>'B) D RI'!S229</f>
        <v>81</v>
      </c>
      <c r="F228" s="10">
        <f>'B) D RI'!R229</f>
        <v>1046032.7681818183</v>
      </c>
      <c r="G228" s="10">
        <f>'B) D RI'!U229</f>
        <v>12913.984792368126</v>
      </c>
      <c r="H228" s="41">
        <f>'B) D RI'!T229</f>
        <v>954664.15</v>
      </c>
      <c r="I228" s="10">
        <f t="shared" si="25"/>
        <v>23571.954320987654</v>
      </c>
      <c r="J228" s="31">
        <f t="shared" si="31"/>
        <v>49244.334410358773</v>
      </c>
      <c r="K228" s="10">
        <f t="shared" si="23"/>
        <v>23571.954320987654</v>
      </c>
      <c r="L228" s="10">
        <f>'D) Ecrêtage'!C228</f>
        <v>12913.984792368126</v>
      </c>
      <c r="M228" s="10">
        <f t="shared" si="24"/>
        <v>15095.484492537666</v>
      </c>
      <c r="N228" s="55">
        <f t="shared" si="26"/>
        <v>38667.438813525318</v>
      </c>
      <c r="O228" s="411"/>
      <c r="P228" s="215"/>
      <c r="Q228" s="212"/>
      <c r="R228" s="212"/>
      <c r="S228" s="216"/>
    </row>
    <row r="229" spans="1:19" s="211" customFormat="1" x14ac:dyDescent="0.25">
      <c r="A229" s="300">
        <f>'A) Base RI'!A230</f>
        <v>5762</v>
      </c>
      <c r="B229" s="223" t="str">
        <f>'A) Base RI'!B230</f>
        <v>Sergey</v>
      </c>
      <c r="C229" s="238">
        <v>0</v>
      </c>
      <c r="D229" s="213">
        <f>'B) D RI'!AA230</f>
        <v>141</v>
      </c>
      <c r="E229" s="214">
        <f>'B) D RI'!S230</f>
        <v>78</v>
      </c>
      <c r="F229" s="10">
        <f>'B) D RI'!R230</f>
        <v>300271.01</v>
      </c>
      <c r="G229" s="10">
        <f>'B) D RI'!U230</f>
        <v>3849.6283333333336</v>
      </c>
      <c r="H229" s="41">
        <f>'B) D RI'!T230</f>
        <v>278758.31</v>
      </c>
      <c r="I229" s="10">
        <f t="shared" si="25"/>
        <v>7147.6489743589746</v>
      </c>
      <c r="J229" s="31">
        <f t="shared" si="31"/>
        <v>12601.544740218851</v>
      </c>
      <c r="K229" s="10">
        <f t="shared" si="23"/>
        <v>7147.6489743589746</v>
      </c>
      <c r="L229" s="10">
        <f>'D) Ecrêtage'!C229</f>
        <v>3849.6283333333336</v>
      </c>
      <c r="M229" s="10">
        <f t="shared" si="24"/>
        <v>4499.9282361095729</v>
      </c>
      <c r="N229" s="55">
        <f t="shared" si="26"/>
        <v>11647.577210468547</v>
      </c>
      <c r="O229" s="411"/>
      <c r="P229" s="215"/>
      <c r="Q229" s="212"/>
      <c r="R229" s="212"/>
      <c r="S229" s="216"/>
    </row>
    <row r="230" spans="1:19" s="211" customFormat="1" x14ac:dyDescent="0.25">
      <c r="A230" s="300">
        <f>'A) Base RI'!A231</f>
        <v>5763</v>
      </c>
      <c r="B230" s="223" t="str">
        <f>'A) Base RI'!B231</f>
        <v>Valeyres-sous-Rances</v>
      </c>
      <c r="C230" s="238">
        <v>0</v>
      </c>
      <c r="D230" s="213">
        <f>'B) D RI'!AA231</f>
        <v>614</v>
      </c>
      <c r="E230" s="214">
        <f>'B) D RI'!S231</f>
        <v>68</v>
      </c>
      <c r="F230" s="10">
        <f>'B) D RI'!R231</f>
        <v>1541150.1999999997</v>
      </c>
      <c r="G230" s="10">
        <f>'B) D RI'!U231</f>
        <v>22663.97352941176</v>
      </c>
      <c r="H230" s="41">
        <f>'B) D RI'!T231</f>
        <v>1442987.5499999998</v>
      </c>
      <c r="I230" s="10">
        <f t="shared" si="25"/>
        <v>42440.81029411764</v>
      </c>
      <c r="J230" s="31">
        <f t="shared" si="31"/>
        <v>54874.811847477838</v>
      </c>
      <c r="K230" s="10">
        <f t="shared" si="23"/>
        <v>42440.81029411764</v>
      </c>
      <c r="L230" s="10">
        <f>'D) Ecrêtage'!C230</f>
        <v>22663.97352941176</v>
      </c>
      <c r="M230" s="10">
        <f t="shared" si="24"/>
        <v>26492.493715395012</v>
      </c>
      <c r="N230" s="55">
        <f t="shared" si="26"/>
        <v>68933.304009512649</v>
      </c>
      <c r="O230" s="411"/>
      <c r="P230" s="215"/>
      <c r="Q230" s="212"/>
      <c r="R230" s="212"/>
      <c r="S230" s="216"/>
    </row>
    <row r="231" spans="1:19" s="211" customFormat="1" x14ac:dyDescent="0.25">
      <c r="A231" s="300">
        <f>'A) Base RI'!A232</f>
        <v>5764</v>
      </c>
      <c r="B231" s="223" t="str">
        <f>'A) Base RI'!B232</f>
        <v>Vallorbe</v>
      </c>
      <c r="C231" s="238">
        <v>0</v>
      </c>
      <c r="D231" s="213">
        <f>'B) D RI'!AA232</f>
        <v>3924</v>
      </c>
      <c r="E231" s="214">
        <f>'B) D RI'!S232</f>
        <v>71.5</v>
      </c>
      <c r="F231" s="10">
        <f>'B) D RI'!R232</f>
        <v>5983290.3699999992</v>
      </c>
      <c r="G231" s="10">
        <f>'B) D RI'!U232</f>
        <v>83682.382797202779</v>
      </c>
      <c r="H231" s="41">
        <f>'B) D RI'!T232</f>
        <v>5473249.5199999996</v>
      </c>
      <c r="I231" s="10">
        <f t="shared" si="25"/>
        <v>153097.88867132866</v>
      </c>
      <c r="J231" s="31">
        <f t="shared" si="31"/>
        <v>350698.30894055869</v>
      </c>
      <c r="K231" s="10">
        <f t="shared" si="23"/>
        <v>153097.88867132866</v>
      </c>
      <c r="L231" s="10">
        <f>'D) Ecrêtage'!C231</f>
        <v>83682.382797202779</v>
      </c>
      <c r="M231" s="10">
        <f t="shared" si="24"/>
        <v>97818.460539020714</v>
      </c>
      <c r="N231" s="55">
        <f t="shared" si="26"/>
        <v>250916.34921034938</v>
      </c>
      <c r="O231" s="411"/>
      <c r="P231" s="215"/>
      <c r="Q231" s="212"/>
      <c r="R231" s="212"/>
      <c r="S231" s="216"/>
    </row>
    <row r="232" spans="1:19" s="211" customFormat="1" x14ac:dyDescent="0.25">
      <c r="A232" s="300">
        <f>'A) Base RI'!A233</f>
        <v>5765</v>
      </c>
      <c r="B232" s="223" t="str">
        <f>'A) Base RI'!B233</f>
        <v>Vaulion</v>
      </c>
      <c r="C232" s="238">
        <v>0</v>
      </c>
      <c r="D232" s="213">
        <f>'B) D RI'!AA233</f>
        <v>492</v>
      </c>
      <c r="E232" s="214">
        <f>'B) D RI'!S233</f>
        <v>81</v>
      </c>
      <c r="F232" s="10">
        <f>'B) D RI'!R233</f>
        <v>832637.8</v>
      </c>
      <c r="G232" s="10">
        <f>'B) D RI'!U233</f>
        <v>10279.479012345679</v>
      </c>
      <c r="H232" s="41">
        <f>'B) D RI'!T233</f>
        <v>767410</v>
      </c>
      <c r="I232" s="10">
        <f t="shared" si="25"/>
        <v>18948.395061728395</v>
      </c>
      <c r="J232" s="31">
        <f t="shared" si="31"/>
        <v>43971.34760416791</v>
      </c>
      <c r="K232" s="10">
        <f t="shared" si="23"/>
        <v>18948.395061728395</v>
      </c>
      <c r="L232" s="10">
        <f>'D) Ecrêtage'!C232</f>
        <v>10279.479012345679</v>
      </c>
      <c r="M232" s="10">
        <f t="shared" si="24"/>
        <v>12015.943840504966</v>
      </c>
      <c r="N232" s="55">
        <f t="shared" si="26"/>
        <v>30964.338902233361</v>
      </c>
      <c r="O232" s="411"/>
      <c r="P232" s="215"/>
      <c r="Q232" s="212"/>
      <c r="R232" s="212"/>
      <c r="S232" s="216"/>
    </row>
    <row r="233" spans="1:19" s="211" customFormat="1" x14ac:dyDescent="0.25">
      <c r="A233" s="300">
        <f>'A) Base RI'!A234</f>
        <v>5766</v>
      </c>
      <c r="B233" s="223" t="str">
        <f>'A) Base RI'!B234</f>
        <v>Vuiteboeuf</v>
      </c>
      <c r="C233" s="238">
        <v>0</v>
      </c>
      <c r="D233" s="213">
        <f>'B) D RI'!AA234</f>
        <v>591</v>
      </c>
      <c r="E233" s="214">
        <f>'B) D RI'!S234</f>
        <v>75</v>
      </c>
      <c r="F233" s="10">
        <f>'B) D RI'!R234</f>
        <v>1166557.6428571427</v>
      </c>
      <c r="G233" s="10">
        <f>'B) D RI'!U234</f>
        <v>15554.101904761903</v>
      </c>
      <c r="H233" s="41">
        <f>'B) D RI'!T234</f>
        <v>1081691.3499999999</v>
      </c>
      <c r="I233" s="10">
        <f t="shared" si="25"/>
        <v>28845.102666666662</v>
      </c>
      <c r="J233" s="31">
        <f t="shared" si="31"/>
        <v>52819.240719640722</v>
      </c>
      <c r="K233" s="10">
        <f t="shared" si="23"/>
        <v>28845.102666666662</v>
      </c>
      <c r="L233" s="10">
        <f>'D) Ecrêtage'!C233</f>
        <v>15554.101904761903</v>
      </c>
      <c r="M233" s="10">
        <f t="shared" si="24"/>
        <v>18181.584373356505</v>
      </c>
      <c r="N233" s="55">
        <f t="shared" si="26"/>
        <v>47026.687040023171</v>
      </c>
      <c r="O233" s="411"/>
      <c r="P233" s="215"/>
      <c r="Q233" s="212"/>
      <c r="R233" s="212"/>
      <c r="S233" s="216"/>
    </row>
    <row r="234" spans="1:19" s="211" customFormat="1" x14ac:dyDescent="0.25">
      <c r="A234" s="300">
        <f>'A) Base RI'!A235</f>
        <v>5785</v>
      </c>
      <c r="B234" s="223" t="str">
        <f>'A) Base RI'!B235</f>
        <v>Corcelles-le-Jorat</v>
      </c>
      <c r="C234" s="238">
        <v>0</v>
      </c>
      <c r="D234" s="213">
        <f>'B) D RI'!AA235</f>
        <v>489</v>
      </c>
      <c r="E234" s="214">
        <f>'B) D RI'!S235</f>
        <v>77</v>
      </c>
      <c r="F234" s="10">
        <f>'B) D RI'!R235</f>
        <v>1122655.45</v>
      </c>
      <c r="G234" s="10">
        <f>'B) D RI'!U235</f>
        <v>14579.940909090908</v>
      </c>
      <c r="H234" s="41">
        <f>'B) D RI'!T235</f>
        <v>1045258.9999999999</v>
      </c>
      <c r="I234" s="10">
        <f t="shared" si="25"/>
        <v>27149.584415584413</v>
      </c>
      <c r="J234" s="31">
        <f t="shared" si="31"/>
        <v>43703.229630971764</v>
      </c>
      <c r="K234" s="10">
        <f t="shared" si="23"/>
        <v>27149.584415584413</v>
      </c>
      <c r="L234" s="10">
        <f>'D) Ecrêtage'!C234</f>
        <v>14579.940909090908</v>
      </c>
      <c r="M234" s="10">
        <f t="shared" si="24"/>
        <v>17042.862867963599</v>
      </c>
      <c r="N234" s="55">
        <f t="shared" si="26"/>
        <v>44192.447283548012</v>
      </c>
      <c r="O234" s="411"/>
      <c r="P234" s="215"/>
      <c r="Q234" s="212"/>
      <c r="R234" s="212"/>
      <c r="S234" s="216"/>
    </row>
    <row r="235" spans="1:19" s="211" customFormat="1" x14ac:dyDescent="0.25">
      <c r="A235" s="300">
        <f>'A) Base RI'!A236</f>
        <v>5788</v>
      </c>
      <c r="B235" s="223" t="str">
        <f>'A) Base RI'!B236</f>
        <v>Essertes</v>
      </c>
      <c r="C235" s="238">
        <v>0</v>
      </c>
      <c r="D235" s="213">
        <f>'B) D RI'!AA236</f>
        <v>397</v>
      </c>
      <c r="E235" s="214">
        <f>'B) D RI'!S236</f>
        <v>71.5</v>
      </c>
      <c r="F235" s="10">
        <f>'B) D RI'!R236</f>
        <v>952018.99999999988</v>
      </c>
      <c r="G235" s="10">
        <f>'B) D RI'!U236</f>
        <v>13314.951048951047</v>
      </c>
      <c r="H235" s="41">
        <f>'B) D RI'!T236</f>
        <v>852382.35999999987</v>
      </c>
      <c r="I235" s="10">
        <f t="shared" si="25"/>
        <v>23842.863216783215</v>
      </c>
      <c r="J235" s="31">
        <f t="shared" si="31"/>
        <v>35480.945119623291</v>
      </c>
      <c r="K235" s="10">
        <f t="shared" si="23"/>
        <v>23842.863216783215</v>
      </c>
      <c r="L235" s="10">
        <f>'D) Ecrêtage'!C235</f>
        <v>13314.951048951047</v>
      </c>
      <c r="M235" s="10">
        <f t="shared" si="24"/>
        <v>15564.184123642652</v>
      </c>
      <c r="N235" s="55">
        <f t="shared" si="26"/>
        <v>39407.047340425866</v>
      </c>
      <c r="O235" s="411"/>
      <c r="P235" s="215"/>
      <c r="Q235" s="212"/>
      <c r="R235" s="212"/>
      <c r="S235" s="216"/>
    </row>
    <row r="236" spans="1:19" s="211" customFormat="1" x14ac:dyDescent="0.25">
      <c r="A236" s="300">
        <f>'A) Base RI'!A237</f>
        <v>5790</v>
      </c>
      <c r="B236" s="223" t="str">
        <f>'A) Base RI'!B237</f>
        <v>Maracon</v>
      </c>
      <c r="C236" s="238">
        <v>0</v>
      </c>
      <c r="D236" s="213">
        <f>'B) D RI'!AA237</f>
        <v>547</v>
      </c>
      <c r="E236" s="214">
        <f>'B) D RI'!S237</f>
        <v>74.5</v>
      </c>
      <c r="F236" s="10">
        <f>'B) D RI'!R237</f>
        <v>1130317.77</v>
      </c>
      <c r="G236" s="10">
        <f>'B) D RI'!U237</f>
        <v>15172.050604026846</v>
      </c>
      <c r="H236" s="41">
        <f>'B) D RI'!T237</f>
        <v>1029435.0700000001</v>
      </c>
      <c r="I236" s="10">
        <f t="shared" si="25"/>
        <v>27635.840805369131</v>
      </c>
      <c r="J236" s="31">
        <f t="shared" si="31"/>
        <v>48886.843779430579</v>
      </c>
      <c r="K236" s="10">
        <f t="shared" si="23"/>
        <v>27635.840805369131</v>
      </c>
      <c r="L236" s="10">
        <f>'D) Ecrêtage'!C236</f>
        <v>15172.050604026846</v>
      </c>
      <c r="M236" s="10">
        <f t="shared" si="24"/>
        <v>17734.994914074487</v>
      </c>
      <c r="N236" s="55">
        <f t="shared" si="26"/>
        <v>45370.835719443618</v>
      </c>
      <c r="O236" s="411"/>
      <c r="P236" s="215"/>
      <c r="Q236" s="212"/>
      <c r="R236" s="212"/>
      <c r="S236" s="216"/>
    </row>
    <row r="237" spans="1:19" s="211" customFormat="1" x14ac:dyDescent="0.25">
      <c r="A237" s="300">
        <f>'A) Base RI'!A238</f>
        <v>5792</v>
      </c>
      <c r="B237" s="223" t="str">
        <f>'A) Base RI'!B238</f>
        <v>Montpreveyres</v>
      </c>
      <c r="C237" s="238">
        <v>0</v>
      </c>
      <c r="D237" s="213">
        <f>'B) D RI'!AA238</f>
        <v>662</v>
      </c>
      <c r="E237" s="214">
        <f>'B) D RI'!S238</f>
        <v>75.5</v>
      </c>
      <c r="F237" s="10">
        <f>'B) D RI'!R238</f>
        <v>1521010.6400000001</v>
      </c>
      <c r="G237" s="10">
        <f>'B) D RI'!U238</f>
        <v>20145.836291390729</v>
      </c>
      <c r="H237" s="41">
        <f>'B) D RI'!T238</f>
        <v>1397655.7400000002</v>
      </c>
      <c r="I237" s="10">
        <f t="shared" si="25"/>
        <v>37023.993112582786</v>
      </c>
      <c r="J237" s="31">
        <f t="shared" si="31"/>
        <v>59164.699418616168</v>
      </c>
      <c r="K237" s="10">
        <f t="shared" si="23"/>
        <v>37023.993112582786</v>
      </c>
      <c r="L237" s="10">
        <f>'D) Ecrêtage'!C237</f>
        <v>20145.836291390729</v>
      </c>
      <c r="M237" s="10">
        <f t="shared" si="24"/>
        <v>23548.979204746633</v>
      </c>
      <c r="N237" s="55">
        <f t="shared" si="26"/>
        <v>60572.972317329419</v>
      </c>
      <c r="O237" s="411"/>
      <c r="P237" s="215"/>
      <c r="Q237" s="212"/>
      <c r="R237" s="212"/>
      <c r="S237" s="216"/>
    </row>
    <row r="238" spans="1:19" s="211" customFormat="1" x14ac:dyDescent="0.25">
      <c r="A238" s="300">
        <f>'A) Base RI'!A239</f>
        <v>5798</v>
      </c>
      <c r="B238" s="223" t="str">
        <f>'A) Base RI'!B239</f>
        <v>Ropraz</v>
      </c>
      <c r="C238" s="238">
        <v>0</v>
      </c>
      <c r="D238" s="213">
        <f>'B) D RI'!AA239</f>
        <v>534</v>
      </c>
      <c r="E238" s="214">
        <f>'B) D RI'!S239</f>
        <v>77.5</v>
      </c>
      <c r="F238" s="10">
        <f>'B) D RI'!R239</f>
        <v>1351972.4000000001</v>
      </c>
      <c r="G238" s="10">
        <f>'B) D RI'!U239</f>
        <v>17444.805161290325</v>
      </c>
      <c r="H238" s="41">
        <f>'B) D RI'!T239</f>
        <v>1252173.25</v>
      </c>
      <c r="I238" s="10">
        <f t="shared" si="25"/>
        <v>32314.148387096775</v>
      </c>
      <c r="J238" s="31">
        <f t="shared" si="31"/>
        <v>47724.999228913948</v>
      </c>
      <c r="K238" s="10">
        <f t="shared" si="23"/>
        <v>32314.148387096775</v>
      </c>
      <c r="L238" s="10">
        <f>'D) Ecrêtage'!C238</f>
        <v>17444.805161290325</v>
      </c>
      <c r="M238" s="10">
        <f t="shared" si="24"/>
        <v>20391.675383048758</v>
      </c>
      <c r="N238" s="55">
        <f t="shared" si="26"/>
        <v>52705.823770145536</v>
      </c>
      <c r="O238" s="411"/>
      <c r="P238" s="215"/>
      <c r="Q238" s="212"/>
      <c r="R238" s="212"/>
      <c r="S238" s="216"/>
    </row>
    <row r="239" spans="1:19" s="211" customFormat="1" x14ac:dyDescent="0.25">
      <c r="A239" s="300">
        <f>'A) Base RI'!A240</f>
        <v>5799</v>
      </c>
      <c r="B239" s="223" t="str">
        <f>'A) Base RI'!B240</f>
        <v>Servion</v>
      </c>
      <c r="C239" s="238">
        <v>0</v>
      </c>
      <c r="D239" s="213">
        <f>'B) D RI'!AA240</f>
        <v>2107</v>
      </c>
      <c r="E239" s="214">
        <f>'B) D RI'!S240</f>
        <v>69</v>
      </c>
      <c r="F239" s="10">
        <f>'B) D RI'!R240</f>
        <v>4950354.1800000016</v>
      </c>
      <c r="G239" s="10">
        <f>'B) D RI'!U240</f>
        <v>71744.263478260895</v>
      </c>
      <c r="H239" s="41">
        <f>'B) D RI'!T240</f>
        <v>4513154.580000001</v>
      </c>
      <c r="I239" s="10">
        <f t="shared" si="25"/>
        <v>130816.07478260873</v>
      </c>
      <c r="J239" s="31">
        <f t="shared" si="31"/>
        <v>188308.18984142639</v>
      </c>
      <c r="K239" s="10">
        <f t="shared" si="23"/>
        <v>130816.07478260873</v>
      </c>
      <c r="L239" s="10">
        <f>'D) Ecrêtage'!C239</f>
        <v>71744.263478260895</v>
      </c>
      <c r="M239" s="10">
        <f t="shared" si="24"/>
        <v>83863.689959172072</v>
      </c>
      <c r="N239" s="55">
        <f t="shared" si="26"/>
        <v>214679.76474178082</v>
      </c>
      <c r="O239" s="411"/>
      <c r="P239" s="215"/>
      <c r="Q239" s="212"/>
      <c r="R239" s="212"/>
      <c r="S239" s="216"/>
    </row>
    <row r="240" spans="1:19" s="211" customFormat="1" x14ac:dyDescent="0.25">
      <c r="A240" s="300">
        <f>'A) Base RI'!A241</f>
        <v>5803</v>
      </c>
      <c r="B240" s="223" t="str">
        <f>'A) Base RI'!B241</f>
        <v>Vulliens</v>
      </c>
      <c r="C240" s="238">
        <v>0</v>
      </c>
      <c r="D240" s="213">
        <f>'B) D RI'!AA241</f>
        <v>631</v>
      </c>
      <c r="E240" s="214">
        <f>'B) D RI'!S241</f>
        <v>76</v>
      </c>
      <c r="F240" s="10">
        <f>'B) D RI'!R241</f>
        <v>1367710.2900000003</v>
      </c>
      <c r="G240" s="10">
        <f>'B) D RI'!U241</f>
        <v>17996.188026315795</v>
      </c>
      <c r="H240" s="41">
        <f>'B) D RI'!T241</f>
        <v>1264301.4400000002</v>
      </c>
      <c r="I240" s="10">
        <f t="shared" si="25"/>
        <v>33271.090526315791</v>
      </c>
      <c r="J240" s="31">
        <f t="shared" si="31"/>
        <v>56394.147028922664</v>
      </c>
      <c r="K240" s="10">
        <f t="shared" si="23"/>
        <v>33271.090526315791</v>
      </c>
      <c r="L240" s="10">
        <f>'D) Ecrêtage'!C240</f>
        <v>17996.188026315795</v>
      </c>
      <c r="M240" s="10">
        <f t="shared" si="24"/>
        <v>21036.200804308497</v>
      </c>
      <c r="N240" s="55">
        <f t="shared" si="26"/>
        <v>54307.291330624284</v>
      </c>
      <c r="O240" s="411"/>
      <c r="P240" s="215"/>
      <c r="Q240" s="212"/>
      <c r="R240" s="212"/>
      <c r="S240" s="216"/>
    </row>
    <row r="241" spans="1:19" s="211" customFormat="1" x14ac:dyDescent="0.25">
      <c r="A241" s="300">
        <f>'A) Base RI'!A242</f>
        <v>5804</v>
      </c>
      <c r="B241" s="223" t="str">
        <f>'A) Base RI'!B242</f>
        <v>Jorat-Menthue</v>
      </c>
      <c r="C241" s="238">
        <v>0</v>
      </c>
      <c r="D241" s="213">
        <f>'B) D RI'!AA242</f>
        <v>1603</v>
      </c>
      <c r="E241" s="214">
        <f>'B) D RI'!S242</f>
        <v>70.5</v>
      </c>
      <c r="F241" s="10">
        <f>'B) D RI'!R242</f>
        <v>3303236.9299999997</v>
      </c>
      <c r="G241" s="10">
        <f>'B) D RI'!U242</f>
        <v>46854.424539007086</v>
      </c>
      <c r="H241" s="41">
        <f>'B) D RI'!T242</f>
        <v>3025181.03</v>
      </c>
      <c r="I241" s="10">
        <f t="shared" si="25"/>
        <v>85820.738439716311</v>
      </c>
      <c r="J241" s="31">
        <f t="shared" si="31"/>
        <v>143264.37034447389</v>
      </c>
      <c r="K241" s="10">
        <f t="shared" si="23"/>
        <v>85820.738439716311</v>
      </c>
      <c r="L241" s="10">
        <f>'D) Ecrêtage'!C241</f>
        <v>46854.424539007086</v>
      </c>
      <c r="M241" s="10">
        <f t="shared" si="24"/>
        <v>54769.325688950034</v>
      </c>
      <c r="N241" s="55">
        <f t="shared" si="26"/>
        <v>140590.06412866636</v>
      </c>
      <c r="O241" s="411"/>
      <c r="P241" s="215"/>
      <c r="Q241" s="212"/>
      <c r="R241" s="212"/>
      <c r="S241" s="216"/>
    </row>
    <row r="242" spans="1:19" s="211" customFormat="1" x14ac:dyDescent="0.25">
      <c r="A242" s="300">
        <f>'A) Base RI'!A243</f>
        <v>5805</v>
      </c>
      <c r="B242" s="223" t="str">
        <f>'A) Base RI'!B243</f>
        <v>Oron</v>
      </c>
      <c r="C242" s="238">
        <v>0</v>
      </c>
      <c r="D242" s="213">
        <f>'B) D RI'!AA243</f>
        <v>5703</v>
      </c>
      <c r="E242" s="214">
        <f>'B) D RI'!S243</f>
        <v>69</v>
      </c>
      <c r="F242" s="10">
        <f>'B) D RI'!R243</f>
        <v>11185975.368181817</v>
      </c>
      <c r="G242" s="10">
        <f>'B) D RI'!U243</f>
        <v>162115.58504611329</v>
      </c>
      <c r="H242" s="41">
        <f>'B) D RI'!T243</f>
        <v>10147193.449999999</v>
      </c>
      <c r="I242" s="10">
        <f t="shared" si="25"/>
        <v>294121.54927536228</v>
      </c>
      <c r="J242" s="31">
        <f t="shared" si="31"/>
        <v>509692.26704587316</v>
      </c>
      <c r="K242" s="10">
        <f t="shared" si="23"/>
        <v>294121.54927536228</v>
      </c>
      <c r="L242" s="10">
        <f>'D) Ecrêtage'!C242</f>
        <v>162115.58504611329</v>
      </c>
      <c r="M242" s="10">
        <f t="shared" si="24"/>
        <v>189501.02074678935</v>
      </c>
      <c r="N242" s="55">
        <f t="shared" si="26"/>
        <v>483622.57002215163</v>
      </c>
      <c r="O242" s="411"/>
      <c r="P242" s="215"/>
      <c r="Q242" s="212"/>
      <c r="R242" s="212"/>
      <c r="S242" s="216"/>
    </row>
    <row r="243" spans="1:19" s="211" customFormat="1" x14ac:dyDescent="0.25">
      <c r="A243" s="300">
        <f>'A) Base RI'!A244</f>
        <v>5806</v>
      </c>
      <c r="B243" s="223" t="str">
        <f>'A) Base RI'!B244</f>
        <v>Jorat-Mézières</v>
      </c>
      <c r="C243" s="238">
        <v>0</v>
      </c>
      <c r="D243" s="213">
        <f>'B) D RI'!AA244</f>
        <v>3095</v>
      </c>
      <c r="E243" s="214">
        <f>'B) D RI'!S244</f>
        <v>73</v>
      </c>
      <c r="F243" s="10">
        <f>'B) D RI'!R244</f>
        <v>7451675.3599999994</v>
      </c>
      <c r="G243" s="10">
        <f>'B) D RI'!U244</f>
        <v>102077.74465753423</v>
      </c>
      <c r="H243" s="41">
        <f>'B) D RI'!T244</f>
        <v>6895725.6600000001</v>
      </c>
      <c r="I243" s="10">
        <f t="shared" ref="I243" si="32">+H243/E243*$I$5</f>
        <v>188923.99068493152</v>
      </c>
      <c r="J243" s="31">
        <f t="shared" ref="J243" si="33">+$I$314/$D$314*D243</f>
        <v>276608.3756806904</v>
      </c>
      <c r="K243" s="10">
        <f t="shared" ref="K243" si="34">IF(C243=1,0,IF(J243&gt;I243,I243,J243))</f>
        <v>188923.99068493152</v>
      </c>
      <c r="L243" s="10">
        <f>'D) Ecrêtage'!C243</f>
        <v>102077.74465753423</v>
      </c>
      <c r="M243" s="10">
        <f t="shared" ref="M243" si="35">+$M$5*L243</f>
        <v>119321.26576621589</v>
      </c>
      <c r="N243" s="55">
        <f t="shared" si="26"/>
        <v>308245.25645114738</v>
      </c>
      <c r="O243" s="411"/>
      <c r="P243" s="215"/>
      <c r="Q243" s="212"/>
      <c r="R243" s="212"/>
      <c r="S243" s="216"/>
    </row>
    <row r="244" spans="1:19" s="211" customFormat="1" x14ac:dyDescent="0.25">
      <c r="A244" s="300">
        <f>'A) Base RI'!A245</f>
        <v>5812</v>
      </c>
      <c r="B244" s="223" t="str">
        <f>'A) Base RI'!B245</f>
        <v>Champtauroz</v>
      </c>
      <c r="C244" s="238">
        <v>0</v>
      </c>
      <c r="D244" s="213">
        <f>'B) D RI'!AA245</f>
        <v>169</v>
      </c>
      <c r="E244" s="214">
        <f>'B) D RI'!S245</f>
        <v>77</v>
      </c>
      <c r="F244" s="10">
        <f>'B) D RI'!R245</f>
        <v>257884.58999999997</v>
      </c>
      <c r="G244" s="10">
        <f>'B) D RI'!U245</f>
        <v>3349.1505194805191</v>
      </c>
      <c r="H244" s="41">
        <f>'B) D RI'!T245</f>
        <v>238247.08999999997</v>
      </c>
      <c r="I244" s="10">
        <f t="shared" si="25"/>
        <v>6188.2361038961035</v>
      </c>
      <c r="J244" s="31">
        <f t="shared" ref="J244:J275" si="36">+$I$314/$D$314*D244</f>
        <v>15103.979156716212</v>
      </c>
      <c r="K244" s="10">
        <f t="shared" si="23"/>
        <v>6188.2361038961035</v>
      </c>
      <c r="L244" s="10">
        <f>'D) Ecrêtage'!C244</f>
        <v>3349.1505194805191</v>
      </c>
      <c r="M244" s="10">
        <f t="shared" si="24"/>
        <v>3914.9070207880932</v>
      </c>
      <c r="N244" s="55">
        <f t="shared" si="26"/>
        <v>10103.143124684197</v>
      </c>
      <c r="O244" s="411"/>
      <c r="P244" s="215"/>
      <c r="Q244" s="212"/>
      <c r="R244" s="212"/>
      <c r="S244" s="216"/>
    </row>
    <row r="245" spans="1:19" s="211" customFormat="1" x14ac:dyDescent="0.25">
      <c r="A245" s="300">
        <f>'A) Base RI'!A246</f>
        <v>5813</v>
      </c>
      <c r="B245" s="223" t="str">
        <f>'A) Base RI'!B246</f>
        <v>Chevroux</v>
      </c>
      <c r="C245" s="238">
        <v>0</v>
      </c>
      <c r="D245" s="213">
        <f>'B) D RI'!AA246</f>
        <v>506</v>
      </c>
      <c r="E245" s="214">
        <f>'B) D RI'!S246</f>
        <v>68.5</v>
      </c>
      <c r="F245" s="10">
        <f>'B) D RI'!R246</f>
        <v>1046468.0150000001</v>
      </c>
      <c r="G245" s="10">
        <f>'B) D RI'!U246</f>
        <v>15276.905328467155</v>
      </c>
      <c r="H245" s="41">
        <f>'B) D RI'!T246</f>
        <v>948169.64000000013</v>
      </c>
      <c r="I245" s="10">
        <f t="shared" si="25"/>
        <v>27683.785109489054</v>
      </c>
      <c r="J245" s="31">
        <f t="shared" si="36"/>
        <v>45222.564812416589</v>
      </c>
      <c r="K245" s="10">
        <f t="shared" si="23"/>
        <v>27683.785109489054</v>
      </c>
      <c r="L245" s="10">
        <f>'D) Ecrêtage'!C245</f>
        <v>15276.905328467155</v>
      </c>
      <c r="M245" s="10">
        <f t="shared" si="24"/>
        <v>17857.562261969568</v>
      </c>
      <c r="N245" s="55">
        <f t="shared" si="26"/>
        <v>45541.347371458622</v>
      </c>
      <c r="O245" s="411"/>
      <c r="P245" s="215"/>
      <c r="Q245" s="212"/>
      <c r="R245" s="212"/>
      <c r="S245" s="216"/>
    </row>
    <row r="246" spans="1:19" s="211" customFormat="1" x14ac:dyDescent="0.25">
      <c r="A246" s="300">
        <f>'A) Base RI'!A247</f>
        <v>5816</v>
      </c>
      <c r="B246" s="223" t="str">
        <f>'A) Base RI'!B247</f>
        <v>Corcelles-près-Payerne</v>
      </c>
      <c r="C246" s="238">
        <v>0</v>
      </c>
      <c r="D246" s="213">
        <f>'B) D RI'!AA247</f>
        <v>2722</v>
      </c>
      <c r="E246" s="214">
        <f>'B) D RI'!S247</f>
        <v>68.5</v>
      </c>
      <c r="F246" s="10">
        <f>'B) D RI'!R247</f>
        <v>4497110.978571428</v>
      </c>
      <c r="G246" s="10">
        <f>'B) D RI'!U247</f>
        <v>65651.255161626686</v>
      </c>
      <c r="H246" s="41">
        <f>'B) D RI'!T247</f>
        <v>4082655.4499999993</v>
      </c>
      <c r="I246" s="10">
        <f t="shared" si="25"/>
        <v>119201.61897810217</v>
      </c>
      <c r="J246" s="31">
        <f t="shared" si="36"/>
        <v>243272.37434663626</v>
      </c>
      <c r="K246" s="10">
        <f t="shared" si="23"/>
        <v>119201.61897810217</v>
      </c>
      <c r="L246" s="10">
        <f>'D) Ecrêtage'!C246</f>
        <v>65651.255161626686</v>
      </c>
      <c r="M246" s="10">
        <f t="shared" si="24"/>
        <v>76741.4179389192</v>
      </c>
      <c r="N246" s="55">
        <f t="shared" si="26"/>
        <v>195943.03691702138</v>
      </c>
      <c r="O246" s="411"/>
      <c r="P246" s="215"/>
      <c r="Q246" s="212"/>
      <c r="R246" s="212"/>
      <c r="S246" s="216"/>
    </row>
    <row r="247" spans="1:19" s="211" customFormat="1" x14ac:dyDescent="0.25">
      <c r="A247" s="300">
        <f>'A) Base RI'!A248</f>
        <v>5817</v>
      </c>
      <c r="B247" s="223" t="str">
        <f>'A) Base RI'!B248</f>
        <v>Grandcour</v>
      </c>
      <c r="C247" s="238">
        <v>0</v>
      </c>
      <c r="D247" s="213">
        <f>'B) D RI'!AA248</f>
        <v>987</v>
      </c>
      <c r="E247" s="214">
        <f>'B) D RI'!S248</f>
        <v>73.5</v>
      </c>
      <c r="F247" s="10">
        <f>'B) D RI'!R248</f>
        <v>1809798.13</v>
      </c>
      <c r="G247" s="10">
        <f>'B) D RI'!U248</f>
        <v>24623.103809523807</v>
      </c>
      <c r="H247" s="41">
        <f>'B) D RI'!T248</f>
        <v>1669626.33</v>
      </c>
      <c r="I247" s="10">
        <f t="shared" si="25"/>
        <v>45432.008979591839</v>
      </c>
      <c r="J247" s="31">
        <f t="shared" si="36"/>
        <v>88210.813181531965</v>
      </c>
      <c r="K247" s="10">
        <f t="shared" si="23"/>
        <v>45432.008979591839</v>
      </c>
      <c r="L247" s="10">
        <f>'D) Ecrêtage'!C247</f>
        <v>24623.103809523807</v>
      </c>
      <c r="M247" s="10">
        <f t="shared" si="24"/>
        <v>28782.570809164703</v>
      </c>
      <c r="N247" s="55">
        <f t="shared" si="26"/>
        <v>74214.579788756542</v>
      </c>
      <c r="O247" s="411"/>
      <c r="P247" s="215"/>
      <c r="Q247" s="212"/>
      <c r="R247" s="212"/>
      <c r="S247" s="216"/>
    </row>
    <row r="248" spans="1:19" s="211" customFormat="1" x14ac:dyDescent="0.25">
      <c r="A248" s="300">
        <f>'A) Base RI'!A249</f>
        <v>5819</v>
      </c>
      <c r="B248" s="223" t="str">
        <f>'A) Base RI'!B249</f>
        <v>Henniez</v>
      </c>
      <c r="C248" s="238">
        <v>0</v>
      </c>
      <c r="D248" s="213">
        <f>'B) D RI'!AA249</f>
        <v>407</v>
      </c>
      <c r="E248" s="214">
        <f>'B) D RI'!S249</f>
        <v>69</v>
      </c>
      <c r="F248" s="10">
        <f>'B) D RI'!R249</f>
        <v>694345.64999999991</v>
      </c>
      <c r="G248" s="10">
        <f>'B) D RI'!U249</f>
        <v>10062.980434782607</v>
      </c>
      <c r="H248" s="41">
        <f>'B) D RI'!T249</f>
        <v>600281.44999999995</v>
      </c>
      <c r="I248" s="10">
        <f t="shared" si="25"/>
        <v>17399.462318840579</v>
      </c>
      <c r="J248" s="31">
        <f t="shared" si="36"/>
        <v>36374.671696943777</v>
      </c>
      <c r="K248" s="10">
        <f t="shared" si="23"/>
        <v>17399.462318840579</v>
      </c>
      <c r="L248" s="10">
        <f>'D) Ecrêtage'!C248</f>
        <v>10062.980434782607</v>
      </c>
      <c r="M248" s="10">
        <f t="shared" si="24"/>
        <v>11762.87315993616</v>
      </c>
      <c r="N248" s="55">
        <f t="shared" si="26"/>
        <v>29162.335478776738</v>
      </c>
      <c r="O248" s="411"/>
      <c r="P248" s="215"/>
      <c r="Q248" s="212"/>
      <c r="R248" s="212"/>
      <c r="S248" s="216"/>
    </row>
    <row r="249" spans="1:19" s="211" customFormat="1" x14ac:dyDescent="0.25">
      <c r="A249" s="300">
        <f>'A) Base RI'!A250</f>
        <v>5821</v>
      </c>
      <c r="B249" s="223" t="str">
        <f>'A) Base RI'!B250</f>
        <v>Missy</v>
      </c>
      <c r="C249" s="238">
        <v>0</v>
      </c>
      <c r="D249" s="213">
        <f>'B) D RI'!AA250</f>
        <v>366</v>
      </c>
      <c r="E249" s="214">
        <f>'B) D RI'!S250</f>
        <v>72</v>
      </c>
      <c r="F249" s="10">
        <f>'B) D RI'!R250</f>
        <v>579217.36</v>
      </c>
      <c r="G249" s="10">
        <f>'B) D RI'!U250</f>
        <v>8044.6855555555558</v>
      </c>
      <c r="H249" s="41">
        <f>'B) D RI'!T250</f>
        <v>522938.66</v>
      </c>
      <c r="I249" s="10">
        <f t="shared" si="25"/>
        <v>14526.073888888888</v>
      </c>
      <c r="J249" s="31">
        <f t="shared" si="36"/>
        <v>32710.392729929787</v>
      </c>
      <c r="K249" s="10">
        <f t="shared" si="23"/>
        <v>14526.073888888888</v>
      </c>
      <c r="L249" s="10">
        <f>'D) Ecrêtage'!C249</f>
        <v>8044.6855555555558</v>
      </c>
      <c r="M249" s="10">
        <f t="shared" si="24"/>
        <v>9403.637065067478</v>
      </c>
      <c r="N249" s="55">
        <f t="shared" si="26"/>
        <v>23929.710953956368</v>
      </c>
      <c r="O249" s="411"/>
      <c r="P249" s="215"/>
      <c r="Q249" s="212"/>
      <c r="R249" s="212"/>
      <c r="S249" s="216"/>
    </row>
    <row r="250" spans="1:19" s="211" customFormat="1" x14ac:dyDescent="0.25">
      <c r="A250" s="300">
        <f>'A) Base RI'!A251</f>
        <v>5822</v>
      </c>
      <c r="B250" s="223" t="str">
        <f>'A) Base RI'!B251</f>
        <v>Payerne</v>
      </c>
      <c r="C250" s="238">
        <v>0</v>
      </c>
      <c r="D250" s="213">
        <f>'B) D RI'!AA251</f>
        <v>10258</v>
      </c>
      <c r="E250" s="214">
        <f>'B) D RI'!S251</f>
        <v>73</v>
      </c>
      <c r="F250" s="10">
        <f>'B) D RI'!R251</f>
        <v>17518864.430000003</v>
      </c>
      <c r="G250" s="10">
        <f>'B) D RI'!U251</f>
        <v>239984.44424657538</v>
      </c>
      <c r="H250" s="41">
        <f>'B) D RI'!T251</f>
        <v>15777071.780000003</v>
      </c>
      <c r="I250" s="10">
        <f t="shared" si="25"/>
        <v>432248.5419178083</v>
      </c>
      <c r="J250" s="31">
        <f t="shared" si="36"/>
        <v>916784.72301535448</v>
      </c>
      <c r="K250" s="10">
        <f t="shared" si="23"/>
        <v>432248.5419178083</v>
      </c>
      <c r="L250" s="10">
        <f>'D) Ecrêtage'!C250</f>
        <v>239984.44424657538</v>
      </c>
      <c r="M250" s="10">
        <f t="shared" si="24"/>
        <v>280523.90604605415</v>
      </c>
      <c r="N250" s="55">
        <f t="shared" si="26"/>
        <v>712772.44796386245</v>
      </c>
      <c r="O250" s="411"/>
      <c r="P250" s="215"/>
      <c r="Q250" s="212"/>
      <c r="R250" s="212"/>
      <c r="S250" s="216"/>
    </row>
    <row r="251" spans="1:19" s="211" customFormat="1" x14ac:dyDescent="0.25">
      <c r="A251" s="300">
        <f>'A) Base RI'!A252</f>
        <v>5827</v>
      </c>
      <c r="B251" s="223" t="str">
        <f>'A) Base RI'!B252</f>
        <v>Trey</v>
      </c>
      <c r="C251" s="238">
        <v>0</v>
      </c>
      <c r="D251" s="213">
        <f>'B) D RI'!AA252</f>
        <v>321</v>
      </c>
      <c r="E251" s="214">
        <f>'B) D RI'!S252</f>
        <v>78</v>
      </c>
      <c r="F251" s="10">
        <f>'B) D RI'!R252</f>
        <v>604300.62</v>
      </c>
      <c r="G251" s="10">
        <f>'B) D RI'!U252</f>
        <v>7747.4438461538457</v>
      </c>
      <c r="H251" s="41">
        <f>'B) D RI'!T252</f>
        <v>559441.92000000004</v>
      </c>
      <c r="I251" s="10">
        <f t="shared" si="25"/>
        <v>14344.664615384616</v>
      </c>
      <c r="J251" s="31">
        <f t="shared" si="36"/>
        <v>28688.623131987599</v>
      </c>
      <c r="K251" s="10">
        <f t="shared" si="23"/>
        <v>14344.664615384616</v>
      </c>
      <c r="L251" s="10">
        <f>'D) Ecrêtage'!C251</f>
        <v>7747.4438461538457</v>
      </c>
      <c r="M251" s="10">
        <f t="shared" si="24"/>
        <v>9056.1836889832321</v>
      </c>
      <c r="N251" s="55">
        <f t="shared" si="26"/>
        <v>23400.84830436785</v>
      </c>
      <c r="O251" s="411"/>
      <c r="P251" s="215"/>
      <c r="Q251" s="212"/>
      <c r="R251" s="212"/>
      <c r="S251" s="216"/>
    </row>
    <row r="252" spans="1:19" s="211" customFormat="1" x14ac:dyDescent="0.25">
      <c r="A252" s="300">
        <f>'A) Base RI'!A253</f>
        <v>5828</v>
      </c>
      <c r="B252" s="223" t="str">
        <f>'A) Base RI'!B253</f>
        <v>Treytorrens (Payerne)</v>
      </c>
      <c r="C252" s="238">
        <v>0</v>
      </c>
      <c r="D252" s="213">
        <f>'B) D RI'!AA253</f>
        <v>110</v>
      </c>
      <c r="E252" s="214">
        <f>'B) D RI'!S253</f>
        <v>82.5</v>
      </c>
      <c r="F252" s="10">
        <f>'B) D RI'!R253</f>
        <v>239185.6766666667</v>
      </c>
      <c r="G252" s="10">
        <f>'B) D RI'!U253</f>
        <v>2899.2203232323236</v>
      </c>
      <c r="H252" s="41">
        <f>'B) D RI'!T253</f>
        <v>222655.31000000003</v>
      </c>
      <c r="I252" s="10">
        <f t="shared" si="25"/>
        <v>5397.7044848484857</v>
      </c>
      <c r="J252" s="31">
        <f t="shared" si="36"/>
        <v>9830.9923505253446</v>
      </c>
      <c r="K252" s="10">
        <f t="shared" si="23"/>
        <v>5397.7044848484857</v>
      </c>
      <c r="L252" s="10">
        <f>'D) Ecrêtage'!C252</f>
        <v>2899.2203232323236</v>
      </c>
      <c r="M252" s="10">
        <f t="shared" si="24"/>
        <v>3388.9721982379742</v>
      </c>
      <c r="N252" s="55">
        <f t="shared" si="26"/>
        <v>8786.6766830864599</v>
      </c>
      <c r="O252" s="411"/>
      <c r="P252" s="215"/>
      <c r="Q252" s="212"/>
      <c r="R252" s="212"/>
      <c r="S252" s="216"/>
    </row>
    <row r="253" spans="1:19" s="211" customFormat="1" x14ac:dyDescent="0.25">
      <c r="A253" s="300">
        <f>'A) Base RI'!A254</f>
        <v>5830</v>
      </c>
      <c r="B253" s="223" t="str">
        <f>'A) Base RI'!B254</f>
        <v>Villarzel</v>
      </c>
      <c r="C253" s="238">
        <v>0</v>
      </c>
      <c r="D253" s="213">
        <f>'B) D RI'!AA254</f>
        <v>500</v>
      </c>
      <c r="E253" s="214">
        <f>'B) D RI'!S254</f>
        <v>75</v>
      </c>
      <c r="F253" s="10">
        <f>'B) D RI'!R254</f>
        <v>930749.02</v>
      </c>
      <c r="G253" s="10">
        <f>'B) D RI'!U254</f>
        <v>12409.986933333334</v>
      </c>
      <c r="H253" s="41">
        <f>'B) D RI'!T254</f>
        <v>869133.02</v>
      </c>
      <c r="I253" s="10">
        <f t="shared" si="25"/>
        <v>23176.880533333333</v>
      </c>
      <c r="J253" s="31">
        <f t="shared" si="36"/>
        <v>44686.328866024298</v>
      </c>
      <c r="K253" s="10">
        <f t="shared" ref="K253:K302" si="37">IF(C253=1,0,IF(J253&gt;I253,I253,J253))</f>
        <v>23176.880533333333</v>
      </c>
      <c r="L253" s="10">
        <f>'D) Ecrêtage'!C253</f>
        <v>12409.986933333334</v>
      </c>
      <c r="M253" s="10">
        <f t="shared" ref="M253:M312" si="38">+$M$5*L253</f>
        <v>14506.348607088265</v>
      </c>
      <c r="N253" s="55">
        <f t="shared" si="26"/>
        <v>37683.229140421594</v>
      </c>
      <c r="O253" s="411"/>
      <c r="P253" s="215"/>
      <c r="Q253" s="212"/>
      <c r="R253" s="212"/>
      <c r="S253" s="216"/>
    </row>
    <row r="254" spans="1:19" s="211" customFormat="1" x14ac:dyDescent="0.25">
      <c r="A254" s="300">
        <f>'A) Base RI'!A255</f>
        <v>5831</v>
      </c>
      <c r="B254" s="223" t="str">
        <f>'A) Base RI'!B255</f>
        <v>Valbroye</v>
      </c>
      <c r="C254" s="238">
        <v>0</v>
      </c>
      <c r="D254" s="213">
        <f>'B) D RI'!AA255</f>
        <v>3349</v>
      </c>
      <c r="E254" s="214">
        <f>'B) D RI'!S255</f>
        <v>70.5</v>
      </c>
      <c r="F254" s="10">
        <f>'B) D RI'!R255</f>
        <v>5715351.9833333334</v>
      </c>
      <c r="G254" s="10">
        <f>'B) D RI'!U255</f>
        <v>81068.822458628842</v>
      </c>
      <c r="H254" s="41">
        <f>'B) D RI'!T255</f>
        <v>5191407.5500000007</v>
      </c>
      <c r="I254" s="10">
        <f t="shared" ref="I254:I285" si="39">+H254/E254*$I$5</f>
        <v>147273.9730496454</v>
      </c>
      <c r="J254" s="31">
        <f t="shared" si="36"/>
        <v>299309.03074463073</v>
      </c>
      <c r="K254" s="10">
        <f t="shared" si="37"/>
        <v>147273.9730496454</v>
      </c>
      <c r="L254" s="10">
        <f>'D) Ecrêtage'!C254</f>
        <v>81068.822458628842</v>
      </c>
      <c r="M254" s="10">
        <f t="shared" si="38"/>
        <v>94763.40354494944</v>
      </c>
      <c r="N254" s="55">
        <f t="shared" si="26"/>
        <v>242037.37659459485</v>
      </c>
      <c r="O254" s="411"/>
      <c r="P254" s="215"/>
      <c r="Q254" s="212"/>
      <c r="R254" s="212"/>
      <c r="S254" s="216"/>
    </row>
    <row r="255" spans="1:19" s="211" customFormat="1" x14ac:dyDescent="0.25">
      <c r="A255" s="300">
        <f>'A) Base RI'!A256</f>
        <v>5841</v>
      </c>
      <c r="B255" s="223" t="str">
        <f>'A) Base RI'!B256</f>
        <v>Château-d'Oex</v>
      </c>
      <c r="C255" s="238">
        <v>0</v>
      </c>
      <c r="D255" s="213">
        <f>'B) D RI'!AA256</f>
        <v>3549</v>
      </c>
      <c r="E255" s="214">
        <f>'B) D RI'!S256</f>
        <v>81.5</v>
      </c>
      <c r="F255" s="10">
        <f>'B) D RI'!R256</f>
        <v>9034897.4800000004</v>
      </c>
      <c r="G255" s="10">
        <f>'B) D RI'!U256</f>
        <v>110857.63779141105</v>
      </c>
      <c r="H255" s="41">
        <f>'B) D RI'!T256</f>
        <v>7987570.580000001</v>
      </c>
      <c r="I255" s="10">
        <f t="shared" si="39"/>
        <v>196014.00196319021</v>
      </c>
      <c r="J255" s="31">
        <f t="shared" si="36"/>
        <v>317183.56229104043</v>
      </c>
      <c r="K255" s="10">
        <f t="shared" si="37"/>
        <v>196014.00196319021</v>
      </c>
      <c r="L255" s="10">
        <f>'D) Ecrêtage'!C255</f>
        <v>110857.63779141105</v>
      </c>
      <c r="M255" s="10">
        <f t="shared" si="38"/>
        <v>129584.30562413036</v>
      </c>
      <c r="N255" s="55">
        <f t="shared" si="26"/>
        <v>325598.30758732057</v>
      </c>
      <c r="O255" s="411"/>
      <c r="P255" s="215"/>
      <c r="Q255" s="212"/>
      <c r="R255" s="212"/>
      <c r="S255" s="216"/>
    </row>
    <row r="256" spans="1:19" s="211" customFormat="1" x14ac:dyDescent="0.25">
      <c r="A256" s="300">
        <f>'A) Base RI'!A257</f>
        <v>5842</v>
      </c>
      <c r="B256" s="223" t="str">
        <f>'A) Base RI'!B257</f>
        <v>Rossinière</v>
      </c>
      <c r="C256" s="238">
        <v>0</v>
      </c>
      <c r="D256" s="213">
        <f>'B) D RI'!AA257</f>
        <v>534</v>
      </c>
      <c r="E256" s="214">
        <f>'B) D RI'!S257</f>
        <v>81</v>
      </c>
      <c r="F256" s="10">
        <f>'B) D RI'!R257</f>
        <v>1210519.1133333333</v>
      </c>
      <c r="G256" s="10">
        <f>'B) D RI'!U257</f>
        <v>14944.680411522633</v>
      </c>
      <c r="H256" s="41">
        <f>'B) D RI'!T257</f>
        <v>1113953.93</v>
      </c>
      <c r="I256" s="10">
        <f t="shared" si="39"/>
        <v>27505.035308641975</v>
      </c>
      <c r="J256" s="31">
        <f t="shared" si="36"/>
        <v>47724.999228913948</v>
      </c>
      <c r="K256" s="10">
        <f t="shared" si="37"/>
        <v>27505.035308641975</v>
      </c>
      <c r="L256" s="10">
        <f>'D) Ecrêtage'!C256</f>
        <v>14944.680411522633</v>
      </c>
      <c r="M256" s="10">
        <f t="shared" si="38"/>
        <v>17469.216126953641</v>
      </c>
      <c r="N256" s="55">
        <f t="shared" si="26"/>
        <v>44974.251435595615</v>
      </c>
      <c r="O256" s="411"/>
      <c r="P256" s="215"/>
      <c r="Q256" s="212"/>
      <c r="R256" s="212"/>
      <c r="S256" s="216"/>
    </row>
    <row r="257" spans="1:19" s="211" customFormat="1" x14ac:dyDescent="0.25">
      <c r="A257" s="300">
        <f>'A) Base RI'!A258</f>
        <v>5843</v>
      </c>
      <c r="B257" s="223" t="str">
        <f>'A) Base RI'!B258</f>
        <v>Rougemont</v>
      </c>
      <c r="C257" s="238">
        <v>0</v>
      </c>
      <c r="D257" s="213">
        <f>'B) D RI'!AA258</f>
        <v>862</v>
      </c>
      <c r="E257" s="214">
        <f>'B) D RI'!S258</f>
        <v>74</v>
      </c>
      <c r="F257" s="10">
        <f>'B) D RI'!R258</f>
        <v>7184520.1000000006</v>
      </c>
      <c r="G257" s="10">
        <f>'B) D RI'!U258</f>
        <v>97088.109459459462</v>
      </c>
      <c r="H257" s="41">
        <f>'B) D RI'!T258</f>
        <v>6336677.6500000004</v>
      </c>
      <c r="I257" s="10">
        <f t="shared" si="39"/>
        <v>171261.55810810812</v>
      </c>
      <c r="J257" s="31">
        <f t="shared" si="36"/>
        <v>77039.230965025883</v>
      </c>
      <c r="K257" s="10">
        <f t="shared" si="37"/>
        <v>77039.230965025883</v>
      </c>
      <c r="L257" s="10">
        <f>'D) Ecrêtage'!C257</f>
        <v>97088.109459459462</v>
      </c>
      <c r="M257" s="10">
        <f t="shared" si="38"/>
        <v>113488.75458032145</v>
      </c>
      <c r="N257" s="55">
        <f t="shared" si="26"/>
        <v>190527.98554534733</v>
      </c>
      <c r="O257" s="411"/>
      <c r="P257" s="215"/>
      <c r="Q257" s="212"/>
      <c r="R257" s="212"/>
      <c r="S257" s="216"/>
    </row>
    <row r="258" spans="1:19" s="211" customFormat="1" x14ac:dyDescent="0.25">
      <c r="A258" s="300">
        <f>'A) Base RI'!A259</f>
        <v>5851</v>
      </c>
      <c r="B258" s="223" t="str">
        <f>'A) Base RI'!B259</f>
        <v>Allaman</v>
      </c>
      <c r="C258" s="238">
        <v>0</v>
      </c>
      <c r="D258" s="213">
        <f>'B) D RI'!AA259</f>
        <v>430</v>
      </c>
      <c r="E258" s="214">
        <f>'B) D RI'!S259</f>
        <v>60</v>
      </c>
      <c r="F258" s="10">
        <f>'B) D RI'!R259</f>
        <v>1492556.1490909092</v>
      </c>
      <c r="G258" s="10">
        <f>'B) D RI'!U259</f>
        <v>24875.935818181821</v>
      </c>
      <c r="H258" s="41">
        <f>'B) D RI'!T259</f>
        <v>1247586.74</v>
      </c>
      <c r="I258" s="10">
        <f t="shared" si="39"/>
        <v>41586.224666666669</v>
      </c>
      <c r="J258" s="31">
        <f t="shared" si="36"/>
        <v>38430.242824780893</v>
      </c>
      <c r="K258" s="10">
        <f t="shared" si="37"/>
        <v>38430.242824780893</v>
      </c>
      <c r="L258" s="10">
        <f>'D) Ecrêtage'!C258</f>
        <v>24875.935818181821</v>
      </c>
      <c r="M258" s="10">
        <f t="shared" si="38"/>
        <v>29078.112559234731</v>
      </c>
      <c r="N258" s="55">
        <f t="shared" si="26"/>
        <v>67508.355384015624</v>
      </c>
      <c r="O258" s="411"/>
      <c r="P258" s="215"/>
      <c r="Q258" s="212"/>
      <c r="R258" s="212"/>
      <c r="S258" s="216"/>
    </row>
    <row r="259" spans="1:19" s="211" customFormat="1" x14ac:dyDescent="0.25">
      <c r="A259" s="300">
        <f>'A) Base RI'!A260</f>
        <v>5852</v>
      </c>
      <c r="B259" s="223" t="str">
        <f>'A) Base RI'!B260</f>
        <v>Bursinel</v>
      </c>
      <c r="C259" s="238">
        <v>0</v>
      </c>
      <c r="D259" s="213">
        <f>'B) D RI'!AA260</f>
        <v>515</v>
      </c>
      <c r="E259" s="214">
        <f>'B) D RI'!S260</f>
        <v>62</v>
      </c>
      <c r="F259" s="10">
        <f>'B) D RI'!R260</f>
        <v>2147472.7766666664</v>
      </c>
      <c r="G259" s="10">
        <f>'B) D RI'!U260</f>
        <v>34636.657688172039</v>
      </c>
      <c r="H259" s="41">
        <f>'B) D RI'!T260</f>
        <v>1949600.5599999998</v>
      </c>
      <c r="I259" s="10">
        <f t="shared" si="39"/>
        <v>62890.340645161283</v>
      </c>
      <c r="J259" s="31">
        <f t="shared" si="36"/>
        <v>46026.918732005026</v>
      </c>
      <c r="K259" s="10">
        <f t="shared" si="37"/>
        <v>46026.918732005026</v>
      </c>
      <c r="L259" s="10">
        <f>'D) Ecrêtage'!C259</f>
        <v>34636.657688172039</v>
      </c>
      <c r="M259" s="10">
        <f t="shared" si="38"/>
        <v>40487.668013526956</v>
      </c>
      <c r="N259" s="55">
        <f t="shared" si="26"/>
        <v>86514.586745531982</v>
      </c>
      <c r="O259" s="411"/>
      <c r="P259" s="215"/>
      <c r="Q259" s="212"/>
      <c r="R259" s="212"/>
      <c r="S259" s="216"/>
    </row>
    <row r="260" spans="1:19" s="211" customFormat="1" x14ac:dyDescent="0.25">
      <c r="A260" s="300">
        <f>'A) Base RI'!A261</f>
        <v>5853</v>
      </c>
      <c r="B260" s="223" t="str">
        <f>'A) Base RI'!B261</f>
        <v>Bursins</v>
      </c>
      <c r="C260" s="238">
        <v>0</v>
      </c>
      <c r="D260" s="213">
        <f>'B) D RI'!AA261</f>
        <v>773</v>
      </c>
      <c r="E260" s="214">
        <f>'B) D RI'!S261</f>
        <v>71</v>
      </c>
      <c r="F260" s="10">
        <f>'B) D RI'!R261</f>
        <v>3158528.13</v>
      </c>
      <c r="G260" s="10">
        <f>'B) D RI'!U261</f>
        <v>44486.311690140843</v>
      </c>
      <c r="H260" s="41">
        <f>'B) D RI'!T261</f>
        <v>2929909.4299999997</v>
      </c>
      <c r="I260" s="10">
        <f t="shared" si="39"/>
        <v>82532.659999999989</v>
      </c>
      <c r="J260" s="31">
        <f t="shared" si="36"/>
        <v>69085.064426873563</v>
      </c>
      <c r="K260" s="10">
        <f t="shared" si="37"/>
        <v>69085.064426873563</v>
      </c>
      <c r="L260" s="10">
        <f>'D) Ecrêtage'!C260</f>
        <v>44486.311690140843</v>
      </c>
      <c r="M260" s="10">
        <f t="shared" si="38"/>
        <v>52001.178493379099</v>
      </c>
      <c r="N260" s="55">
        <f t="shared" si="26"/>
        <v>121086.24292025267</v>
      </c>
      <c r="O260" s="411"/>
      <c r="P260" s="215"/>
      <c r="Q260" s="212"/>
      <c r="R260" s="212"/>
      <c r="S260" s="216"/>
    </row>
    <row r="261" spans="1:19" s="211" customFormat="1" x14ac:dyDescent="0.25">
      <c r="A261" s="300">
        <f>'A) Base RI'!A262</f>
        <v>5854</v>
      </c>
      <c r="B261" s="223" t="str">
        <f>'A) Base RI'!B262</f>
        <v>Burtigny</v>
      </c>
      <c r="C261" s="238">
        <v>0</v>
      </c>
      <c r="D261" s="213">
        <f>'B) D RI'!AA262</f>
        <v>416</v>
      </c>
      <c r="E261" s="214">
        <f>'B) D RI'!S262</f>
        <v>80</v>
      </c>
      <c r="F261" s="10">
        <f>'B) D RI'!R262</f>
        <v>1220477.3766666665</v>
      </c>
      <c r="G261" s="10">
        <f>'B) D RI'!U262</f>
        <v>15255.967208333332</v>
      </c>
      <c r="H261" s="41">
        <f>'B) D RI'!T262</f>
        <v>1142026.1099999999</v>
      </c>
      <c r="I261" s="10">
        <f t="shared" si="39"/>
        <v>28550.652749999997</v>
      </c>
      <c r="J261" s="31">
        <f t="shared" si="36"/>
        <v>37179.025616532213</v>
      </c>
      <c r="K261" s="10">
        <f t="shared" si="37"/>
        <v>28550.652749999997</v>
      </c>
      <c r="L261" s="10">
        <f>'D) Ecrêtage'!C261</f>
        <v>15255.967208333332</v>
      </c>
      <c r="M261" s="10">
        <f t="shared" si="38"/>
        <v>17833.087162078649</v>
      </c>
      <c r="N261" s="55">
        <f t="shared" si="26"/>
        <v>46383.739912078643</v>
      </c>
      <c r="O261" s="411"/>
      <c r="P261" s="215"/>
      <c r="Q261" s="212"/>
      <c r="R261" s="212"/>
      <c r="S261" s="216"/>
    </row>
    <row r="262" spans="1:19" s="211" customFormat="1" x14ac:dyDescent="0.25">
      <c r="A262" s="300">
        <f>'A) Base RI'!A263</f>
        <v>5855</v>
      </c>
      <c r="B262" s="223" t="str">
        <f>'A) Base RI'!B263</f>
        <v>Dully</v>
      </c>
      <c r="C262" s="238">
        <v>0</v>
      </c>
      <c r="D262" s="213">
        <f>'B) D RI'!AA263</f>
        <v>634</v>
      </c>
      <c r="E262" s="214">
        <f>'B) D RI'!S263</f>
        <v>49</v>
      </c>
      <c r="F262" s="10">
        <f>'B) D RI'!R263</f>
        <v>4590523.49</v>
      </c>
      <c r="G262" s="10">
        <f>'B) D RI'!U263</f>
        <v>93684.152857142864</v>
      </c>
      <c r="H262" s="41">
        <f>'B) D RI'!T263</f>
        <v>4203459.29</v>
      </c>
      <c r="I262" s="10">
        <f t="shared" si="39"/>
        <v>171569.76693877552</v>
      </c>
      <c r="J262" s="31">
        <f t="shared" si="36"/>
        <v>56662.265002118809</v>
      </c>
      <c r="K262" s="10">
        <f t="shared" si="37"/>
        <v>56662.265002118809</v>
      </c>
      <c r="L262" s="10">
        <f>'D) Ecrêtage'!C262</f>
        <v>93684.152857142864</v>
      </c>
      <c r="M262" s="10">
        <f t="shared" si="38"/>
        <v>109509.78333870218</v>
      </c>
      <c r="N262" s="55">
        <f t="shared" ref="N262:N313" si="40">+M262+K262</f>
        <v>166172.048340821</v>
      </c>
      <c r="O262" s="411"/>
      <c r="P262" s="215"/>
      <c r="Q262" s="212"/>
      <c r="R262" s="212"/>
      <c r="S262" s="216"/>
    </row>
    <row r="263" spans="1:19" s="211" customFormat="1" x14ac:dyDescent="0.25">
      <c r="A263" s="300">
        <f>'A) Base RI'!A264</f>
        <v>5856</v>
      </c>
      <c r="B263" s="223" t="str">
        <f>'A) Base RI'!B264</f>
        <v>Essertines-sur-Rolle</v>
      </c>
      <c r="C263" s="238">
        <v>0</v>
      </c>
      <c r="D263" s="213">
        <f>'B) D RI'!AA264</f>
        <v>753</v>
      </c>
      <c r="E263" s="214">
        <f>'B) D RI'!S264</f>
        <v>66.5</v>
      </c>
      <c r="F263" s="10">
        <f>'B) D RI'!R264</f>
        <v>2797034.5692307688</v>
      </c>
      <c r="G263" s="10">
        <f>'B) D RI'!U264</f>
        <v>42060.670213996527</v>
      </c>
      <c r="H263" s="41">
        <f>'B) D RI'!T264</f>
        <v>2599306.1999999997</v>
      </c>
      <c r="I263" s="10">
        <f t="shared" si="39"/>
        <v>78174.622556390968</v>
      </c>
      <c r="J263" s="31">
        <f t="shared" si="36"/>
        <v>67297.611272232592</v>
      </c>
      <c r="K263" s="10">
        <f t="shared" si="37"/>
        <v>67297.611272232592</v>
      </c>
      <c r="L263" s="10">
        <f>'D) Ecrêtage'!C263</f>
        <v>42060.670213996527</v>
      </c>
      <c r="M263" s="10">
        <f t="shared" si="38"/>
        <v>49165.784625699154</v>
      </c>
      <c r="N263" s="55">
        <f t="shared" si="40"/>
        <v>116463.39589793174</v>
      </c>
      <c r="O263" s="411"/>
      <c r="P263" s="215"/>
      <c r="Q263" s="212"/>
      <c r="R263" s="212"/>
      <c r="S263" s="216"/>
    </row>
    <row r="264" spans="1:19" s="211" customFormat="1" x14ac:dyDescent="0.25">
      <c r="A264" s="300">
        <f>'A) Base RI'!A265</f>
        <v>5857</v>
      </c>
      <c r="B264" s="223" t="str">
        <f>'A) Base RI'!B265</f>
        <v>Gilly</v>
      </c>
      <c r="C264" s="238">
        <v>0</v>
      </c>
      <c r="D264" s="213">
        <f>'B) D RI'!AA265</f>
        <v>1438</v>
      </c>
      <c r="E264" s="214">
        <f>'B) D RI'!S265</f>
        <v>64.5</v>
      </c>
      <c r="F264" s="10">
        <f>'B) D RI'!R265</f>
        <v>5731892.7300000004</v>
      </c>
      <c r="G264" s="10">
        <f>'B) D RI'!U265</f>
        <v>88866.553953488372</v>
      </c>
      <c r="H264" s="41">
        <f>'B) D RI'!T265</f>
        <v>5290364.53</v>
      </c>
      <c r="I264" s="10">
        <f t="shared" si="39"/>
        <v>164042.31100775194</v>
      </c>
      <c r="J264" s="31">
        <f t="shared" si="36"/>
        <v>128517.88181868588</v>
      </c>
      <c r="K264" s="10">
        <f t="shared" si="37"/>
        <v>128517.88181868588</v>
      </c>
      <c r="L264" s="10">
        <f>'D) Ecrêtage'!C264</f>
        <v>88866.553953488372</v>
      </c>
      <c r="M264" s="10">
        <f t="shared" si="38"/>
        <v>103878.36974246183</v>
      </c>
      <c r="N264" s="55">
        <f t="shared" si="40"/>
        <v>232396.25156114771</v>
      </c>
      <c r="O264" s="411"/>
      <c r="P264" s="215"/>
      <c r="Q264" s="212"/>
      <c r="R264" s="212"/>
      <c r="S264" s="216"/>
    </row>
    <row r="265" spans="1:19" s="211" customFormat="1" x14ac:dyDescent="0.25">
      <c r="A265" s="300">
        <f>'A) Base RI'!A266</f>
        <v>5858</v>
      </c>
      <c r="B265" s="223" t="str">
        <f>'A) Base RI'!B266</f>
        <v>Luins</v>
      </c>
      <c r="C265" s="238">
        <v>0</v>
      </c>
      <c r="D265" s="213">
        <f>'B) D RI'!AA266</f>
        <v>630</v>
      </c>
      <c r="E265" s="214">
        <f>'B) D RI'!S266</f>
        <v>58.5</v>
      </c>
      <c r="F265" s="10">
        <f>'B) D RI'!R266</f>
        <v>2237823.7366666663</v>
      </c>
      <c r="G265" s="10">
        <f>'B) D RI'!U266</f>
        <v>38253.397207977199</v>
      </c>
      <c r="H265" s="41">
        <f>'B) D RI'!T266</f>
        <v>2078052.47</v>
      </c>
      <c r="I265" s="10">
        <f t="shared" si="39"/>
        <v>71044.52888888889</v>
      </c>
      <c r="J265" s="31">
        <f t="shared" si="36"/>
        <v>56304.774371190615</v>
      </c>
      <c r="K265" s="10">
        <f t="shared" si="37"/>
        <v>56304.774371190615</v>
      </c>
      <c r="L265" s="10">
        <f>'D) Ecrêtage'!C265</f>
        <v>38253.397207977199</v>
      </c>
      <c r="M265" s="10">
        <f t="shared" si="38"/>
        <v>44715.366606375865</v>
      </c>
      <c r="N265" s="55">
        <f t="shared" si="40"/>
        <v>101020.14097756648</v>
      </c>
      <c r="O265" s="411"/>
      <c r="P265" s="215"/>
      <c r="Q265" s="212"/>
      <c r="R265" s="212"/>
      <c r="S265" s="216"/>
    </row>
    <row r="266" spans="1:19" s="211" customFormat="1" x14ac:dyDescent="0.25">
      <c r="A266" s="300">
        <f>'A) Base RI'!A267</f>
        <v>5859</v>
      </c>
      <c r="B266" s="223" t="str">
        <f>'A) Base RI'!B267</f>
        <v>Mont-sur-Rolle</v>
      </c>
      <c r="C266" s="238">
        <v>0</v>
      </c>
      <c r="D266" s="213">
        <f>'B) D RI'!AA267</f>
        <v>2739</v>
      </c>
      <c r="E266" s="214">
        <f>'B) D RI'!S267</f>
        <v>63.5</v>
      </c>
      <c r="F266" s="10">
        <f>'B) D RI'!R267</f>
        <v>10217844.550000001</v>
      </c>
      <c r="G266" s="10">
        <f>'B) D RI'!U267</f>
        <v>160910.93779527559</v>
      </c>
      <c r="H266" s="41">
        <f>'B) D RI'!T267</f>
        <v>9508454.6500000004</v>
      </c>
      <c r="I266" s="10">
        <f t="shared" si="39"/>
        <v>299478.88661417324</v>
      </c>
      <c r="J266" s="31">
        <f t="shared" si="36"/>
        <v>244791.70952808109</v>
      </c>
      <c r="K266" s="10">
        <f t="shared" si="37"/>
        <v>244791.70952808109</v>
      </c>
      <c r="L266" s="10">
        <f>'D) Ecrêtage'!C266</f>
        <v>160910.93779527559</v>
      </c>
      <c r="M266" s="10">
        <f t="shared" si="38"/>
        <v>188092.878009565</v>
      </c>
      <c r="N266" s="55">
        <f t="shared" si="40"/>
        <v>432884.58753764606</v>
      </c>
      <c r="O266" s="411"/>
      <c r="P266" s="215"/>
      <c r="Q266" s="212"/>
      <c r="R266" s="212"/>
      <c r="S266" s="216"/>
    </row>
    <row r="267" spans="1:19" s="211" customFormat="1" x14ac:dyDescent="0.25">
      <c r="A267" s="300">
        <f>'A) Base RI'!A268</f>
        <v>5860</v>
      </c>
      <c r="B267" s="223" t="str">
        <f>'A) Base RI'!B268</f>
        <v>Perroy</v>
      </c>
      <c r="C267" s="238">
        <v>0</v>
      </c>
      <c r="D267" s="213">
        <f>'B) D RI'!AA268</f>
        <v>1514</v>
      </c>
      <c r="E267" s="214">
        <f>'B) D RI'!S268</f>
        <v>58.5</v>
      </c>
      <c r="F267" s="10">
        <f>'B) D RI'!R268</f>
        <v>7268162.9207692323</v>
      </c>
      <c r="G267" s="10">
        <f>'B) D RI'!U268</f>
        <v>124242.10120973046</v>
      </c>
      <c r="H267" s="41">
        <f>'B) D RI'!T268</f>
        <v>6721153.790000001</v>
      </c>
      <c r="I267" s="10">
        <f t="shared" si="39"/>
        <v>229783.0355555556</v>
      </c>
      <c r="J267" s="31">
        <f t="shared" si="36"/>
        <v>135310.20380632157</v>
      </c>
      <c r="K267" s="10">
        <f t="shared" si="37"/>
        <v>135310.20380632157</v>
      </c>
      <c r="L267" s="10">
        <f>'D) Ecrêtage'!C267</f>
        <v>124242.10120973046</v>
      </c>
      <c r="M267" s="10">
        <f t="shared" si="38"/>
        <v>145229.7445200769</v>
      </c>
      <c r="N267" s="55">
        <f t="shared" si="40"/>
        <v>280539.9483263985</v>
      </c>
      <c r="O267" s="411"/>
      <c r="P267" s="215"/>
      <c r="Q267" s="212"/>
      <c r="R267" s="212"/>
      <c r="S267" s="216"/>
    </row>
    <row r="268" spans="1:19" s="211" customFormat="1" x14ac:dyDescent="0.25">
      <c r="A268" s="300">
        <f>'A) Base RI'!A269</f>
        <v>5861</v>
      </c>
      <c r="B268" s="223" t="str">
        <f>'A) Base RI'!B269</f>
        <v>Rolle</v>
      </c>
      <c r="C268" s="238">
        <v>0</v>
      </c>
      <c r="D268" s="213">
        <f>'B) D RI'!AA269</f>
        <v>6291</v>
      </c>
      <c r="E268" s="214">
        <f>'B) D RI'!S269</f>
        <v>59.5</v>
      </c>
      <c r="F268" s="10">
        <f>'B) D RI'!R269</f>
        <v>37968650.750000007</v>
      </c>
      <c r="G268" s="10">
        <f>'B) D RI'!U269</f>
        <v>638128.58403361356</v>
      </c>
      <c r="H268" s="41">
        <f>'B) D RI'!T269</f>
        <v>35765779.250000007</v>
      </c>
      <c r="I268" s="10">
        <f t="shared" si="39"/>
        <v>1202211.0672268909</v>
      </c>
      <c r="J268" s="31">
        <f t="shared" si="36"/>
        <v>562243.38979231776</v>
      </c>
      <c r="K268" s="10">
        <f t="shared" si="37"/>
        <v>562243.38979231776</v>
      </c>
      <c r="L268" s="10">
        <f>'D) Ecrêtage'!C268</f>
        <v>638128.58403361356</v>
      </c>
      <c r="M268" s="10">
        <f t="shared" si="38"/>
        <v>745924.69322228373</v>
      </c>
      <c r="N268" s="55">
        <f t="shared" si="40"/>
        <v>1308168.0830146014</v>
      </c>
      <c r="O268" s="411"/>
      <c r="P268" s="215"/>
      <c r="Q268" s="212"/>
      <c r="R268" s="212"/>
      <c r="S268" s="216"/>
    </row>
    <row r="269" spans="1:19" s="211" customFormat="1" x14ac:dyDescent="0.25">
      <c r="A269" s="300">
        <f>'A) Base RI'!A270</f>
        <v>5862</v>
      </c>
      <c r="B269" s="223" t="str">
        <f>'A) Base RI'!B270</f>
        <v>Tartegnin</v>
      </c>
      <c r="C269" s="238">
        <v>0</v>
      </c>
      <c r="D269" s="213">
        <f>'B) D RI'!AA270</f>
        <v>241</v>
      </c>
      <c r="E269" s="214">
        <f>'B) D RI'!S270</f>
        <v>79</v>
      </c>
      <c r="F269" s="10">
        <f>'B) D RI'!R270</f>
        <v>623390.76</v>
      </c>
      <c r="G269" s="10">
        <f>'B) D RI'!U270</f>
        <v>7891.022278481013</v>
      </c>
      <c r="H269" s="41">
        <f>'B) D RI'!T270</f>
        <v>573151.26</v>
      </c>
      <c r="I269" s="10">
        <f t="shared" si="39"/>
        <v>14510.158481012659</v>
      </c>
      <c r="J269" s="31">
        <f t="shared" si="36"/>
        <v>21538.810513423712</v>
      </c>
      <c r="K269" s="10">
        <f t="shared" si="37"/>
        <v>14510.158481012659</v>
      </c>
      <c r="L269" s="10">
        <f>'D) Ecrêtage'!C269</f>
        <v>7891.022278481013</v>
      </c>
      <c r="M269" s="10">
        <f t="shared" si="38"/>
        <v>9224.0161615705092</v>
      </c>
      <c r="N269" s="55">
        <f t="shared" si="40"/>
        <v>23734.174642583166</v>
      </c>
      <c r="O269" s="411"/>
      <c r="P269" s="215"/>
      <c r="Q269" s="212"/>
      <c r="R269" s="212"/>
      <c r="S269" s="216"/>
    </row>
    <row r="270" spans="1:19" s="211" customFormat="1" x14ac:dyDescent="0.25">
      <c r="A270" s="300">
        <f>'A) Base RI'!A271</f>
        <v>5863</v>
      </c>
      <c r="B270" s="223" t="str">
        <f>'A) Base RI'!B271</f>
        <v>Vinzel</v>
      </c>
      <c r="C270" s="238">
        <v>0</v>
      </c>
      <c r="D270" s="213">
        <f>'B) D RI'!AA271</f>
        <v>369</v>
      </c>
      <c r="E270" s="214">
        <f>'B) D RI'!S271</f>
        <v>67</v>
      </c>
      <c r="F270" s="10">
        <f>'B) D RI'!R271</f>
        <v>1435416.6099999999</v>
      </c>
      <c r="G270" s="10">
        <f>'B) D RI'!U271</f>
        <v>21424.128507462683</v>
      </c>
      <c r="H270" s="41">
        <f>'B) D RI'!T271</f>
        <v>1349004.01</v>
      </c>
      <c r="I270" s="10">
        <f t="shared" si="39"/>
        <v>40268.776417910449</v>
      </c>
      <c r="J270" s="31">
        <f t="shared" si="36"/>
        <v>32978.510703125932</v>
      </c>
      <c r="K270" s="10">
        <f t="shared" si="37"/>
        <v>32978.510703125932</v>
      </c>
      <c r="L270" s="10">
        <f>'D) Ecrêtage'!C270</f>
        <v>21424.128507462683</v>
      </c>
      <c r="M270" s="10">
        <f t="shared" si="38"/>
        <v>25043.207410439543</v>
      </c>
      <c r="N270" s="55">
        <f t="shared" si="40"/>
        <v>58021.718113565476</v>
      </c>
      <c r="O270" s="411"/>
      <c r="P270" s="215"/>
      <c r="Q270" s="212"/>
      <c r="R270" s="212"/>
      <c r="S270" s="216"/>
    </row>
    <row r="271" spans="1:19" s="211" customFormat="1" x14ac:dyDescent="0.25">
      <c r="A271" s="300">
        <f>'A) Base RI'!A272</f>
        <v>5871</v>
      </c>
      <c r="B271" s="223" t="str">
        <f>'A) Base RI'!B272</f>
        <v>L'Abbaye</v>
      </c>
      <c r="C271" s="238">
        <v>0</v>
      </c>
      <c r="D271" s="213">
        <f>'B) D RI'!AA272</f>
        <v>1521</v>
      </c>
      <c r="E271" s="214">
        <f>'B) D RI'!S272</f>
        <v>77.650000000000006</v>
      </c>
      <c r="F271" s="10">
        <f>'B) D RI'!R272</f>
        <v>4048479.92</v>
      </c>
      <c r="G271" s="10">
        <f>'B) D RI'!U272</f>
        <v>52137.53921442369</v>
      </c>
      <c r="H271" s="41">
        <f>'B) D RI'!T272</f>
        <v>3770309.52</v>
      </c>
      <c r="I271" s="10">
        <f t="shared" si="39"/>
        <v>97110.354668383763</v>
      </c>
      <c r="J271" s="31">
        <f t="shared" si="36"/>
        <v>135935.81241044591</v>
      </c>
      <c r="K271" s="10">
        <f t="shared" si="37"/>
        <v>97110.354668383763</v>
      </c>
      <c r="L271" s="10">
        <f>'D) Ecrêtage'!C271</f>
        <v>52137.53921442369</v>
      </c>
      <c r="M271" s="10">
        <f t="shared" si="38"/>
        <v>60944.89248241418</v>
      </c>
      <c r="N271" s="55">
        <f t="shared" si="40"/>
        <v>158055.24715079795</v>
      </c>
      <c r="O271" s="411"/>
      <c r="P271" s="215"/>
      <c r="Q271" s="212"/>
      <c r="R271" s="212"/>
      <c r="S271" s="216"/>
    </row>
    <row r="272" spans="1:19" s="211" customFormat="1" x14ac:dyDescent="0.25">
      <c r="A272" s="300">
        <f>'A) Base RI'!A273</f>
        <v>5872</v>
      </c>
      <c r="B272" s="223" t="str">
        <f>'A) Base RI'!B273</f>
        <v>Le Chenit</v>
      </c>
      <c r="C272" s="238">
        <v>0</v>
      </c>
      <c r="D272" s="213">
        <f>'B) D RI'!AA273</f>
        <v>4569</v>
      </c>
      <c r="E272" s="214">
        <f>'B) D RI'!S273</f>
        <v>66.989999999999995</v>
      </c>
      <c r="F272" s="10">
        <f>'B) D RI'!R273</f>
        <v>13340827.770000003</v>
      </c>
      <c r="G272" s="10">
        <f>'B) D RI'!U273</f>
        <v>199146.55575459031</v>
      </c>
      <c r="H272" s="41">
        <f>'B) D RI'!T273</f>
        <v>12507011.420000002</v>
      </c>
      <c r="I272" s="10">
        <f t="shared" si="39"/>
        <v>373399.35572473513</v>
      </c>
      <c r="J272" s="31">
        <f t="shared" si="36"/>
        <v>408343.67317773</v>
      </c>
      <c r="K272" s="10">
        <f t="shared" si="37"/>
        <v>373399.35572473513</v>
      </c>
      <c r="L272" s="10">
        <f>'D) Ecrêtage'!C272</f>
        <v>199146.55575459031</v>
      </c>
      <c r="M272" s="10">
        <f t="shared" si="38"/>
        <v>232787.4620010634</v>
      </c>
      <c r="N272" s="55">
        <f t="shared" si="40"/>
        <v>606186.81772579858</v>
      </c>
      <c r="O272" s="411"/>
      <c r="P272" s="215"/>
      <c r="Q272" s="212"/>
      <c r="R272" s="212"/>
      <c r="S272" s="216"/>
    </row>
    <row r="273" spans="1:19" s="211" customFormat="1" x14ac:dyDescent="0.25">
      <c r="A273" s="300">
        <f>'A) Base RI'!A274</f>
        <v>5873</v>
      </c>
      <c r="B273" s="223" t="str">
        <f>'A) Base RI'!B274</f>
        <v>Le Lieu</v>
      </c>
      <c r="C273" s="238">
        <v>0</v>
      </c>
      <c r="D273" s="213">
        <f>'B) D RI'!AA274</f>
        <v>881</v>
      </c>
      <c r="E273" s="214">
        <f>'B) D RI'!S274</f>
        <v>70</v>
      </c>
      <c r="F273" s="10">
        <f>'B) D RI'!R274</f>
        <v>2203259.0575000001</v>
      </c>
      <c r="G273" s="10">
        <f>'B) D RI'!U274</f>
        <v>31475.129392857143</v>
      </c>
      <c r="H273" s="41">
        <f>'B) D RI'!T274</f>
        <v>2054542.6200000003</v>
      </c>
      <c r="I273" s="10">
        <f t="shared" si="39"/>
        <v>58701.217714285725</v>
      </c>
      <c r="J273" s="31">
        <f t="shared" si="36"/>
        <v>78737.311461934805</v>
      </c>
      <c r="K273" s="10">
        <f t="shared" si="37"/>
        <v>58701.217714285725</v>
      </c>
      <c r="L273" s="10">
        <f>'D) Ecrêtage'!C273</f>
        <v>31475.129392857143</v>
      </c>
      <c r="M273" s="10">
        <f t="shared" si="38"/>
        <v>36792.077371136751</v>
      </c>
      <c r="N273" s="55">
        <f t="shared" si="40"/>
        <v>95493.295085422476</v>
      </c>
      <c r="O273" s="411"/>
      <c r="P273" s="215"/>
      <c r="Q273" s="212"/>
      <c r="R273" s="212"/>
      <c r="S273" s="216"/>
    </row>
    <row r="274" spans="1:19" s="211" customFormat="1" x14ac:dyDescent="0.25">
      <c r="A274" s="300">
        <f>'A) Base RI'!A275</f>
        <v>5881</v>
      </c>
      <c r="B274" s="223" t="str">
        <f>'A) Base RI'!B275</f>
        <v>Blonay</v>
      </c>
      <c r="C274" s="238">
        <v>1</v>
      </c>
      <c r="D274" s="213">
        <f>'B) D RI'!AA275</f>
        <v>6291</v>
      </c>
      <c r="E274" s="214">
        <f>'B) D RI'!S275</f>
        <v>68.5</v>
      </c>
      <c r="F274" s="10">
        <f>'B) D RI'!R275</f>
        <v>25441032.77</v>
      </c>
      <c r="G274" s="10">
        <f>'B) D RI'!U275</f>
        <v>371401.9382481752</v>
      </c>
      <c r="H274" s="41">
        <f>'B) D RI'!T275</f>
        <v>23630241.469999999</v>
      </c>
      <c r="I274" s="10">
        <f t="shared" si="39"/>
        <v>689934.0575182481</v>
      </c>
      <c r="J274" s="31">
        <f t="shared" si="36"/>
        <v>562243.38979231776</v>
      </c>
      <c r="K274" s="10">
        <f t="shared" si="37"/>
        <v>0</v>
      </c>
      <c r="L274" s="10">
        <f>'D) Ecrêtage'!C274</f>
        <v>371401.9382481752</v>
      </c>
      <c r="M274" s="10">
        <f t="shared" si="38"/>
        <v>434141.14926301222</v>
      </c>
      <c r="N274" s="55">
        <f t="shared" si="40"/>
        <v>434141.14926301222</v>
      </c>
      <c r="O274" s="411"/>
      <c r="P274" s="215"/>
      <c r="Q274" s="212"/>
      <c r="R274" s="212"/>
      <c r="S274" s="216"/>
    </row>
    <row r="275" spans="1:19" s="211" customFormat="1" x14ac:dyDescent="0.25">
      <c r="A275" s="300">
        <f>'A) Base RI'!A276</f>
        <v>5882</v>
      </c>
      <c r="B275" s="223" t="str">
        <f>'A) Base RI'!B276</f>
        <v>Chardonne</v>
      </c>
      <c r="C275" s="238">
        <v>1</v>
      </c>
      <c r="D275" s="213">
        <f>'B) D RI'!AA276</f>
        <v>3078</v>
      </c>
      <c r="E275" s="214">
        <f>'B) D RI'!S276</f>
        <v>68</v>
      </c>
      <c r="F275" s="10">
        <f>'B) D RI'!R276</f>
        <v>12712567.640000001</v>
      </c>
      <c r="G275" s="10">
        <f>'B) D RI'!U276</f>
        <v>186949.52411764706</v>
      </c>
      <c r="H275" s="41">
        <f>'B) D RI'!T276</f>
        <v>11656174.630000001</v>
      </c>
      <c r="I275" s="10">
        <f t="shared" si="39"/>
        <v>342828.66558823531</v>
      </c>
      <c r="J275" s="31">
        <f t="shared" si="36"/>
        <v>275089.04049924557</v>
      </c>
      <c r="K275" s="10">
        <f t="shared" si="37"/>
        <v>0</v>
      </c>
      <c r="L275" s="10">
        <f>'D) Ecrêtage'!C275</f>
        <v>186949.52411764706</v>
      </c>
      <c r="M275" s="10">
        <f t="shared" si="38"/>
        <v>218530.04224327655</v>
      </c>
      <c r="N275" s="55">
        <f t="shared" si="40"/>
        <v>218530.04224327655</v>
      </c>
      <c r="O275" s="411"/>
      <c r="P275" s="215"/>
      <c r="Q275" s="212"/>
      <c r="R275" s="212"/>
      <c r="S275" s="216"/>
    </row>
    <row r="276" spans="1:19" s="211" customFormat="1" x14ac:dyDescent="0.25">
      <c r="A276" s="300">
        <f>'A) Base RI'!A277</f>
        <v>5883</v>
      </c>
      <c r="B276" s="223" t="str">
        <f>'A) Base RI'!B277</f>
        <v>Corseaux</v>
      </c>
      <c r="C276" s="238">
        <v>1</v>
      </c>
      <c r="D276" s="213">
        <f>'B) D RI'!AA277</f>
        <v>2330</v>
      </c>
      <c r="E276" s="214">
        <f>'B) D RI'!S277</f>
        <v>67.5</v>
      </c>
      <c r="F276" s="10">
        <f>'B) D RI'!R277</f>
        <v>13033932.83</v>
      </c>
      <c r="G276" s="10">
        <f>'B) D RI'!U277</f>
        <v>193095.30118518518</v>
      </c>
      <c r="H276" s="41">
        <f>'B) D RI'!T277</f>
        <v>12332183.08</v>
      </c>
      <c r="I276" s="10">
        <f t="shared" si="39"/>
        <v>365398.01718518516</v>
      </c>
      <c r="J276" s="31">
        <f t="shared" ref="J276:J307" si="41">+$I$314/$D$314*D276</f>
        <v>208238.29251567324</v>
      </c>
      <c r="K276" s="10">
        <f t="shared" si="37"/>
        <v>0</v>
      </c>
      <c r="L276" s="10">
        <f>'D) Ecrêtage'!C276</f>
        <v>193095.30118518518</v>
      </c>
      <c r="M276" s="10">
        <f t="shared" si="38"/>
        <v>225713.9969953715</v>
      </c>
      <c r="N276" s="55">
        <f t="shared" si="40"/>
        <v>225713.9969953715</v>
      </c>
      <c r="O276" s="411"/>
      <c r="P276" s="215"/>
      <c r="Q276" s="212"/>
      <c r="R276" s="212"/>
      <c r="S276" s="216"/>
    </row>
    <row r="277" spans="1:19" s="211" customFormat="1" x14ac:dyDescent="0.25">
      <c r="A277" s="300">
        <f>'A) Base RI'!A278</f>
        <v>5884</v>
      </c>
      <c r="B277" s="223" t="str">
        <f>'A) Base RI'!B278</f>
        <v>Corsier-sur-Vevey</v>
      </c>
      <c r="C277" s="238">
        <v>1</v>
      </c>
      <c r="D277" s="213">
        <f>'B) D RI'!AA278</f>
        <v>3390</v>
      </c>
      <c r="E277" s="214">
        <f>'B) D RI'!S278</f>
        <v>64.5</v>
      </c>
      <c r="F277" s="10">
        <f>'B) D RI'!R278</f>
        <v>9603842.9633333366</v>
      </c>
      <c r="G277" s="10">
        <f>'B) D RI'!U278</f>
        <v>148896.79012919901</v>
      </c>
      <c r="H277" s="41">
        <f>'B) D RI'!T278</f>
        <v>8593001.2300000023</v>
      </c>
      <c r="I277" s="10">
        <f t="shared" si="39"/>
        <v>266449.6505426357</v>
      </c>
      <c r="J277" s="31">
        <f t="shared" si="41"/>
        <v>302973.30971164472</v>
      </c>
      <c r="K277" s="10">
        <f t="shared" si="37"/>
        <v>0</v>
      </c>
      <c r="L277" s="10">
        <f>'D) Ecrêtage'!C277</f>
        <v>148896.79012919901</v>
      </c>
      <c r="M277" s="10">
        <f t="shared" si="38"/>
        <v>174049.23596567041</v>
      </c>
      <c r="N277" s="55">
        <f t="shared" si="40"/>
        <v>174049.23596567041</v>
      </c>
      <c r="O277" s="411"/>
      <c r="P277" s="215"/>
      <c r="Q277" s="212"/>
      <c r="R277" s="212"/>
      <c r="S277" s="216"/>
    </row>
    <row r="278" spans="1:19" s="211" customFormat="1" x14ac:dyDescent="0.25">
      <c r="A278" s="300">
        <f>'A) Base RI'!A279</f>
        <v>5885</v>
      </c>
      <c r="B278" s="223" t="str">
        <f>'A) Base RI'!B279</f>
        <v>Jongny</v>
      </c>
      <c r="C278" s="238">
        <v>1</v>
      </c>
      <c r="D278" s="213">
        <f>'B) D RI'!AA279</f>
        <v>1805</v>
      </c>
      <c r="E278" s="214">
        <f>'B) D RI'!S279</f>
        <v>69.5</v>
      </c>
      <c r="F278" s="10">
        <f>'B) D RI'!R279</f>
        <v>6746847.3666666662</v>
      </c>
      <c r="G278" s="10">
        <f>'B) D RI'!U279</f>
        <v>97076.940527577928</v>
      </c>
      <c r="H278" s="41">
        <f>'B) D RI'!T279</f>
        <v>6313583.6499999994</v>
      </c>
      <c r="I278" s="10">
        <f t="shared" si="39"/>
        <v>181685.86043165467</v>
      </c>
      <c r="J278" s="31">
        <f t="shared" si="41"/>
        <v>161317.64720634773</v>
      </c>
      <c r="K278" s="10">
        <f t="shared" si="37"/>
        <v>0</v>
      </c>
      <c r="L278" s="10">
        <f>'D) Ecrêtage'!C278</f>
        <v>97076.940527577928</v>
      </c>
      <c r="M278" s="10">
        <f t="shared" si="38"/>
        <v>113475.6989324539</v>
      </c>
      <c r="N278" s="55">
        <f t="shared" si="40"/>
        <v>113475.6989324539</v>
      </c>
      <c r="O278" s="411"/>
      <c r="P278" s="215"/>
      <c r="Q278" s="212"/>
      <c r="R278" s="212"/>
      <c r="S278" s="216"/>
    </row>
    <row r="279" spans="1:19" s="211" customFormat="1" x14ac:dyDescent="0.25">
      <c r="A279" s="300">
        <f>'A) Base RI'!A280</f>
        <v>5886</v>
      </c>
      <c r="B279" s="223" t="str">
        <f>'A) Base RI'!B280</f>
        <v>Montreux</v>
      </c>
      <c r="C279" s="238">
        <v>1</v>
      </c>
      <c r="D279" s="213">
        <f>'B) D RI'!AA280</f>
        <v>26012</v>
      </c>
      <c r="E279" s="214">
        <f>'B) D RI'!S280</f>
        <v>65</v>
      </c>
      <c r="F279" s="10">
        <f>'B) D RI'!R280</f>
        <v>79521327.799999982</v>
      </c>
      <c r="G279" s="10">
        <f>'B) D RI'!U280</f>
        <v>1223405.0430769229</v>
      </c>
      <c r="H279" s="41">
        <f>'B) D RI'!T280</f>
        <v>72035260.919999987</v>
      </c>
      <c r="I279" s="10">
        <f t="shared" si="39"/>
        <v>2216469.5667692302</v>
      </c>
      <c r="J279" s="31">
        <f t="shared" si="41"/>
        <v>2324761.5729260482</v>
      </c>
      <c r="K279" s="10">
        <f t="shared" si="37"/>
        <v>0</v>
      </c>
      <c r="L279" s="10">
        <f>'D) Ecrêtage'!C279</f>
        <v>1223405.0430769229</v>
      </c>
      <c r="M279" s="10">
        <f t="shared" si="38"/>
        <v>1430069.1965174198</v>
      </c>
      <c r="N279" s="55">
        <f t="shared" si="40"/>
        <v>1430069.1965174198</v>
      </c>
      <c r="O279" s="411"/>
      <c r="P279" s="215"/>
      <c r="Q279" s="212"/>
      <c r="R279" s="212"/>
      <c r="S279" s="216"/>
    </row>
    <row r="280" spans="1:19" s="211" customFormat="1" x14ac:dyDescent="0.25">
      <c r="A280" s="300">
        <f>'A) Base RI'!A281</f>
        <v>5888</v>
      </c>
      <c r="B280" s="223" t="str">
        <f>'A) Base RI'!B281</f>
        <v>Saint-Légier-La Chiésaz</v>
      </c>
      <c r="C280" s="238">
        <v>1</v>
      </c>
      <c r="D280" s="213">
        <f>'B) D RI'!AA281</f>
        <v>5634</v>
      </c>
      <c r="E280" s="214">
        <f>'B) D RI'!S281</f>
        <v>68.5</v>
      </c>
      <c r="F280" s="10">
        <f>'B) D RI'!R281</f>
        <v>22880177.483333331</v>
      </c>
      <c r="G280" s="10">
        <f>'B) D RI'!U281</f>
        <v>334017.18953771284</v>
      </c>
      <c r="H280" s="41">
        <f>'B) D RI'!T281</f>
        <v>21160883.199999999</v>
      </c>
      <c r="I280" s="10">
        <f t="shared" si="39"/>
        <v>617836.00583941606</v>
      </c>
      <c r="J280" s="31">
        <f t="shared" si="41"/>
        <v>503525.55366236181</v>
      </c>
      <c r="K280" s="10">
        <f t="shared" si="37"/>
        <v>0</v>
      </c>
      <c r="L280" s="10">
        <f>'D) Ecrêtage'!C280</f>
        <v>334017.18953771284</v>
      </c>
      <c r="M280" s="10">
        <f t="shared" si="38"/>
        <v>390441.16792574793</v>
      </c>
      <c r="N280" s="55">
        <f t="shared" si="40"/>
        <v>390441.16792574793</v>
      </c>
      <c r="O280" s="411"/>
      <c r="P280" s="215"/>
      <c r="Q280" s="212"/>
      <c r="R280" s="212"/>
      <c r="S280" s="216"/>
    </row>
    <row r="281" spans="1:19" s="211" customFormat="1" x14ac:dyDescent="0.25">
      <c r="A281" s="300">
        <f>'A) Base RI'!A282</f>
        <v>5889</v>
      </c>
      <c r="B281" s="223" t="str">
        <f>'A) Base RI'!B282</f>
        <v>La Tour-de-Peilz</v>
      </c>
      <c r="C281" s="238">
        <v>1</v>
      </c>
      <c r="D281" s="213">
        <f>'B) D RI'!AA282</f>
        <v>12222</v>
      </c>
      <c r="E281" s="214">
        <f>'B) D RI'!S282</f>
        <v>64</v>
      </c>
      <c r="F281" s="10">
        <f>'B) D RI'!R282</f>
        <v>47394278.363333337</v>
      </c>
      <c r="G281" s="10">
        <f>'B) D RI'!U282</f>
        <v>740535.59942708339</v>
      </c>
      <c r="H281" s="41">
        <f>'B) D RI'!T282</f>
        <v>44501857.730000004</v>
      </c>
      <c r="I281" s="10">
        <f t="shared" si="39"/>
        <v>1390683.0540625001</v>
      </c>
      <c r="J281" s="31">
        <f t="shared" si="41"/>
        <v>1092312.6228010978</v>
      </c>
      <c r="K281" s="10">
        <f t="shared" si="37"/>
        <v>0</v>
      </c>
      <c r="L281" s="10">
        <f>'D) Ecrêtage'!C281</f>
        <v>740535.59942708339</v>
      </c>
      <c r="M281" s="10">
        <f t="shared" si="38"/>
        <v>865630.85190637724</v>
      </c>
      <c r="N281" s="55">
        <f t="shared" si="40"/>
        <v>865630.85190637724</v>
      </c>
      <c r="O281" s="411"/>
      <c r="P281" s="215"/>
      <c r="Q281" s="212"/>
      <c r="R281" s="212"/>
      <c r="S281" s="216"/>
    </row>
    <row r="282" spans="1:19" s="211" customFormat="1" x14ac:dyDescent="0.25">
      <c r="A282" s="300">
        <f>'A) Base RI'!A283</f>
        <v>5890</v>
      </c>
      <c r="B282" s="223" t="str">
        <f>'A) Base RI'!B283</f>
        <v>Vevey</v>
      </c>
      <c r="C282" s="238">
        <v>1</v>
      </c>
      <c r="D282" s="213">
        <f>'B) D RI'!AA283</f>
        <v>19721</v>
      </c>
      <c r="E282" s="214">
        <f>'B) D RI'!S283</f>
        <v>74.5</v>
      </c>
      <c r="F282" s="10">
        <f>'B) D RI'!R283</f>
        <v>72248371.430000007</v>
      </c>
      <c r="G282" s="10">
        <f>'B) D RI'!U283</f>
        <v>969776.79771812086</v>
      </c>
      <c r="H282" s="41">
        <f>'B) D RI'!T283</f>
        <v>67599205.120000005</v>
      </c>
      <c r="I282" s="10">
        <f t="shared" si="39"/>
        <v>1814743.7616107385</v>
      </c>
      <c r="J282" s="31">
        <f t="shared" si="41"/>
        <v>1762518.1831337304</v>
      </c>
      <c r="K282" s="10">
        <f t="shared" si="37"/>
        <v>0</v>
      </c>
      <c r="L282" s="10">
        <f>'D) Ecrêtage'!C282</f>
        <v>969776.79771812086</v>
      </c>
      <c r="M282" s="10">
        <f t="shared" si="38"/>
        <v>1133596.7051647913</v>
      </c>
      <c r="N282" s="55">
        <f t="shared" si="40"/>
        <v>1133596.7051647913</v>
      </c>
      <c r="O282" s="411"/>
      <c r="P282" s="215"/>
      <c r="Q282" s="212"/>
      <c r="R282" s="212"/>
      <c r="S282" s="216"/>
    </row>
    <row r="283" spans="1:19" s="211" customFormat="1" x14ac:dyDescent="0.25">
      <c r="A283" s="300">
        <f>'A) Base RI'!A284</f>
        <v>5891</v>
      </c>
      <c r="B283" s="223" t="str">
        <f>'A) Base RI'!B284</f>
        <v>Veytaux</v>
      </c>
      <c r="C283" s="238">
        <v>1</v>
      </c>
      <c r="D283" s="213">
        <f>'B) D RI'!AA284</f>
        <v>952</v>
      </c>
      <c r="E283" s="214">
        <f>'B) D RI'!S284</f>
        <v>69.5</v>
      </c>
      <c r="F283" s="10">
        <f>'B) D RI'!R284</f>
        <v>2719073.0599999996</v>
      </c>
      <c r="G283" s="10">
        <f>'B) D RI'!U284</f>
        <v>39123.353381294961</v>
      </c>
      <c r="H283" s="41">
        <f>'B) D RI'!T284</f>
        <v>2409172.4099999997</v>
      </c>
      <c r="I283" s="10">
        <f t="shared" si="39"/>
        <v>69328.702446043157</v>
      </c>
      <c r="J283" s="31">
        <f t="shared" si="41"/>
        <v>85082.770160910266</v>
      </c>
      <c r="K283" s="10">
        <f t="shared" si="37"/>
        <v>0</v>
      </c>
      <c r="L283" s="10">
        <f>'D) Ecrêtage'!C283</f>
        <v>39123.353381294961</v>
      </c>
      <c r="M283" s="10">
        <f t="shared" si="38"/>
        <v>45732.280450913349</v>
      </c>
      <c r="N283" s="55">
        <f t="shared" si="40"/>
        <v>45732.280450913349</v>
      </c>
      <c r="O283" s="411"/>
      <c r="P283" s="215"/>
      <c r="Q283" s="212"/>
      <c r="R283" s="212"/>
      <c r="S283" s="216"/>
    </row>
    <row r="284" spans="1:19" s="211" customFormat="1" x14ac:dyDescent="0.25">
      <c r="A284" s="300">
        <f>'A) Base RI'!A285</f>
        <v>5902</v>
      </c>
      <c r="B284" s="223" t="str">
        <f>'A) Base RI'!B285</f>
        <v>Belmont-sur-Yverdon</v>
      </c>
      <c r="C284" s="238">
        <v>0</v>
      </c>
      <c r="D284" s="213">
        <f>'B) D RI'!AA285</f>
        <v>415</v>
      </c>
      <c r="E284" s="214">
        <f>'B) D RI'!S285</f>
        <v>70</v>
      </c>
      <c r="F284" s="10">
        <f>'B) D RI'!R285</f>
        <v>847640.5</v>
      </c>
      <c r="G284" s="10">
        <f>'B) D RI'!U285</f>
        <v>12109.15</v>
      </c>
      <c r="H284" s="41">
        <f>'B) D RI'!T285</f>
        <v>787853.95</v>
      </c>
      <c r="I284" s="10">
        <f t="shared" si="39"/>
        <v>22510.112857142856</v>
      </c>
      <c r="J284" s="31">
        <f t="shared" si="41"/>
        <v>37089.652958800165</v>
      </c>
      <c r="K284" s="10">
        <f t="shared" si="37"/>
        <v>22510.112857142856</v>
      </c>
      <c r="L284" s="10">
        <f>'D) Ecrêtage'!C284</f>
        <v>12109.15</v>
      </c>
      <c r="M284" s="10">
        <f t="shared" si="38"/>
        <v>14154.692682528113</v>
      </c>
      <c r="N284" s="55">
        <f t="shared" si="40"/>
        <v>36664.805539670968</v>
      </c>
      <c r="O284" s="411"/>
      <c r="P284" s="215"/>
      <c r="Q284" s="212"/>
      <c r="R284" s="212"/>
      <c r="S284" s="216"/>
    </row>
    <row r="285" spans="1:19" s="211" customFormat="1" x14ac:dyDescent="0.25">
      <c r="A285" s="300">
        <f>'A) Base RI'!A286</f>
        <v>5903</v>
      </c>
      <c r="B285" s="223" t="str">
        <f>'A) Base RI'!B286</f>
        <v>Bioley-Magnoux</v>
      </c>
      <c r="C285" s="238">
        <v>0</v>
      </c>
      <c r="D285" s="213">
        <f>'B) D RI'!AA286</f>
        <v>234</v>
      </c>
      <c r="E285" s="214">
        <f>'B) D RI'!S286</f>
        <v>72</v>
      </c>
      <c r="F285" s="10">
        <f>'B) D RI'!R286</f>
        <v>436262.35571428575</v>
      </c>
      <c r="G285" s="10">
        <f>'B) D RI'!U286</f>
        <v>6059.1993849206356</v>
      </c>
      <c r="H285" s="41">
        <f>'B) D RI'!T286</f>
        <v>397547.57</v>
      </c>
      <c r="I285" s="10">
        <f t="shared" si="39"/>
        <v>11042.988055555556</v>
      </c>
      <c r="J285" s="31">
        <f t="shared" si="41"/>
        <v>20913.201909299372</v>
      </c>
      <c r="K285" s="10">
        <f t="shared" si="37"/>
        <v>11042.988055555556</v>
      </c>
      <c r="L285" s="10">
        <f>'D) Ecrêtage'!C285</f>
        <v>6059.1993849206356</v>
      </c>
      <c r="M285" s="10">
        <f t="shared" si="38"/>
        <v>7082.7519021330954</v>
      </c>
      <c r="N285" s="55">
        <f t="shared" si="40"/>
        <v>18125.739957688653</v>
      </c>
      <c r="O285" s="411"/>
      <c r="P285" s="215"/>
      <c r="Q285" s="212"/>
      <c r="R285" s="212"/>
      <c r="S285" s="216"/>
    </row>
    <row r="286" spans="1:19" s="211" customFormat="1" x14ac:dyDescent="0.25">
      <c r="A286" s="300">
        <f>'A) Base RI'!A287</f>
        <v>5904</v>
      </c>
      <c r="B286" s="223" t="str">
        <f>'A) Base RI'!B287</f>
        <v>Chamblon</v>
      </c>
      <c r="C286" s="238">
        <v>1</v>
      </c>
      <c r="D286" s="213">
        <f>'B) D RI'!AA287</f>
        <v>561</v>
      </c>
      <c r="E286" s="214">
        <f>'B) D RI'!S287</f>
        <v>66</v>
      </c>
      <c r="F286" s="10">
        <f>'B) D RI'!R287</f>
        <v>1463762.1999999997</v>
      </c>
      <c r="G286" s="10">
        <f>'B) D RI'!U287</f>
        <v>22178.215151515149</v>
      </c>
      <c r="H286" s="41">
        <f>'B) D RI'!T287</f>
        <v>1364341.4499999997</v>
      </c>
      <c r="I286" s="10">
        <f t="shared" ref="I286:I313" si="42">+H286/E286*$I$5</f>
        <v>41343.680303030298</v>
      </c>
      <c r="J286" s="31">
        <f t="shared" si="41"/>
        <v>50138.060987679259</v>
      </c>
      <c r="K286" s="10">
        <f t="shared" si="37"/>
        <v>0</v>
      </c>
      <c r="L286" s="10">
        <f>'D) Ecrêtage'!C286</f>
        <v>22178.215151515149</v>
      </c>
      <c r="M286" s="10">
        <f t="shared" si="38"/>
        <v>25924.678422241497</v>
      </c>
      <c r="N286" s="55">
        <f t="shared" si="40"/>
        <v>25924.678422241497</v>
      </c>
      <c r="O286" s="411"/>
      <c r="P286" s="215"/>
      <c r="Q286" s="212"/>
      <c r="R286" s="212"/>
      <c r="S286" s="216"/>
    </row>
    <row r="287" spans="1:19" s="211" customFormat="1" x14ac:dyDescent="0.25">
      <c r="A287" s="300">
        <f>'A) Base RI'!A288</f>
        <v>5905</v>
      </c>
      <c r="B287" s="223" t="str">
        <f>'A) Base RI'!B288</f>
        <v>Champvent</v>
      </c>
      <c r="C287" s="238">
        <v>0</v>
      </c>
      <c r="D287" s="213">
        <f>'B) D RI'!AA288</f>
        <v>712</v>
      </c>
      <c r="E287" s="214">
        <f>'B) D RI'!S288</f>
        <v>70</v>
      </c>
      <c r="F287" s="10">
        <f>'B) D RI'!R288</f>
        <v>1630876.53</v>
      </c>
      <c r="G287" s="10">
        <f>'B) D RI'!U288</f>
        <v>23298.236142857142</v>
      </c>
      <c r="H287" s="41">
        <f>'B) D RI'!T288</f>
        <v>1519990.98</v>
      </c>
      <c r="I287" s="10">
        <f t="shared" si="42"/>
        <v>43428.313714285716</v>
      </c>
      <c r="J287" s="31">
        <f t="shared" si="41"/>
        <v>63633.332305218602</v>
      </c>
      <c r="K287" s="10">
        <f t="shared" si="37"/>
        <v>43428.313714285716</v>
      </c>
      <c r="L287" s="10">
        <f>'D) Ecrêtage'!C287</f>
        <v>23298.236142857142</v>
      </c>
      <c r="M287" s="10">
        <f t="shared" si="38"/>
        <v>27233.899377504782</v>
      </c>
      <c r="N287" s="55">
        <f t="shared" si="40"/>
        <v>70662.213091790501</v>
      </c>
      <c r="O287" s="411"/>
      <c r="P287" s="215"/>
      <c r="Q287" s="212"/>
      <c r="R287" s="212"/>
      <c r="S287" s="216"/>
    </row>
    <row r="288" spans="1:19" s="211" customFormat="1" x14ac:dyDescent="0.25">
      <c r="A288" s="300">
        <f>'A) Base RI'!A289</f>
        <v>5907</v>
      </c>
      <c r="B288" s="223" t="str">
        <f>'A) Base RI'!B289</f>
        <v>Chavannes-le-Chêne</v>
      </c>
      <c r="C288" s="238">
        <v>0</v>
      </c>
      <c r="D288" s="213">
        <f>'B) D RI'!AA289</f>
        <v>325</v>
      </c>
      <c r="E288" s="214">
        <f>'B) D RI'!S289</f>
        <v>75</v>
      </c>
      <c r="F288" s="10">
        <f>'B) D RI'!R289</f>
        <v>586376.07999999996</v>
      </c>
      <c r="G288" s="10">
        <f>'B) D RI'!U289</f>
        <v>7818.3477333333331</v>
      </c>
      <c r="H288" s="41">
        <f>'B) D RI'!T289</f>
        <v>535749.63</v>
      </c>
      <c r="I288" s="10">
        <f t="shared" si="42"/>
        <v>14286.656800000001</v>
      </c>
      <c r="J288" s="31">
        <f t="shared" si="41"/>
        <v>29046.113762915793</v>
      </c>
      <c r="K288" s="10">
        <f t="shared" si="37"/>
        <v>14286.656800000001</v>
      </c>
      <c r="L288" s="10">
        <f>'D) Ecrêtage'!C288</f>
        <v>7818.3477333333331</v>
      </c>
      <c r="M288" s="10">
        <f t="shared" si="38"/>
        <v>9139.0650417637571</v>
      </c>
      <c r="N288" s="55">
        <f t="shared" si="40"/>
        <v>23425.721841763756</v>
      </c>
      <c r="O288" s="411"/>
      <c r="P288" s="215"/>
      <c r="Q288" s="212"/>
      <c r="R288" s="212"/>
      <c r="S288" s="216"/>
    </row>
    <row r="289" spans="1:19" s="211" customFormat="1" x14ac:dyDescent="0.25">
      <c r="A289" s="300">
        <f>'A) Base RI'!A290</f>
        <v>5908</v>
      </c>
      <c r="B289" s="223" t="str">
        <f>'A) Base RI'!B290</f>
        <v>Chêne-Pâquier</v>
      </c>
      <c r="C289" s="238">
        <v>0</v>
      </c>
      <c r="D289" s="213">
        <f>'B) D RI'!AA290</f>
        <v>153</v>
      </c>
      <c r="E289" s="214">
        <f>'B) D RI'!S290</f>
        <v>79</v>
      </c>
      <c r="F289" s="10">
        <f>'B) D RI'!R290</f>
        <v>348696.37</v>
      </c>
      <c r="G289" s="10">
        <f>'B) D RI'!U290</f>
        <v>4413.8781012658228</v>
      </c>
      <c r="H289" s="41">
        <f>'B) D RI'!T290</f>
        <v>324986.07</v>
      </c>
      <c r="I289" s="10">
        <f t="shared" si="42"/>
        <v>8227.4954430379748</v>
      </c>
      <c r="J289" s="31">
        <f t="shared" si="41"/>
        <v>13674.016633003435</v>
      </c>
      <c r="K289" s="10">
        <f t="shared" si="37"/>
        <v>8227.4954430379748</v>
      </c>
      <c r="L289" s="10">
        <f>'D) Ecrêtage'!C289</f>
        <v>4413.8781012658228</v>
      </c>
      <c r="M289" s="10">
        <f t="shared" si="38"/>
        <v>5159.4941066514521</v>
      </c>
      <c r="N289" s="55">
        <f t="shared" si="40"/>
        <v>13386.989549689428</v>
      </c>
      <c r="O289" s="411"/>
      <c r="P289" s="215"/>
      <c r="Q289" s="212"/>
      <c r="R289" s="212"/>
      <c r="S289" s="216"/>
    </row>
    <row r="290" spans="1:19" s="211" customFormat="1" x14ac:dyDescent="0.25">
      <c r="A290" s="300">
        <f>'A) Base RI'!A291</f>
        <v>5909</v>
      </c>
      <c r="B290" s="223" t="str">
        <f>'A) Base RI'!B291</f>
        <v>Cheseaux-Noréaz</v>
      </c>
      <c r="C290" s="238">
        <v>1</v>
      </c>
      <c r="D290" s="213">
        <f>'B) D RI'!AA291</f>
        <v>728</v>
      </c>
      <c r="E290" s="214">
        <f>'B) D RI'!S291</f>
        <v>67</v>
      </c>
      <c r="F290" s="10">
        <f>'B) D RI'!R291</f>
        <v>2472204.4</v>
      </c>
      <c r="G290" s="10">
        <f>'B) D RI'!U291</f>
        <v>36898.573134328355</v>
      </c>
      <c r="H290" s="41">
        <f>'B) D RI'!T291</f>
        <v>2308220.13</v>
      </c>
      <c r="I290" s="10">
        <f t="shared" si="42"/>
        <v>68902.093432835813</v>
      </c>
      <c r="J290" s="31">
        <f t="shared" si="41"/>
        <v>65063.294828931379</v>
      </c>
      <c r="K290" s="10">
        <f t="shared" si="37"/>
        <v>0</v>
      </c>
      <c r="L290" s="10">
        <f>'D) Ecrêtage'!C290</f>
        <v>36898.573134328355</v>
      </c>
      <c r="M290" s="10">
        <f t="shared" si="38"/>
        <v>43131.678370505448</v>
      </c>
      <c r="N290" s="55">
        <f t="shared" si="40"/>
        <v>43131.678370505448</v>
      </c>
      <c r="O290" s="411"/>
      <c r="P290" s="215"/>
      <c r="Q290" s="212"/>
      <c r="R290" s="212"/>
      <c r="S290" s="216"/>
    </row>
    <row r="291" spans="1:19" s="211" customFormat="1" x14ac:dyDescent="0.25">
      <c r="A291" s="300">
        <f>'A) Base RI'!A292</f>
        <v>5910</v>
      </c>
      <c r="B291" s="223" t="str">
        <f>'A) Base RI'!B292</f>
        <v>Cronay</v>
      </c>
      <c r="C291" s="238">
        <v>0</v>
      </c>
      <c r="D291" s="213">
        <f>'B) D RI'!AA292</f>
        <v>403</v>
      </c>
      <c r="E291" s="214">
        <f>'B) D RI'!S292</f>
        <v>77</v>
      </c>
      <c r="F291" s="10">
        <f>'B) D RI'!R292</f>
        <v>816232.03999999992</v>
      </c>
      <c r="G291" s="10">
        <f>'B) D RI'!U292</f>
        <v>10600.416103896103</v>
      </c>
      <c r="H291" s="41">
        <f>'B) D RI'!T292</f>
        <v>753014.03999999992</v>
      </c>
      <c r="I291" s="10">
        <f t="shared" si="42"/>
        <v>19558.80623376623</v>
      </c>
      <c r="J291" s="31">
        <f t="shared" si="41"/>
        <v>36017.181066015582</v>
      </c>
      <c r="K291" s="10">
        <f t="shared" si="37"/>
        <v>19558.80623376623</v>
      </c>
      <c r="L291" s="10">
        <f>'D) Ecrêtage'!C291</f>
        <v>10600.416103896103</v>
      </c>
      <c r="M291" s="10">
        <f t="shared" si="38"/>
        <v>12391.095350009815</v>
      </c>
      <c r="N291" s="55">
        <f t="shared" si="40"/>
        <v>31949.901583776045</v>
      </c>
      <c r="O291" s="411"/>
      <c r="P291" s="215"/>
      <c r="Q291" s="212"/>
      <c r="R291" s="212"/>
      <c r="S291" s="216"/>
    </row>
    <row r="292" spans="1:19" s="211" customFormat="1" x14ac:dyDescent="0.25">
      <c r="A292" s="300">
        <f>'A) Base RI'!A293</f>
        <v>5911</v>
      </c>
      <c r="B292" s="223" t="str">
        <f>'A) Base RI'!B293</f>
        <v>Cuarny</v>
      </c>
      <c r="C292" s="238">
        <v>0</v>
      </c>
      <c r="D292" s="213">
        <f>'B) D RI'!AA293</f>
        <v>245</v>
      </c>
      <c r="E292" s="214">
        <f>'B) D RI'!S293</f>
        <v>77</v>
      </c>
      <c r="F292" s="10">
        <f>'B) D RI'!R293</f>
        <v>577805.28</v>
      </c>
      <c r="G292" s="10">
        <f>'B) D RI'!U293</f>
        <v>7503.9646753246761</v>
      </c>
      <c r="H292" s="41">
        <f>'B) D RI'!T293</f>
        <v>538399.68000000005</v>
      </c>
      <c r="I292" s="10">
        <f t="shared" si="42"/>
        <v>13984.407272727274</v>
      </c>
      <c r="J292" s="31">
        <f t="shared" si="41"/>
        <v>21896.301144351906</v>
      </c>
      <c r="K292" s="10">
        <f t="shared" si="37"/>
        <v>13984.407272727274</v>
      </c>
      <c r="L292" s="10">
        <f>'D) Ecrêtage'!C292</f>
        <v>7503.9646753246761</v>
      </c>
      <c r="M292" s="10">
        <f t="shared" si="38"/>
        <v>8771.5747083624901</v>
      </c>
      <c r="N292" s="55">
        <f t="shared" si="40"/>
        <v>22755.981981089764</v>
      </c>
      <c r="O292" s="411"/>
      <c r="P292" s="215"/>
      <c r="Q292" s="212"/>
      <c r="R292" s="212"/>
      <c r="S292" s="216"/>
    </row>
    <row r="293" spans="1:19" s="211" customFormat="1" x14ac:dyDescent="0.25">
      <c r="A293" s="300">
        <f>'A) Base RI'!A294</f>
        <v>5912</v>
      </c>
      <c r="B293" s="223" t="str">
        <f>'A) Base RI'!B294</f>
        <v>Démoret</v>
      </c>
      <c r="C293" s="238">
        <v>0</v>
      </c>
      <c r="D293" s="213">
        <f>'B) D RI'!AA294</f>
        <v>164</v>
      </c>
      <c r="E293" s="214">
        <f>'B) D RI'!S294</f>
        <v>81</v>
      </c>
      <c r="F293" s="10">
        <f>'B) D RI'!R294</f>
        <v>382526.97</v>
      </c>
      <c r="G293" s="10">
        <f>'B) D RI'!U294</f>
        <v>4722.5551851851851</v>
      </c>
      <c r="H293" s="41">
        <f>'B) D RI'!T294</f>
        <v>359769.67</v>
      </c>
      <c r="I293" s="10">
        <f t="shared" si="42"/>
        <v>8883.2017283950609</v>
      </c>
      <c r="J293" s="31">
        <f t="shared" si="41"/>
        <v>14657.115868055969</v>
      </c>
      <c r="K293" s="10">
        <f t="shared" si="37"/>
        <v>8883.2017283950609</v>
      </c>
      <c r="L293" s="10">
        <f>'D) Ecrêtage'!C293</f>
        <v>4722.5551851851851</v>
      </c>
      <c r="M293" s="10">
        <f t="shared" si="38"/>
        <v>5520.3145821610888</v>
      </c>
      <c r="N293" s="55">
        <f t="shared" si="40"/>
        <v>14403.51631055615</v>
      </c>
      <c r="O293" s="411"/>
      <c r="P293" s="215"/>
      <c r="Q293" s="212"/>
      <c r="R293" s="212"/>
      <c r="S293" s="216"/>
    </row>
    <row r="294" spans="1:19" s="211" customFormat="1" x14ac:dyDescent="0.25">
      <c r="A294" s="300">
        <f>'A) Base RI'!A295</f>
        <v>5913</v>
      </c>
      <c r="B294" s="223" t="str">
        <f>'A) Base RI'!B295</f>
        <v>Donneloye</v>
      </c>
      <c r="C294" s="238">
        <v>0</v>
      </c>
      <c r="D294" s="213">
        <f>'B) D RI'!AA295</f>
        <v>891</v>
      </c>
      <c r="E294" s="214">
        <f>'B) D RI'!S295</f>
        <v>73</v>
      </c>
      <c r="F294" s="10">
        <f>'B) D RI'!R295</f>
        <v>1744212.5399999998</v>
      </c>
      <c r="G294" s="10">
        <f>'B) D RI'!U295</f>
        <v>23893.322465753423</v>
      </c>
      <c r="H294" s="41">
        <f>'B) D RI'!T295</f>
        <v>1620904.1899999997</v>
      </c>
      <c r="I294" s="10">
        <f t="shared" si="42"/>
        <v>44408.333972602733</v>
      </c>
      <c r="J294" s="31">
        <f t="shared" si="41"/>
        <v>79631.038039255291</v>
      </c>
      <c r="K294" s="10">
        <f t="shared" si="37"/>
        <v>44408.333972602733</v>
      </c>
      <c r="L294" s="10">
        <f>'D) Ecrêtage'!C294</f>
        <v>23893.322465753423</v>
      </c>
      <c r="M294" s="10">
        <f t="shared" si="38"/>
        <v>27929.510879565005</v>
      </c>
      <c r="N294" s="55">
        <f t="shared" si="40"/>
        <v>72337.844852167735</v>
      </c>
      <c r="O294" s="411"/>
      <c r="P294" s="215"/>
      <c r="Q294" s="212"/>
      <c r="R294" s="212"/>
      <c r="S294" s="216"/>
    </row>
    <row r="295" spans="1:19" s="211" customFormat="1" x14ac:dyDescent="0.25">
      <c r="A295" s="300">
        <f>'A) Base RI'!A296</f>
        <v>5914</v>
      </c>
      <c r="B295" s="223" t="str">
        <f>'A) Base RI'!B296</f>
        <v>Ependes</v>
      </c>
      <c r="C295" s="238">
        <v>1</v>
      </c>
      <c r="D295" s="213">
        <f>'B) D RI'!AA296</f>
        <v>381</v>
      </c>
      <c r="E295" s="214">
        <f>'B) D RI'!S296</f>
        <v>73.5</v>
      </c>
      <c r="F295" s="10">
        <f>'B) D RI'!R296</f>
        <v>722469.23</v>
      </c>
      <c r="G295" s="10">
        <f>'B) D RI'!U296</f>
        <v>9829.5133333333324</v>
      </c>
      <c r="H295" s="41">
        <f>'B) D RI'!T296</f>
        <v>647217.63</v>
      </c>
      <c r="I295" s="10">
        <f t="shared" si="42"/>
        <v>17611.364081632652</v>
      </c>
      <c r="J295" s="31">
        <f t="shared" si="41"/>
        <v>34050.982595910515</v>
      </c>
      <c r="K295" s="10">
        <f t="shared" si="37"/>
        <v>0</v>
      </c>
      <c r="L295" s="10">
        <f>'D) Ecrêtage'!C295</f>
        <v>9829.5133333333324</v>
      </c>
      <c r="M295" s="10">
        <f t="shared" si="38"/>
        <v>11489.967541251521</v>
      </c>
      <c r="N295" s="55">
        <f t="shared" si="40"/>
        <v>11489.967541251521</v>
      </c>
      <c r="O295" s="411"/>
      <c r="P295" s="215"/>
      <c r="Q295" s="212"/>
      <c r="R295" s="212"/>
      <c r="S295" s="216"/>
    </row>
    <row r="296" spans="1:19" s="211" customFormat="1" x14ac:dyDescent="0.25">
      <c r="A296" s="300">
        <f>'A) Base RI'!A297</f>
        <v>5919</v>
      </c>
      <c r="B296" s="223" t="str">
        <f>'A) Base RI'!B297</f>
        <v>Mathod</v>
      </c>
      <c r="C296" s="238">
        <v>1</v>
      </c>
      <c r="D296" s="213">
        <f>'B) D RI'!AA297</f>
        <v>655</v>
      </c>
      <c r="E296" s="214">
        <f>'B) D RI'!S297</f>
        <v>72</v>
      </c>
      <c r="F296" s="10">
        <f>'B) D RI'!R297</f>
        <v>1345311.79</v>
      </c>
      <c r="G296" s="10">
        <f>'B) D RI'!U297</f>
        <v>18684.885972222222</v>
      </c>
      <c r="H296" s="41">
        <f>'B) D RI'!T297</f>
        <v>1214866.24</v>
      </c>
      <c r="I296" s="10">
        <f t="shared" si="42"/>
        <v>33746.284444444442</v>
      </c>
      <c r="J296" s="31">
        <f t="shared" si="41"/>
        <v>58539.090814491828</v>
      </c>
      <c r="K296" s="10">
        <f t="shared" si="37"/>
        <v>0</v>
      </c>
      <c r="L296" s="10">
        <f>'D) Ecrêtage'!C296</f>
        <v>18684.885972222222</v>
      </c>
      <c r="M296" s="10">
        <f t="shared" si="38"/>
        <v>21841.237307728956</v>
      </c>
      <c r="N296" s="55">
        <f t="shared" si="40"/>
        <v>21841.237307728956</v>
      </c>
      <c r="O296" s="411"/>
      <c r="P296" s="215"/>
      <c r="Q296" s="212"/>
      <c r="R296" s="212"/>
      <c r="S296" s="216"/>
    </row>
    <row r="297" spans="1:19" s="211" customFormat="1" x14ac:dyDescent="0.25">
      <c r="A297" s="300">
        <f>'A) Base RI'!A298</f>
        <v>5921</v>
      </c>
      <c r="B297" s="223" t="str">
        <f>'A) Base RI'!B298</f>
        <v>Molondin</v>
      </c>
      <c r="C297" s="238">
        <v>0</v>
      </c>
      <c r="D297" s="213">
        <f>'B) D RI'!AA298</f>
        <v>239</v>
      </c>
      <c r="E297" s="214">
        <f>'B) D RI'!S298</f>
        <v>81</v>
      </c>
      <c r="F297" s="10">
        <f>'B) D RI'!R298</f>
        <v>475874.7300000001</v>
      </c>
      <c r="G297" s="10">
        <f>'B) D RI'!U298</f>
        <v>5874.9966666666678</v>
      </c>
      <c r="H297" s="41">
        <f>'B) D RI'!T298</f>
        <v>440037.18000000005</v>
      </c>
      <c r="I297" s="10">
        <f t="shared" si="42"/>
        <v>10865.115555555556</v>
      </c>
      <c r="J297" s="31">
        <f t="shared" si="41"/>
        <v>21360.065197959615</v>
      </c>
      <c r="K297" s="10">
        <f t="shared" si="37"/>
        <v>10865.115555555556</v>
      </c>
      <c r="L297" s="10">
        <f>'D) Ecrêtage'!C297</f>
        <v>5874.9966666666678</v>
      </c>
      <c r="M297" s="10">
        <f t="shared" si="38"/>
        <v>6867.4326709590468</v>
      </c>
      <c r="N297" s="55">
        <f t="shared" si="40"/>
        <v>17732.548226514602</v>
      </c>
      <c r="O297" s="411"/>
      <c r="P297" s="215"/>
      <c r="Q297" s="212"/>
      <c r="R297" s="212"/>
      <c r="S297" s="216"/>
    </row>
    <row r="298" spans="1:19" s="211" customFormat="1" x14ac:dyDescent="0.25">
      <c r="A298" s="300">
        <f>'A) Base RI'!A299</f>
        <v>5922</v>
      </c>
      <c r="B298" s="223" t="str">
        <f>'A) Base RI'!B299</f>
        <v>Montagny-près-Yverdon</v>
      </c>
      <c r="C298" s="238">
        <v>0</v>
      </c>
      <c r="D298" s="213">
        <f>'B) D RI'!AA299</f>
        <v>775</v>
      </c>
      <c r="E298" s="214">
        <f>'B) D RI'!S299</f>
        <v>64.5</v>
      </c>
      <c r="F298" s="10">
        <f>'B) D RI'!R299</f>
        <v>2555104.6100000003</v>
      </c>
      <c r="G298" s="10">
        <f>'B) D RI'!U299</f>
        <v>39614.024961240313</v>
      </c>
      <c r="H298" s="41">
        <f>'B) D RI'!T299</f>
        <v>2197239.4600000004</v>
      </c>
      <c r="I298" s="10">
        <f t="shared" si="42"/>
        <v>68131.456124031014</v>
      </c>
      <c r="J298" s="31">
        <f t="shared" si="41"/>
        <v>69263.80974233766</v>
      </c>
      <c r="K298" s="10">
        <f t="shared" si="37"/>
        <v>68131.456124031014</v>
      </c>
      <c r="L298" s="10">
        <f>'D) Ecrêtage'!C298</f>
        <v>39614.024961240313</v>
      </c>
      <c r="M298" s="10">
        <f t="shared" si="38"/>
        <v>46305.838910605147</v>
      </c>
      <c r="N298" s="55">
        <f t="shared" si="40"/>
        <v>114437.29503463616</v>
      </c>
      <c r="O298" s="411"/>
      <c r="P298" s="215"/>
      <c r="Q298" s="212"/>
      <c r="R298" s="212"/>
      <c r="S298" s="216"/>
    </row>
    <row r="299" spans="1:19" s="211" customFormat="1" x14ac:dyDescent="0.25">
      <c r="A299" s="300">
        <f>'A) Base RI'!A300</f>
        <v>5923</v>
      </c>
      <c r="B299" s="223" t="str">
        <f>'A) Base RI'!B300</f>
        <v>Oppens</v>
      </c>
      <c r="C299" s="238">
        <v>0</v>
      </c>
      <c r="D299" s="213">
        <f>'B) D RI'!AA300</f>
        <v>201</v>
      </c>
      <c r="E299" s="214">
        <f>'B) D RI'!S300</f>
        <v>81</v>
      </c>
      <c r="F299" s="10">
        <f>'B) D RI'!R300</f>
        <v>412681.71</v>
      </c>
      <c r="G299" s="10">
        <f>'B) D RI'!U300</f>
        <v>5094.8359259259259</v>
      </c>
      <c r="H299" s="41">
        <f>'B) D RI'!T300</f>
        <v>386278.31</v>
      </c>
      <c r="I299" s="10">
        <f t="shared" si="42"/>
        <v>9537.7360493827164</v>
      </c>
      <c r="J299" s="31">
        <f t="shared" si="41"/>
        <v>17963.904204141767</v>
      </c>
      <c r="K299" s="10">
        <f t="shared" si="37"/>
        <v>9537.7360493827164</v>
      </c>
      <c r="L299" s="10">
        <f>'D) Ecrêtage'!C299</f>
        <v>5094.8359259259259</v>
      </c>
      <c r="M299" s="10">
        <f t="shared" si="38"/>
        <v>5955.4829859556658</v>
      </c>
      <c r="N299" s="55">
        <f t="shared" si="40"/>
        <v>15493.219035338381</v>
      </c>
      <c r="O299" s="411"/>
      <c r="P299" s="215"/>
      <c r="Q299" s="212"/>
      <c r="R299" s="212"/>
      <c r="S299" s="216"/>
    </row>
    <row r="300" spans="1:19" s="211" customFormat="1" x14ac:dyDescent="0.25">
      <c r="A300" s="300">
        <f>'A) Base RI'!A301</f>
        <v>5924</v>
      </c>
      <c r="B300" s="223" t="str">
        <f>'A) Base RI'!B301</f>
        <v>Orges</v>
      </c>
      <c r="C300" s="238">
        <v>0</v>
      </c>
      <c r="D300" s="213">
        <f>'B) D RI'!AA301</f>
        <v>367</v>
      </c>
      <c r="E300" s="214">
        <f>'B) D RI'!S301</f>
        <v>74</v>
      </c>
      <c r="F300" s="10">
        <f>'B) D RI'!R301</f>
        <v>970152.57000000018</v>
      </c>
      <c r="G300" s="10">
        <f>'B) D RI'!U301</f>
        <v>13110.169864864867</v>
      </c>
      <c r="H300" s="41">
        <f>'B) D RI'!T301</f>
        <v>911996.82000000018</v>
      </c>
      <c r="I300" s="10">
        <f t="shared" si="42"/>
        <v>24648.562702702708</v>
      </c>
      <c r="J300" s="31">
        <f t="shared" si="41"/>
        <v>32799.765387661835</v>
      </c>
      <c r="K300" s="10">
        <f t="shared" si="37"/>
        <v>24648.562702702708</v>
      </c>
      <c r="L300" s="10">
        <f>'D) Ecrêtage'!C300</f>
        <v>13110.169864864867</v>
      </c>
      <c r="M300" s="10">
        <f t="shared" si="38"/>
        <v>15324.810201616408</v>
      </c>
      <c r="N300" s="55">
        <f t="shared" si="40"/>
        <v>39973.372904319112</v>
      </c>
      <c r="O300" s="411"/>
      <c r="P300" s="215"/>
      <c r="Q300" s="212"/>
      <c r="R300" s="212"/>
      <c r="S300" s="216"/>
    </row>
    <row r="301" spans="1:19" s="211" customFormat="1" x14ac:dyDescent="0.25">
      <c r="A301" s="300">
        <f>'A) Base RI'!A302</f>
        <v>5925</v>
      </c>
      <c r="B301" s="223" t="str">
        <f>'A) Base RI'!B302</f>
        <v>Orzens</v>
      </c>
      <c r="C301" s="238">
        <v>0</v>
      </c>
      <c r="D301" s="213">
        <f>'B) D RI'!AA302</f>
        <v>202</v>
      </c>
      <c r="E301" s="214">
        <f>'B) D RI'!S302</f>
        <v>79</v>
      </c>
      <c r="F301" s="10">
        <f>'B) D RI'!R302</f>
        <v>413216.36</v>
      </c>
      <c r="G301" s="10">
        <f>'B) D RI'!U302</f>
        <v>5230.5868354430377</v>
      </c>
      <c r="H301" s="41">
        <f>'B) D RI'!T302</f>
        <v>380697.95999999996</v>
      </c>
      <c r="I301" s="10">
        <f t="shared" si="42"/>
        <v>9637.9230379746823</v>
      </c>
      <c r="J301" s="31">
        <f t="shared" si="41"/>
        <v>18053.276861873816</v>
      </c>
      <c r="K301" s="10">
        <f t="shared" si="37"/>
        <v>9637.9230379746823</v>
      </c>
      <c r="L301" s="10">
        <f>'D) Ecrêtage'!C301</f>
        <v>5230.5868354430377</v>
      </c>
      <c r="M301" s="10">
        <f t="shared" si="38"/>
        <v>6114.1656685211974</v>
      </c>
      <c r="N301" s="55">
        <f t="shared" si="40"/>
        <v>15752.088706495881</v>
      </c>
      <c r="O301" s="411"/>
      <c r="P301" s="215"/>
      <c r="Q301" s="212"/>
      <c r="R301" s="212"/>
      <c r="S301" s="216"/>
    </row>
    <row r="302" spans="1:19" s="211" customFormat="1" x14ac:dyDescent="0.25">
      <c r="A302" s="300">
        <f>'A) Base RI'!A303</f>
        <v>5926</v>
      </c>
      <c r="B302" s="223" t="str">
        <f>'A) Base RI'!B303</f>
        <v>Pomy</v>
      </c>
      <c r="C302" s="238">
        <v>1</v>
      </c>
      <c r="D302" s="213">
        <f>'B) D RI'!AA303</f>
        <v>838</v>
      </c>
      <c r="E302" s="214">
        <f>'B) D RI'!S303</f>
        <v>71</v>
      </c>
      <c r="F302" s="10">
        <f>'B) D RI'!R303</f>
        <v>1979132.3800000001</v>
      </c>
      <c r="G302" s="10">
        <f>'B) D RI'!U303</f>
        <v>27875.103943661972</v>
      </c>
      <c r="H302" s="41">
        <f>'B) D RI'!T303</f>
        <v>1846892.3800000001</v>
      </c>
      <c r="I302" s="10">
        <f t="shared" si="42"/>
        <v>52025.137464788735</v>
      </c>
      <c r="J302" s="31">
        <f t="shared" si="41"/>
        <v>74894.287179456718</v>
      </c>
      <c r="K302" s="10">
        <f t="shared" si="37"/>
        <v>0</v>
      </c>
      <c r="L302" s="10">
        <f>'D) Ecrêtage'!C302</f>
        <v>27875.103943661972</v>
      </c>
      <c r="M302" s="10">
        <f t="shared" si="38"/>
        <v>32583.916279512825</v>
      </c>
      <c r="N302" s="55">
        <f t="shared" si="40"/>
        <v>32583.916279512825</v>
      </c>
      <c r="O302" s="411"/>
      <c r="P302" s="215"/>
      <c r="Q302" s="212"/>
      <c r="R302" s="212"/>
      <c r="S302" s="216"/>
    </row>
    <row r="303" spans="1:19" s="211" customFormat="1" x14ac:dyDescent="0.25">
      <c r="A303" s="300">
        <f>'A) Base RI'!A304</f>
        <v>5928</v>
      </c>
      <c r="B303" s="223" t="str">
        <f>'A) Base RI'!B304</f>
        <v>Rovray</v>
      </c>
      <c r="C303" s="238">
        <v>0</v>
      </c>
      <c r="D303" s="213">
        <f>'B) D RI'!AA304</f>
        <v>206</v>
      </c>
      <c r="E303" s="214">
        <f>'B) D RI'!S304</f>
        <v>71.5</v>
      </c>
      <c r="F303" s="10">
        <f>'B) D RI'!R304</f>
        <v>390351.43999999994</v>
      </c>
      <c r="G303" s="10">
        <f>'B) D RI'!U304</f>
        <v>5459.4606993006983</v>
      </c>
      <c r="H303" s="41">
        <f>'B) D RI'!T304</f>
        <v>366878.13999999996</v>
      </c>
      <c r="I303" s="10">
        <f t="shared" si="42"/>
        <v>10262.325594405593</v>
      </c>
      <c r="J303" s="31">
        <f t="shared" si="41"/>
        <v>18410.76749280201</v>
      </c>
      <c r="K303" s="10">
        <f t="shared" ref="K303:K313" si="43">IF(C303=1,0,IF(J303&gt;I303,I303,J303))</f>
        <v>10262.325594405593</v>
      </c>
      <c r="L303" s="10">
        <f>'D) Ecrêtage'!C303</f>
        <v>5459.4606993006983</v>
      </c>
      <c r="M303" s="10">
        <f t="shared" si="38"/>
        <v>6381.7021352399979</v>
      </c>
      <c r="N303" s="55">
        <f t="shared" si="40"/>
        <v>16644.02772964559</v>
      </c>
      <c r="O303" s="411"/>
      <c r="P303" s="215"/>
      <c r="Q303" s="212"/>
      <c r="R303" s="212"/>
      <c r="S303" s="216"/>
    </row>
    <row r="304" spans="1:19" s="211" customFormat="1" x14ac:dyDescent="0.25">
      <c r="A304" s="300">
        <f>'A) Base RI'!A305</f>
        <v>5929</v>
      </c>
      <c r="B304" s="223" t="str">
        <f>'A) Base RI'!B305</f>
        <v>Suchy</v>
      </c>
      <c r="C304" s="238">
        <v>1</v>
      </c>
      <c r="D304" s="213">
        <f>'B) D RI'!AA305</f>
        <v>656</v>
      </c>
      <c r="E304" s="214">
        <f>'B) D RI'!S305</f>
        <v>70</v>
      </c>
      <c r="F304" s="10">
        <f>'B) D RI'!R305</f>
        <v>1418689.1875</v>
      </c>
      <c r="G304" s="10">
        <f>'B) D RI'!U305</f>
        <v>20266.988392857143</v>
      </c>
      <c r="H304" s="41">
        <f>'B) D RI'!T305</f>
        <v>1302581.5</v>
      </c>
      <c r="I304" s="10">
        <f t="shared" si="42"/>
        <v>37216.614285714284</v>
      </c>
      <c r="J304" s="31">
        <f t="shared" si="41"/>
        <v>58628.463472223877</v>
      </c>
      <c r="K304" s="10">
        <f t="shared" si="43"/>
        <v>0</v>
      </c>
      <c r="L304" s="10">
        <f>'D) Ecrêtage'!C304</f>
        <v>20266.988392857143</v>
      </c>
      <c r="M304" s="10">
        <f t="shared" si="38"/>
        <v>23690.596970163657</v>
      </c>
      <c r="N304" s="55">
        <f t="shared" si="40"/>
        <v>23690.596970163657</v>
      </c>
      <c r="O304" s="411"/>
      <c r="P304" s="215"/>
      <c r="Q304" s="212"/>
      <c r="R304" s="212"/>
      <c r="S304" s="216"/>
    </row>
    <row r="305" spans="1:19" s="211" customFormat="1" x14ac:dyDescent="0.25">
      <c r="A305" s="300">
        <f>'A) Base RI'!A306</f>
        <v>5930</v>
      </c>
      <c r="B305" s="223" t="str">
        <f>'A) Base RI'!B306</f>
        <v>Suscévaz</v>
      </c>
      <c r="C305" s="238">
        <v>1</v>
      </c>
      <c r="D305" s="213">
        <f>'B) D RI'!AA306</f>
        <v>215</v>
      </c>
      <c r="E305" s="214">
        <f>'B) D RI'!S306</f>
        <v>72</v>
      </c>
      <c r="F305" s="10">
        <f>'B) D RI'!R306</f>
        <v>479650.6</v>
      </c>
      <c r="G305" s="10">
        <f>'B) D RI'!U306</f>
        <v>6661.8138888888889</v>
      </c>
      <c r="H305" s="41">
        <f>'B) D RI'!T306</f>
        <v>447727.5</v>
      </c>
      <c r="I305" s="10">
        <f t="shared" si="42"/>
        <v>12436.875</v>
      </c>
      <c r="J305" s="31">
        <f t="shared" si="41"/>
        <v>19215.121412390446</v>
      </c>
      <c r="K305" s="10">
        <f t="shared" si="43"/>
        <v>0</v>
      </c>
      <c r="L305" s="10">
        <f>'D) Ecrêtage'!C305</f>
        <v>6661.8138888888889</v>
      </c>
      <c r="M305" s="10">
        <f t="shared" si="38"/>
        <v>7787.1632860621694</v>
      </c>
      <c r="N305" s="55">
        <f t="shared" si="40"/>
        <v>7787.1632860621694</v>
      </c>
      <c r="O305" s="411"/>
      <c r="P305" s="215"/>
      <c r="Q305" s="212"/>
      <c r="R305" s="212"/>
      <c r="S305" s="216"/>
    </row>
    <row r="306" spans="1:19" s="211" customFormat="1" x14ac:dyDescent="0.25">
      <c r="A306" s="300">
        <f>'A) Base RI'!A307</f>
        <v>5931</v>
      </c>
      <c r="B306" s="223" t="str">
        <f>'A) Base RI'!B307</f>
        <v>Treycovagnes</v>
      </c>
      <c r="C306" s="238">
        <v>1</v>
      </c>
      <c r="D306" s="213">
        <f>'B) D RI'!AA307</f>
        <v>490</v>
      </c>
      <c r="E306" s="214">
        <f>'B) D RI'!S307</f>
        <v>75</v>
      </c>
      <c r="F306" s="10">
        <f>'B) D RI'!R307</f>
        <v>1145332.0099999998</v>
      </c>
      <c r="G306" s="10">
        <f>'B) D RI'!U307</f>
        <v>15271.093466666664</v>
      </c>
      <c r="H306" s="41">
        <f>'B) D RI'!T307</f>
        <v>1064178.8099999998</v>
      </c>
      <c r="I306" s="10">
        <f t="shared" si="42"/>
        <v>28378.101599999995</v>
      </c>
      <c r="J306" s="31">
        <f t="shared" si="41"/>
        <v>43792.602288703813</v>
      </c>
      <c r="K306" s="10">
        <f t="shared" si="43"/>
        <v>0</v>
      </c>
      <c r="L306" s="10">
        <f>'D) Ecrêtage'!C306</f>
        <v>15271.093466666664</v>
      </c>
      <c r="M306" s="10">
        <f t="shared" si="38"/>
        <v>17850.768629245613</v>
      </c>
      <c r="N306" s="55">
        <f t="shared" si="40"/>
        <v>17850.768629245613</v>
      </c>
      <c r="O306" s="411"/>
      <c r="P306" s="215"/>
      <c r="Q306" s="212"/>
      <c r="R306" s="212"/>
      <c r="S306" s="216"/>
    </row>
    <row r="307" spans="1:19" s="211" customFormat="1" x14ac:dyDescent="0.25">
      <c r="A307" s="300">
        <f>'A) Base RI'!A308</f>
        <v>5932</v>
      </c>
      <c r="B307" s="223" t="str">
        <f>'A) Base RI'!B308</f>
        <v>Ursins</v>
      </c>
      <c r="C307" s="238">
        <v>0</v>
      </c>
      <c r="D307" s="213">
        <f>'B) D RI'!AA308</f>
        <v>228</v>
      </c>
      <c r="E307" s="214">
        <f>'B) D RI'!S308</f>
        <v>75</v>
      </c>
      <c r="F307" s="10">
        <f>'B) D RI'!R308</f>
        <v>577749.33000000019</v>
      </c>
      <c r="G307" s="10">
        <f>'B) D RI'!U308</f>
        <v>7703.3244000000022</v>
      </c>
      <c r="H307" s="41">
        <f>'B) D RI'!T308</f>
        <v>542620.53000000014</v>
      </c>
      <c r="I307" s="10">
        <f t="shared" si="42"/>
        <v>14469.880800000004</v>
      </c>
      <c r="J307" s="31">
        <f t="shared" si="41"/>
        <v>20376.965962907081</v>
      </c>
      <c r="K307" s="10">
        <f t="shared" si="43"/>
        <v>14469.880800000004</v>
      </c>
      <c r="L307" s="10">
        <f>'D) Ecrêtage'!C307</f>
        <v>7703.3244000000022</v>
      </c>
      <c r="M307" s="10">
        <f t="shared" si="38"/>
        <v>9004.6113489237741</v>
      </c>
      <c r="N307" s="55">
        <f t="shared" si="40"/>
        <v>23474.492148923779</v>
      </c>
      <c r="O307" s="411"/>
      <c r="P307" s="215"/>
      <c r="Q307" s="212"/>
      <c r="R307" s="212"/>
      <c r="S307" s="216"/>
    </row>
    <row r="308" spans="1:19" s="211" customFormat="1" x14ac:dyDescent="0.25">
      <c r="A308" s="300">
        <f>'A) Base RI'!A309</f>
        <v>5933</v>
      </c>
      <c r="B308" s="223" t="str">
        <f>'A) Base RI'!B309</f>
        <v>Valeyres-sous-Montagny</v>
      </c>
      <c r="C308" s="238">
        <v>0</v>
      </c>
      <c r="D308" s="213">
        <f>'B) D RI'!AA309</f>
        <v>697</v>
      </c>
      <c r="E308" s="214">
        <f>'B) D RI'!S309</f>
        <v>70.5</v>
      </c>
      <c r="F308" s="10">
        <f>'B) D RI'!R309</f>
        <v>1382298.6499999997</v>
      </c>
      <c r="G308" s="10">
        <f>'B) D RI'!U309</f>
        <v>19607.073049645387</v>
      </c>
      <c r="H308" s="41">
        <f>'B) D RI'!T309</f>
        <v>1255842.4499999997</v>
      </c>
      <c r="I308" s="10">
        <f t="shared" si="42"/>
        <v>35626.73617021276</v>
      </c>
      <c r="J308" s="31">
        <f t="shared" ref="J308:J313" si="44">+$I$314/$D$314*D308</f>
        <v>62292.742439237867</v>
      </c>
      <c r="K308" s="10">
        <f t="shared" si="43"/>
        <v>35626.73617021276</v>
      </c>
      <c r="L308" s="10">
        <f>'D) Ecrêtage'!C308</f>
        <v>19607.073049645387</v>
      </c>
      <c r="M308" s="10">
        <f t="shared" si="38"/>
        <v>22919.205181338886</v>
      </c>
      <c r="N308" s="55">
        <f t="shared" si="40"/>
        <v>58545.94135155165</v>
      </c>
      <c r="O308" s="411"/>
      <c r="P308" s="215"/>
      <c r="Q308" s="212"/>
      <c r="R308" s="212"/>
      <c r="S308" s="216"/>
    </row>
    <row r="309" spans="1:19" s="211" customFormat="1" x14ac:dyDescent="0.25">
      <c r="A309" s="300">
        <f>'A) Base RI'!A310</f>
        <v>5934</v>
      </c>
      <c r="B309" s="223" t="str">
        <f>'A) Base RI'!B310</f>
        <v>Valeyres-sous-Ursins</v>
      </c>
      <c r="C309" s="238">
        <v>0</v>
      </c>
      <c r="D309" s="213">
        <f>'B) D RI'!AA310</f>
        <v>247</v>
      </c>
      <c r="E309" s="214">
        <f>'B) D RI'!S310</f>
        <v>77</v>
      </c>
      <c r="F309" s="10">
        <f>'B) D RI'!R310</f>
        <v>540407.84000000008</v>
      </c>
      <c r="G309" s="10">
        <f>'B) D RI'!U310</f>
        <v>7018.283636363637</v>
      </c>
      <c r="H309" s="41">
        <f>'B) D RI'!T310</f>
        <v>510294.79000000004</v>
      </c>
      <c r="I309" s="10">
        <f t="shared" si="42"/>
        <v>13254.410129870132</v>
      </c>
      <c r="J309" s="31">
        <f t="shared" si="44"/>
        <v>22075.046459816003</v>
      </c>
      <c r="K309" s="10">
        <f t="shared" si="43"/>
        <v>13254.410129870132</v>
      </c>
      <c r="L309" s="10">
        <f>'D) Ecrêtage'!C309</f>
        <v>7018.283636363637</v>
      </c>
      <c r="M309" s="10">
        <f t="shared" si="38"/>
        <v>8203.8498186530996</v>
      </c>
      <c r="N309" s="55">
        <f t="shared" si="40"/>
        <v>21458.259948523231</v>
      </c>
      <c r="O309" s="411"/>
      <c r="P309" s="215"/>
      <c r="Q309" s="212"/>
      <c r="R309" s="212"/>
      <c r="S309" s="216"/>
    </row>
    <row r="310" spans="1:19" s="211" customFormat="1" x14ac:dyDescent="0.25">
      <c r="A310" s="300">
        <f>'A) Base RI'!A311</f>
        <v>5935</v>
      </c>
      <c r="B310" s="223" t="str">
        <f>'A) Base RI'!B311</f>
        <v>Villars-Epeney</v>
      </c>
      <c r="C310" s="238">
        <v>0</v>
      </c>
      <c r="D310" s="213">
        <f>'B) D RI'!AA311</f>
        <v>95</v>
      </c>
      <c r="E310" s="214">
        <f>'B) D RI'!S311</f>
        <v>60</v>
      </c>
      <c r="F310" s="10">
        <f>'B) D RI'!R311</f>
        <v>206893.83</v>
      </c>
      <c r="G310" s="10">
        <f>'B) D RI'!U311</f>
        <v>3448.2304999999997</v>
      </c>
      <c r="H310" s="41">
        <f>'B) D RI'!T311</f>
        <v>186344.28</v>
      </c>
      <c r="I310" s="10">
        <f t="shared" si="42"/>
        <v>6211.4759999999997</v>
      </c>
      <c r="J310" s="31">
        <f t="shared" si="44"/>
        <v>8490.4024845446165</v>
      </c>
      <c r="K310" s="10">
        <f t="shared" si="43"/>
        <v>6211.4759999999997</v>
      </c>
      <c r="L310" s="10">
        <f>'D) Ecrêtage'!C310</f>
        <v>3448.2304999999997</v>
      </c>
      <c r="M310" s="10">
        <f t="shared" si="38"/>
        <v>4030.7241239905575</v>
      </c>
      <c r="N310" s="55">
        <f t="shared" si="40"/>
        <v>10242.200123990557</v>
      </c>
      <c r="O310" s="411"/>
      <c r="P310" s="215"/>
      <c r="Q310" s="212"/>
      <c r="R310" s="212"/>
      <c r="S310" s="216"/>
    </row>
    <row r="311" spans="1:19" s="211" customFormat="1" x14ac:dyDescent="0.25">
      <c r="A311" s="300">
        <f>'A) Base RI'!A312</f>
        <v>5937</v>
      </c>
      <c r="B311" s="223" t="str">
        <f>'A) Base RI'!B312</f>
        <v>Vugelles-La Mothe</v>
      </c>
      <c r="C311" s="238">
        <v>0</v>
      </c>
      <c r="D311" s="213">
        <f>'B) D RI'!AA312</f>
        <v>140</v>
      </c>
      <c r="E311" s="214">
        <f>'B) D RI'!S312</f>
        <v>70</v>
      </c>
      <c r="F311" s="10">
        <f>'B) D RI'!R312</f>
        <v>243584.20142857142</v>
      </c>
      <c r="G311" s="10">
        <f>'B) D RI'!U312</f>
        <v>3479.7743061224487</v>
      </c>
      <c r="H311" s="41">
        <f>'B) D RI'!T312</f>
        <v>226206.03</v>
      </c>
      <c r="I311" s="10">
        <f t="shared" si="42"/>
        <v>6463.029428571429</v>
      </c>
      <c r="J311" s="31">
        <f t="shared" si="44"/>
        <v>12512.172082486803</v>
      </c>
      <c r="K311" s="10">
        <f t="shared" si="43"/>
        <v>6463.029428571429</v>
      </c>
      <c r="L311" s="10">
        <f>'D) Ecrêtage'!C311</f>
        <v>3479.7743061224487</v>
      </c>
      <c r="M311" s="10">
        <f t="shared" si="38"/>
        <v>4067.5964793334606</v>
      </c>
      <c r="N311" s="55">
        <f t="shared" si="40"/>
        <v>10530.62590790489</v>
      </c>
      <c r="O311" s="411"/>
      <c r="P311" s="215"/>
      <c r="Q311" s="212"/>
      <c r="R311" s="212"/>
      <c r="S311" s="216"/>
    </row>
    <row r="312" spans="1:19" s="211" customFormat="1" x14ac:dyDescent="0.25">
      <c r="A312" s="300">
        <f>'A) Base RI'!A313</f>
        <v>5938</v>
      </c>
      <c r="B312" s="223" t="str">
        <f>'A) Base RI'!B313</f>
        <v>Yverdon-les-Bains</v>
      </c>
      <c r="C312" s="238">
        <v>1</v>
      </c>
      <c r="D312" s="213">
        <f>'B) D RI'!AA313</f>
        <v>29710</v>
      </c>
      <c r="E312" s="214">
        <f>'B) D RI'!S313</f>
        <v>75</v>
      </c>
      <c r="F312" s="10">
        <f>'B) D RI'!R313</f>
        <v>57207772.360000007</v>
      </c>
      <c r="G312" s="10">
        <f>'B) D RI'!U313</f>
        <v>762770.29813333345</v>
      </c>
      <c r="H312" s="41">
        <f>'B) D RI'!T313</f>
        <v>52106933.510000005</v>
      </c>
      <c r="I312" s="10">
        <f t="shared" si="42"/>
        <v>1389518.2269333336</v>
      </c>
      <c r="J312" s="31">
        <f t="shared" si="44"/>
        <v>2655261.6612191638</v>
      </c>
      <c r="K312" s="10">
        <f t="shared" si="43"/>
        <v>0</v>
      </c>
      <c r="L312" s="10">
        <f>'D) Ecrêtage'!C312</f>
        <v>762770.29813333345</v>
      </c>
      <c r="M312" s="10">
        <f t="shared" si="38"/>
        <v>891621.55538891524</v>
      </c>
      <c r="N312" s="55">
        <f t="shared" si="40"/>
        <v>891621.55538891524</v>
      </c>
      <c r="O312" s="411"/>
      <c r="P312" s="215"/>
      <c r="Q312" s="212"/>
      <c r="R312" s="212"/>
      <c r="S312" s="216"/>
    </row>
    <row r="313" spans="1:19" s="211" customFormat="1" x14ac:dyDescent="0.25">
      <c r="A313" s="301">
        <f>'A) Base RI'!A314</f>
        <v>5939</v>
      </c>
      <c r="B313" s="223" t="str">
        <f>'A) Base RI'!B314</f>
        <v>Yvonand</v>
      </c>
      <c r="C313" s="238">
        <v>0</v>
      </c>
      <c r="D313" s="213">
        <f>'B) D RI'!AA314</f>
        <v>3512</v>
      </c>
      <c r="E313" s="214">
        <f>'B) D RI'!S314</f>
        <v>71.5</v>
      </c>
      <c r="F313" s="10">
        <f>'B) D RI'!R314</f>
        <v>7531586.1100000013</v>
      </c>
      <c r="G313" s="10">
        <f>'B) D RI'!U314</f>
        <v>105336.86867132869</v>
      </c>
      <c r="H313" s="41">
        <f>'B) D RI'!T314</f>
        <v>6888938.3100000005</v>
      </c>
      <c r="I313" s="18">
        <f t="shared" si="42"/>
        <v>192697.57510489511</v>
      </c>
      <c r="J313" s="106">
        <f t="shared" si="44"/>
        <v>313876.77395495464</v>
      </c>
      <c r="K313" s="10">
        <f t="shared" si="43"/>
        <v>192697.57510489511</v>
      </c>
      <c r="L313" s="18">
        <f>'D) Ecrêtage'!C313</f>
        <v>105336.86867132869</v>
      </c>
      <c r="M313" s="18">
        <f>+$M$5*L313</f>
        <v>123130.93852024966</v>
      </c>
      <c r="N313" s="101">
        <f t="shared" si="40"/>
        <v>315828.51362514478</v>
      </c>
      <c r="O313" s="411"/>
      <c r="P313" s="215"/>
      <c r="Q313" s="212"/>
      <c r="R313" s="212"/>
      <c r="S313" s="216"/>
    </row>
    <row r="314" spans="1:19" s="211" customFormat="1" x14ac:dyDescent="0.25">
      <c r="A314" s="30"/>
      <c r="B314" s="117">
        <f>COUNTA(B6:B313)</f>
        <v>308</v>
      </c>
      <c r="C314" s="232">
        <f>SUM(C6:C313)</f>
        <v>52</v>
      </c>
      <c r="D314" s="225">
        <f>SUM(D6:D313)</f>
        <v>823879</v>
      </c>
      <c r="E314" s="225"/>
      <c r="F314" s="225">
        <f t="shared" ref="F314:L314" si="45">SUM(F6:F313)</f>
        <v>2694982869.0734377</v>
      </c>
      <c r="G314" s="225">
        <f t="shared" si="45"/>
        <v>39865815.115802124</v>
      </c>
      <c r="H314" s="225">
        <f t="shared" si="45"/>
        <v>2487947405.1500006</v>
      </c>
      <c r="I314" s="240">
        <f>SUM(I6:I313)</f>
        <v>73632255.879622459</v>
      </c>
      <c r="J314" s="225">
        <f t="shared" si="45"/>
        <v>73632255.879622459</v>
      </c>
      <c r="K314" s="352">
        <f t="shared" si="45"/>
        <v>23375641.630916234</v>
      </c>
      <c r="L314" s="225">
        <f t="shared" si="45"/>
        <v>39865815.115802124</v>
      </c>
      <c r="M314" s="233">
        <f>Paramètres!B61-K314</f>
        <v>46600162.810986981</v>
      </c>
      <c r="N314" s="227">
        <f>SUM(N6:N313)</f>
        <v>69975804.441903159</v>
      </c>
      <c r="O314" s="212"/>
      <c r="P314" s="477"/>
      <c r="Q314" s="212"/>
      <c r="R314" s="212"/>
    </row>
    <row r="315" spans="1:19" s="211" customFormat="1" x14ac:dyDescent="0.25">
      <c r="A315" s="210"/>
      <c r="B315" s="210"/>
      <c r="C315" s="210"/>
      <c r="D315" s="210"/>
      <c r="E315" s="210"/>
      <c r="F315" s="210"/>
      <c r="G315" s="210"/>
      <c r="H315" s="210"/>
      <c r="I315" s="239"/>
      <c r="J315" s="210"/>
      <c r="K315" s="210"/>
      <c r="L315" s="210"/>
      <c r="M315" s="217"/>
      <c r="N315" s="210"/>
      <c r="O315" s="212"/>
      <c r="Q315" s="212"/>
      <c r="R315" s="212"/>
    </row>
    <row r="316" spans="1:19" x14ac:dyDescent="0.25">
      <c r="I316" s="239"/>
      <c r="J316" s="239"/>
      <c r="K316" s="239"/>
      <c r="L316" s="239"/>
      <c r="M316" s="410"/>
      <c r="N316" s="239"/>
    </row>
  </sheetData>
  <protectedRanges>
    <protectedRange sqref="C6:C313" name="Plage1"/>
  </protectedRanges>
  <mergeCells count="12">
    <mergeCell ref="N4:N5"/>
    <mergeCell ref="B4:B5"/>
    <mergeCell ref="A4:A5"/>
    <mergeCell ref="L4:L5"/>
    <mergeCell ref="K4:K5"/>
    <mergeCell ref="J4:J5"/>
    <mergeCell ref="H4:H5"/>
    <mergeCell ref="G4:G5"/>
    <mergeCell ref="F4:F5"/>
    <mergeCell ref="E4:E5"/>
    <mergeCell ref="D4:D5"/>
    <mergeCell ref="C4:C5"/>
  </mergeCells>
  <printOptions horizontalCentered="1" verticalCentered="1"/>
  <pageMargins left="0.78740157480314965" right="0.78740157480314965" top="0.98425196850393704" bottom="0.98425196850393704" header="0.51181102362204722" footer="0.51181102362204722"/>
  <pageSetup paperSize="8" fitToHeight="9" orientation="landscape" r:id="rId1"/>
  <headerFooter alignWithMargins="0">
    <oddFooter>&amp;L&amp;8SCL - Division finances communales&amp;C- &amp;N -&amp;R&amp;8ASFiCo/FW/Juillet 2014</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7">
    <tabColor rgb="FF00B0F0"/>
  </sheetPr>
  <dimension ref="A1:Q316"/>
  <sheetViews>
    <sheetView zoomScaleNormal="100" workbookViewId="0">
      <selection sqref="A1:E1"/>
    </sheetView>
  </sheetViews>
  <sheetFormatPr baseColWidth="10" defaultColWidth="10.75" defaultRowHeight="15" x14ac:dyDescent="0.25"/>
  <cols>
    <col min="1" max="1" width="7.5" style="13" customWidth="1"/>
    <col min="2" max="2" width="20.25" style="13" bestFit="1" customWidth="1"/>
    <col min="3" max="3" width="6.125" style="15" bestFit="1" customWidth="1"/>
    <col min="4" max="4" width="10.875" style="148" customWidth="1"/>
    <col min="5" max="5" width="11.875" style="148" customWidth="1"/>
    <col min="6" max="6" width="9.5" style="13" bestFit="1" customWidth="1"/>
    <col min="7" max="7" width="14.375" style="13" customWidth="1"/>
    <col min="8" max="8" width="10.75" style="13" customWidth="1"/>
    <col min="9" max="9" width="12.125" style="13" customWidth="1"/>
    <col min="10" max="10" width="12.375" style="13" customWidth="1"/>
    <col min="11" max="11" width="13.125" style="13" customWidth="1"/>
    <col min="12" max="12" width="12.625" style="13" customWidth="1"/>
    <col min="13" max="13" width="8.625" style="13" bestFit="1" customWidth="1"/>
    <col min="14" max="14" width="9.5" style="13" bestFit="1" customWidth="1"/>
    <col min="15" max="15" width="10.75" style="393" customWidth="1"/>
    <col min="16" max="16" width="10.75" style="13"/>
    <col min="17" max="17" width="15.25" style="13" bestFit="1" customWidth="1"/>
    <col min="18" max="16384" width="10.75" style="13"/>
  </cols>
  <sheetData>
    <row r="1" spans="1:16" s="43" customFormat="1" ht="20.25" customHeight="1" x14ac:dyDescent="0.2">
      <c r="A1" s="637" t="s">
        <v>454</v>
      </c>
      <c r="B1" s="638"/>
      <c r="C1" s="638"/>
      <c r="D1" s="638"/>
      <c r="E1" s="638"/>
      <c r="F1" s="68"/>
      <c r="G1" s="68"/>
      <c r="H1" s="68"/>
      <c r="I1" s="68"/>
      <c r="J1" s="68"/>
      <c r="K1" s="68"/>
      <c r="L1" s="68"/>
      <c r="M1" s="68"/>
      <c r="N1" s="68"/>
    </row>
    <row r="2" spans="1:16" s="43" customFormat="1" ht="20.25" customHeight="1" x14ac:dyDescent="0.2">
      <c r="A2" s="465">
        <f>Paramètres!B5</f>
        <v>2021</v>
      </c>
      <c r="B2" s="485"/>
      <c r="C2" s="486"/>
      <c r="D2" s="467"/>
      <c r="E2" s="467"/>
      <c r="F2" s="68"/>
      <c r="G2" s="68"/>
      <c r="H2" s="68"/>
      <c r="I2" s="68"/>
      <c r="J2" s="68"/>
      <c r="K2" s="68"/>
      <c r="L2" s="68"/>
      <c r="M2" s="68"/>
      <c r="N2" s="68"/>
    </row>
    <row r="3" spans="1:16" x14ac:dyDescent="0.25">
      <c r="D3" s="13"/>
      <c r="E3" s="13"/>
    </row>
    <row r="4" spans="1:16" ht="53.25" customHeight="1" x14ac:dyDescent="0.25">
      <c r="A4" s="592" t="s">
        <v>46</v>
      </c>
      <c r="B4" s="592" t="s">
        <v>94</v>
      </c>
      <c r="C4" s="613" t="s">
        <v>350</v>
      </c>
      <c r="D4" s="633" t="s">
        <v>296</v>
      </c>
      <c r="E4" s="633" t="s">
        <v>509</v>
      </c>
      <c r="F4" s="633" t="s">
        <v>559</v>
      </c>
      <c r="G4" s="633" t="s">
        <v>562</v>
      </c>
      <c r="H4" s="633" t="s">
        <v>137</v>
      </c>
      <c r="I4" s="628" t="s">
        <v>573</v>
      </c>
      <c r="J4" s="629"/>
      <c r="K4" s="630"/>
      <c r="L4" s="633" t="s">
        <v>574</v>
      </c>
      <c r="M4" s="633" t="s">
        <v>568</v>
      </c>
      <c r="N4" s="635" t="s">
        <v>136</v>
      </c>
      <c r="O4" s="631" t="s">
        <v>521</v>
      </c>
    </row>
    <row r="5" spans="1:16" ht="14.25" customHeight="1" x14ac:dyDescent="0.25">
      <c r="A5" s="594"/>
      <c r="B5" s="594"/>
      <c r="C5" s="614"/>
      <c r="D5" s="639"/>
      <c r="E5" s="634"/>
      <c r="F5" s="639"/>
      <c r="G5" s="634"/>
      <c r="H5" s="634"/>
      <c r="I5" s="481" t="s">
        <v>570</v>
      </c>
      <c r="J5" s="482" t="s">
        <v>571</v>
      </c>
      <c r="K5" s="481" t="s">
        <v>572</v>
      </c>
      <c r="L5" s="634"/>
      <c r="M5" s="634"/>
      <c r="N5" s="636"/>
      <c r="O5" s="632"/>
    </row>
    <row r="6" spans="1:16" s="152" customFormat="1" x14ac:dyDescent="0.25">
      <c r="A6" s="302">
        <f>'B) D RI'!A7</f>
        <v>5401</v>
      </c>
      <c r="B6" s="150" t="str">
        <f>'B) D RI'!B7</f>
        <v>Aigle</v>
      </c>
      <c r="C6" s="307">
        <f>'B) D RI'!S7</f>
        <v>66</v>
      </c>
      <c r="D6" s="308">
        <f>'B) D RI'!AA7</f>
        <v>10828</v>
      </c>
      <c r="E6" s="305">
        <f>'D) Ecrêtage'!C6</f>
        <v>280991.46517676767</v>
      </c>
      <c r="F6" s="155">
        <f>'E) PCS'!G12</f>
        <v>4888608.8245631475</v>
      </c>
      <c r="G6" s="306">
        <f>'H) Péréquation directe'!I16</f>
        <v>-4752370.0351789622</v>
      </c>
      <c r="H6" s="155">
        <f>+'I) Dépenses thématiques'!T6</f>
        <v>-4037930.8600568185</v>
      </c>
      <c r="I6" s="306">
        <f>'K) Plafonnement aide'!J6</f>
        <v>0</v>
      </c>
      <c r="J6" s="155">
        <f>'J) Plafonnement effort'!J6</f>
        <v>0</v>
      </c>
      <c r="K6" s="306">
        <f>'L) Plafonnement taux'!Q7</f>
        <v>0</v>
      </c>
      <c r="L6" s="303">
        <f>F6+G6+H6+I6+J6+K6</f>
        <v>-3901692.0706726331</v>
      </c>
      <c r="M6" s="229">
        <f>'M) Police'!N6</f>
        <v>328458.05328949157</v>
      </c>
      <c r="N6" s="228">
        <f>L6+M6</f>
        <v>-3573234.0173831414</v>
      </c>
      <c r="O6" s="309">
        <f>SUM(G6:K6)</f>
        <v>-8790300.8952357806</v>
      </c>
      <c r="P6" s="311"/>
    </row>
    <row r="7" spans="1:16" s="152" customFormat="1" x14ac:dyDescent="0.25">
      <c r="A7" s="149">
        <f>'B) D RI'!A8</f>
        <v>5402</v>
      </c>
      <c r="B7" s="150" t="str">
        <f>'B) D RI'!B8</f>
        <v>Bex</v>
      </c>
      <c r="C7" s="307">
        <f>'B) D RI'!S8</f>
        <v>71</v>
      </c>
      <c r="D7" s="151">
        <f>'B) D RI'!AA8</f>
        <v>8063</v>
      </c>
      <c r="E7" s="305">
        <f>'D) Ecrêtage'!C7</f>
        <v>192706.98084507044</v>
      </c>
      <c r="F7" s="309">
        <f>'E) PCS'!G13</f>
        <v>3251559.9550545244</v>
      </c>
      <c r="G7" s="306">
        <f>'H) Péréquation directe'!I17</f>
        <v>-4035947.1574051995</v>
      </c>
      <c r="H7" s="309">
        <f>+'I) Dépenses thématiques'!T7</f>
        <v>-2222846.3792957747</v>
      </c>
      <c r="I7" s="306">
        <f>'K) Plafonnement aide'!J7</f>
        <v>0</v>
      </c>
      <c r="J7" s="309">
        <f>'J) Plafonnement effort'!J7</f>
        <v>0</v>
      </c>
      <c r="K7" s="306">
        <f>'L) Plafonnement taux'!Q8</f>
        <v>0</v>
      </c>
      <c r="L7" s="304">
        <f t="shared" ref="L7:L60" si="0">F7+G7+H7+I7+J7+K7</f>
        <v>-3007233.5816464499</v>
      </c>
      <c r="M7" s="229">
        <f>'M) Police'!N7</f>
        <v>225260.07949689319</v>
      </c>
      <c r="N7" s="229">
        <f t="shared" ref="N7:N69" si="1">L7+M7</f>
        <v>-2781973.5021495568</v>
      </c>
      <c r="O7" s="309">
        <f t="shared" ref="O7:O69" si="2">SUM(G7:K7)</f>
        <v>-6258793.5367009742</v>
      </c>
      <c r="P7" s="311"/>
    </row>
    <row r="8" spans="1:16" s="152" customFormat="1" x14ac:dyDescent="0.25">
      <c r="A8" s="149">
        <f>'B) D RI'!A9</f>
        <v>5403</v>
      </c>
      <c r="B8" s="150" t="str">
        <f>'B) D RI'!B9</f>
        <v>Chessel</v>
      </c>
      <c r="C8" s="307">
        <f>'B) D RI'!S9</f>
        <v>74</v>
      </c>
      <c r="D8" s="151">
        <f>'B) D RI'!AA9</f>
        <v>497</v>
      </c>
      <c r="E8" s="305">
        <f>'D) Ecrêtage'!C8</f>
        <v>12090.332702702703</v>
      </c>
      <c r="F8" s="309">
        <f>'E) PCS'!G14</f>
        <v>188013.46603948233</v>
      </c>
      <c r="G8" s="306">
        <f>'H) Péréquation directe'!I18</f>
        <v>-98010.20859717924</v>
      </c>
      <c r="H8" s="309">
        <f>+'I) Dépenses thématiques'!T8</f>
        <v>-18232.25047297297</v>
      </c>
      <c r="I8" s="306">
        <f>'K) Plafonnement aide'!J8</f>
        <v>0</v>
      </c>
      <c r="J8" s="309">
        <f>'J) Plafonnement effort'!J8</f>
        <v>0</v>
      </c>
      <c r="K8" s="306">
        <f>'L) Plafonnement taux'!Q9</f>
        <v>0</v>
      </c>
      <c r="L8" s="304">
        <f t="shared" si="0"/>
        <v>71771.006969330119</v>
      </c>
      <c r="M8" s="229">
        <f>'M) Police'!N8</f>
        <v>35695.699909506053</v>
      </c>
      <c r="N8" s="229">
        <f t="shared" si="1"/>
        <v>107466.70687883618</v>
      </c>
      <c r="O8" s="309">
        <f t="shared" si="2"/>
        <v>-116242.45907015221</v>
      </c>
      <c r="P8" s="311"/>
    </row>
    <row r="9" spans="1:16" s="152" customFormat="1" x14ac:dyDescent="0.25">
      <c r="A9" s="149">
        <f>'B) D RI'!A10</f>
        <v>5404</v>
      </c>
      <c r="B9" s="150" t="str">
        <f>'B) D RI'!B10</f>
        <v>Corbeyrier</v>
      </c>
      <c r="C9" s="307">
        <f>'B) D RI'!S10</f>
        <v>74</v>
      </c>
      <c r="D9" s="151">
        <f>'B) D RI'!AA10</f>
        <v>439</v>
      </c>
      <c r="E9" s="305">
        <f>'D) Ecrêtage'!C9</f>
        <v>11581.118783783784</v>
      </c>
      <c r="F9" s="309">
        <f>'E) PCS'!G15</f>
        <v>195997.55829300047</v>
      </c>
      <c r="G9" s="306">
        <f>'H) Péréquation directe'!I19</f>
        <v>-50029.441667636129</v>
      </c>
      <c r="H9" s="309">
        <f>+'I) Dépenses thématiques'!T9</f>
        <v>-171026.19820945943</v>
      </c>
      <c r="I9" s="306">
        <f>'K) Plafonnement aide'!J9</f>
        <v>0</v>
      </c>
      <c r="J9" s="309">
        <f>'J) Plafonnement effort'!J9</f>
        <v>0</v>
      </c>
      <c r="K9" s="306">
        <f>'L) Plafonnement taux'!Q10</f>
        <v>0</v>
      </c>
      <c r="L9" s="304">
        <f t="shared" si="0"/>
        <v>-25058.081584095082</v>
      </c>
      <c r="M9" s="229">
        <f>'M) Police'!N9</f>
        <v>34254.972785256068</v>
      </c>
      <c r="N9" s="229">
        <f t="shared" si="1"/>
        <v>9196.8912011609864</v>
      </c>
      <c r="O9" s="309">
        <f t="shared" si="2"/>
        <v>-221055.63987709556</v>
      </c>
      <c r="P9" s="311"/>
    </row>
    <row r="10" spans="1:16" s="152" customFormat="1" x14ac:dyDescent="0.25">
      <c r="A10" s="149">
        <f>'B) D RI'!A11</f>
        <v>5405</v>
      </c>
      <c r="B10" s="150" t="str">
        <f>'B) D RI'!B11</f>
        <v>Gryon</v>
      </c>
      <c r="C10" s="307">
        <f>'B) D RI'!S11</f>
        <v>73.5</v>
      </c>
      <c r="D10" s="151">
        <f>'B) D RI'!AA11</f>
        <v>1382</v>
      </c>
      <c r="E10" s="305">
        <f>'D) Ecrêtage'!C10</f>
        <v>78111.135102040818</v>
      </c>
      <c r="F10" s="309">
        <f>'E) PCS'!G16</f>
        <v>1845859.7314959099</v>
      </c>
      <c r="G10" s="306">
        <f>'H) Péréquation directe'!I20</f>
        <v>1198921.9575725705</v>
      </c>
      <c r="H10" s="309">
        <f>+'I) Dépenses thématiques'!T10</f>
        <v>-883504.439387755</v>
      </c>
      <c r="I10" s="306">
        <f>'K) Plafonnement aide'!J10</f>
        <v>0</v>
      </c>
      <c r="J10" s="309">
        <f>'J) Plafonnement effort'!J10</f>
        <v>0</v>
      </c>
      <c r="K10" s="306">
        <f>'L) Plafonnement taux'!Q11</f>
        <v>0</v>
      </c>
      <c r="L10" s="304">
        <f t="shared" si="0"/>
        <v>2161277.2496807254</v>
      </c>
      <c r="M10" s="229">
        <f>'M) Police'!N10</f>
        <v>214819.10073361913</v>
      </c>
      <c r="N10" s="229">
        <f t="shared" si="1"/>
        <v>2376096.3504143446</v>
      </c>
      <c r="O10" s="309">
        <f t="shared" si="2"/>
        <v>315417.51818481553</v>
      </c>
      <c r="P10" s="311"/>
    </row>
    <row r="11" spans="1:16" s="152" customFormat="1" x14ac:dyDescent="0.25">
      <c r="A11" s="149">
        <f>'B) D RI'!A12</f>
        <v>5406</v>
      </c>
      <c r="B11" s="150" t="str">
        <f>'B) D RI'!B12</f>
        <v>Lavey-Morcles</v>
      </c>
      <c r="C11" s="307">
        <f>'B) D RI'!S12</f>
        <v>71.5</v>
      </c>
      <c r="D11" s="151">
        <f>'B) D RI'!AA12</f>
        <v>966</v>
      </c>
      <c r="E11" s="305">
        <f>'D) Ecrêtage'!C11</f>
        <v>21513.822183969878</v>
      </c>
      <c r="F11" s="309">
        <f>'E) PCS'!G17</f>
        <v>312975.4163207066</v>
      </c>
      <c r="G11" s="306">
        <f>'H) Péréquation directe'!I21</f>
        <v>-234316.78079716512</v>
      </c>
      <c r="H11" s="309">
        <f>+'I) Dépenses thématiques'!T11</f>
        <v>-162151.81689618074</v>
      </c>
      <c r="I11" s="306">
        <f>'K) Plafonnement aide'!J11</f>
        <v>0</v>
      </c>
      <c r="J11" s="309">
        <f>'J) Plafonnement effort'!J11</f>
        <v>0</v>
      </c>
      <c r="K11" s="306">
        <f>'L) Plafonnement taux'!Q12</f>
        <v>0</v>
      </c>
      <c r="L11" s="304">
        <f t="shared" si="0"/>
        <v>-83493.181372639257</v>
      </c>
      <c r="M11" s="229">
        <f>'M) Police'!N11</f>
        <v>63502.87612122525</v>
      </c>
      <c r="N11" s="229">
        <f t="shared" si="1"/>
        <v>-19990.305251414007</v>
      </c>
      <c r="O11" s="309">
        <f t="shared" si="2"/>
        <v>-396468.59769334586</v>
      </c>
      <c r="P11" s="311"/>
    </row>
    <row r="12" spans="1:16" s="152" customFormat="1" x14ac:dyDescent="0.25">
      <c r="A12" s="149">
        <f>'B) D RI'!A13</f>
        <v>5407</v>
      </c>
      <c r="B12" s="150" t="str">
        <f>'B) D RI'!B13</f>
        <v>Leysin</v>
      </c>
      <c r="C12" s="307">
        <f>'B) D RI'!S13</f>
        <v>78</v>
      </c>
      <c r="D12" s="151">
        <f>'B) D RI'!AA13</f>
        <v>3637</v>
      </c>
      <c r="E12" s="305">
        <f>'D) Ecrêtage'!C12</f>
        <v>90687.443803418792</v>
      </c>
      <c r="F12" s="309">
        <f>'E) PCS'!G18</f>
        <v>1682915.4447912103</v>
      </c>
      <c r="G12" s="306">
        <f>'H) Péréquation directe'!I22</f>
        <v>-1522233.8246470892</v>
      </c>
      <c r="H12" s="309">
        <f>+'I) Dépenses thématiques'!T12</f>
        <v>-2046946.5043269233</v>
      </c>
      <c r="I12" s="306">
        <f>'K) Plafonnement aide'!J12</f>
        <v>0</v>
      </c>
      <c r="J12" s="309">
        <f>'J) Plafonnement effort'!J12</f>
        <v>0</v>
      </c>
      <c r="K12" s="306">
        <f>'L) Plafonnement taux'!Q13</f>
        <v>0</v>
      </c>
      <c r="L12" s="304">
        <f t="shared" si="0"/>
        <v>-1886264.8841828022</v>
      </c>
      <c r="M12" s="229">
        <f>'M) Police'!N12</f>
        <v>264164.90793594805</v>
      </c>
      <c r="N12" s="229">
        <f t="shared" si="1"/>
        <v>-1622099.9762468541</v>
      </c>
      <c r="O12" s="309">
        <f t="shared" si="2"/>
        <v>-3569180.3289740123</v>
      </c>
      <c r="P12" s="311"/>
    </row>
    <row r="13" spans="1:16" s="152" customFormat="1" x14ac:dyDescent="0.25">
      <c r="A13" s="149">
        <f>'B) D RI'!A14</f>
        <v>5408</v>
      </c>
      <c r="B13" s="150" t="str">
        <f>'B) D RI'!B14</f>
        <v>Noville</v>
      </c>
      <c r="C13" s="307">
        <f>'B) D RI'!S14</f>
        <v>78.5</v>
      </c>
      <c r="D13" s="151">
        <f>'B) D RI'!AA14</f>
        <v>1169</v>
      </c>
      <c r="E13" s="305">
        <f>'D) Ecrêtage'!C13</f>
        <v>41389.442632696395</v>
      </c>
      <c r="F13" s="309">
        <f>'E) PCS'!G19</f>
        <v>769089.23284110543</v>
      </c>
      <c r="G13" s="306">
        <f>'H) Péréquation directe'!I23</f>
        <v>214793.70506352885</v>
      </c>
      <c r="H13" s="309">
        <f>+'I) Dépenses thématiques'!T13</f>
        <v>-295048.51222929935</v>
      </c>
      <c r="I13" s="306">
        <f>'K) Plafonnement aide'!J13</f>
        <v>0</v>
      </c>
      <c r="J13" s="309">
        <f>'J) Plafonnement effort'!J13</f>
        <v>0</v>
      </c>
      <c r="K13" s="306">
        <f>'L) Plafonnement taux'!Q14</f>
        <v>0</v>
      </c>
      <c r="L13" s="304">
        <f t="shared" si="0"/>
        <v>688834.42567533487</v>
      </c>
      <c r="M13" s="229">
        <f>'M) Police'!N13</f>
        <v>121705.98190404489</v>
      </c>
      <c r="N13" s="229">
        <f t="shared" si="1"/>
        <v>810540.40757937974</v>
      </c>
      <c r="O13" s="309">
        <f t="shared" si="2"/>
        <v>-80254.8071657705</v>
      </c>
      <c r="P13" s="311"/>
    </row>
    <row r="14" spans="1:16" s="152" customFormat="1" x14ac:dyDescent="0.25">
      <c r="A14" s="149">
        <f>'B) D RI'!A15</f>
        <v>5409</v>
      </c>
      <c r="B14" s="150" t="str">
        <f>'B) D RI'!B15</f>
        <v>Ollon</v>
      </c>
      <c r="C14" s="307">
        <f>'B) D RI'!S15</f>
        <v>68</v>
      </c>
      <c r="D14" s="151">
        <f>'B) D RI'!AA15</f>
        <v>7904</v>
      </c>
      <c r="E14" s="305">
        <f>'D) Ecrêtage'!C14</f>
        <v>428262.96074660635</v>
      </c>
      <c r="F14" s="309">
        <f>'E) PCS'!G20</f>
        <v>9779269.4659243096</v>
      </c>
      <c r="G14" s="306">
        <f>'H) Péréquation directe'!I24</f>
        <v>4428684.6165869664</v>
      </c>
      <c r="H14" s="309">
        <f>+'I) Dépenses thématiques'!T14</f>
        <v>-3553573.7649604073</v>
      </c>
      <c r="I14" s="306">
        <f>'K) Plafonnement aide'!J14</f>
        <v>0</v>
      </c>
      <c r="J14" s="309">
        <f>'J) Plafonnement effort'!J14</f>
        <v>0</v>
      </c>
      <c r="K14" s="306">
        <f>'L) Plafonnement taux'!Q15</f>
        <v>0</v>
      </c>
      <c r="L14" s="304">
        <f t="shared" si="0"/>
        <v>10654380.317550868</v>
      </c>
      <c r="M14" s="229">
        <f>'M) Police'!N14</f>
        <v>500607.44120584964</v>
      </c>
      <c r="N14" s="229">
        <f t="shared" si="1"/>
        <v>11154987.758756718</v>
      </c>
      <c r="O14" s="309">
        <f t="shared" si="2"/>
        <v>875110.85162655916</v>
      </c>
      <c r="P14" s="311"/>
    </row>
    <row r="15" spans="1:16" s="152" customFormat="1" x14ac:dyDescent="0.25">
      <c r="A15" s="149">
        <f>'B) D RI'!A16</f>
        <v>5410</v>
      </c>
      <c r="B15" s="150" t="str">
        <f>'B) D RI'!B16</f>
        <v>Ormont-Dessous</v>
      </c>
      <c r="C15" s="307">
        <f>'B) D RI'!S16</f>
        <v>77</v>
      </c>
      <c r="D15" s="151">
        <f>'B) D RI'!AA16</f>
        <v>1162</v>
      </c>
      <c r="E15" s="305">
        <f>'D) Ecrêtage'!C15</f>
        <v>38614.348051948051</v>
      </c>
      <c r="F15" s="309">
        <f>'E) PCS'!G21</f>
        <v>800048.17252856912</v>
      </c>
      <c r="G15" s="306">
        <f>'H) Péréquation directe'!I25</f>
        <v>121915.09010095743</v>
      </c>
      <c r="H15" s="309">
        <f>+'I) Dépenses thématiques'!T15</f>
        <v>-1301775.6506493504</v>
      </c>
      <c r="I15" s="306">
        <f>'K) Plafonnement aide'!J15</f>
        <v>0</v>
      </c>
      <c r="J15" s="309">
        <f>'J) Plafonnement effort'!J15</f>
        <v>0</v>
      </c>
      <c r="K15" s="306">
        <f>'L) Plafonnement taux'!Q16</f>
        <v>0</v>
      </c>
      <c r="L15" s="304">
        <f t="shared" si="0"/>
        <v>-379812.38801982382</v>
      </c>
      <c r="M15" s="229">
        <f>'M) Police'!N15</f>
        <v>111840.83795960745</v>
      </c>
      <c r="N15" s="229">
        <f t="shared" si="1"/>
        <v>-267971.55006021634</v>
      </c>
      <c r="O15" s="309">
        <f t="shared" si="2"/>
        <v>-1179860.5605483931</v>
      </c>
      <c r="P15" s="311"/>
    </row>
    <row r="16" spans="1:16" s="152" customFormat="1" x14ac:dyDescent="0.25">
      <c r="A16" s="149">
        <f>'B) D RI'!A17</f>
        <v>5411</v>
      </c>
      <c r="B16" s="150" t="str">
        <f>'B) D RI'!B17</f>
        <v>Ormont-Dessus</v>
      </c>
      <c r="C16" s="307">
        <f>'B) D RI'!S17</f>
        <v>76</v>
      </c>
      <c r="D16" s="151">
        <f>'B) D RI'!AA17</f>
        <v>1451</v>
      </c>
      <c r="E16" s="305">
        <f>'D) Ecrêtage'!C16</f>
        <v>77411.411228070181</v>
      </c>
      <c r="F16" s="309">
        <f>'E) PCS'!G22</f>
        <v>1568989.9654496242</v>
      </c>
      <c r="G16" s="306">
        <f>'H) Péréquation directe'!I26</f>
        <v>1161767.7537792022</v>
      </c>
      <c r="H16" s="309">
        <f>+'I) Dépenses thématiques'!T16</f>
        <v>-956933.47421052621</v>
      </c>
      <c r="I16" s="306">
        <f>'K) Plafonnement aide'!J16</f>
        <v>0</v>
      </c>
      <c r="J16" s="309">
        <f>'J) Plafonnement effort'!J16</f>
        <v>0</v>
      </c>
      <c r="K16" s="306">
        <f>'L) Plafonnement taux'!Q17</f>
        <v>0</v>
      </c>
      <c r="L16" s="304">
        <f t="shared" si="0"/>
        <v>1773824.2450183001</v>
      </c>
      <c r="M16" s="229">
        <f>'M) Police'!N16</f>
        <v>220167.88912663303</v>
      </c>
      <c r="N16" s="229">
        <f t="shared" si="1"/>
        <v>1993992.1341449332</v>
      </c>
      <c r="O16" s="309">
        <f t="shared" si="2"/>
        <v>204834.27956867602</v>
      </c>
      <c r="P16" s="311"/>
    </row>
    <row r="17" spans="1:16" s="152" customFormat="1" x14ac:dyDescent="0.25">
      <c r="A17" s="149">
        <f>'B) D RI'!A18</f>
        <v>5412</v>
      </c>
      <c r="B17" s="150" t="str">
        <f>'B) D RI'!B18</f>
        <v>Rennaz</v>
      </c>
      <c r="C17" s="307">
        <f>'B) D RI'!S18</f>
        <v>69</v>
      </c>
      <c r="D17" s="151">
        <f>'B) D RI'!AA18</f>
        <v>883</v>
      </c>
      <c r="E17" s="305">
        <f>'D) Ecrêtage'!C17</f>
        <v>28875.999420289856</v>
      </c>
      <c r="F17" s="309">
        <f>'E) PCS'!G23</f>
        <v>695410.46678044857</v>
      </c>
      <c r="G17" s="306">
        <f>'H) Péréquation directe'!I27</f>
        <v>165131.39829738706</v>
      </c>
      <c r="H17" s="309">
        <f>+'I) Dépenses thématiques'!T17</f>
        <v>-91875.00391304346</v>
      </c>
      <c r="I17" s="306">
        <f>'K) Plafonnement aide'!J17</f>
        <v>0</v>
      </c>
      <c r="J17" s="309">
        <f>'J) Plafonnement effort'!J17</f>
        <v>0</v>
      </c>
      <c r="K17" s="306">
        <f>'L) Plafonnement taux'!Q18</f>
        <v>0</v>
      </c>
      <c r="L17" s="304">
        <f t="shared" si="0"/>
        <v>768666.86116479221</v>
      </c>
      <c r="M17" s="229">
        <f>'M) Police'!N17</f>
        <v>79893.306079194212</v>
      </c>
      <c r="N17" s="229">
        <f t="shared" si="1"/>
        <v>848560.16724398639</v>
      </c>
      <c r="O17" s="309">
        <f t="shared" si="2"/>
        <v>73256.394384343599</v>
      </c>
      <c r="P17" s="311"/>
    </row>
    <row r="18" spans="1:16" s="152" customFormat="1" x14ac:dyDescent="0.25">
      <c r="A18" s="149">
        <f>'B) D RI'!A19</f>
        <v>5413</v>
      </c>
      <c r="B18" s="150" t="str">
        <f>'B) D RI'!B19</f>
        <v>Roche</v>
      </c>
      <c r="C18" s="307">
        <f>'B) D RI'!S19</f>
        <v>68</v>
      </c>
      <c r="D18" s="151">
        <f>'B) D RI'!AA19</f>
        <v>1874</v>
      </c>
      <c r="E18" s="305">
        <f>'D) Ecrêtage'!C18</f>
        <v>43148.541249999987</v>
      </c>
      <c r="F18" s="309">
        <f>'E) PCS'!G24</f>
        <v>1027463.862945958</v>
      </c>
      <c r="G18" s="306">
        <f>'H) Péréquation directe'!I28</f>
        <v>-502936.77437062911</v>
      </c>
      <c r="H18" s="309">
        <f>+'I) Dépenses thématiques'!T18</f>
        <v>-80815.252500000075</v>
      </c>
      <c r="I18" s="306">
        <f>'K) Plafonnement aide'!J18</f>
        <v>0</v>
      </c>
      <c r="J18" s="309">
        <f>'J) Plafonnement effort'!J18</f>
        <v>0</v>
      </c>
      <c r="K18" s="306">
        <f>'L) Plafonnement taux'!Q19</f>
        <v>0</v>
      </c>
      <c r="L18" s="304">
        <f t="shared" si="0"/>
        <v>443711.83607532887</v>
      </c>
      <c r="M18" s="229">
        <f>'M) Police'!N18</f>
        <v>127379.52409418562</v>
      </c>
      <c r="N18" s="229">
        <f t="shared" si="1"/>
        <v>571091.36016951455</v>
      </c>
      <c r="O18" s="309">
        <f t="shared" si="2"/>
        <v>-583752.02687062917</v>
      </c>
      <c r="P18" s="311"/>
    </row>
    <row r="19" spans="1:16" s="152" customFormat="1" x14ac:dyDescent="0.25">
      <c r="A19" s="149">
        <f>'B) D RI'!A20</f>
        <v>5414</v>
      </c>
      <c r="B19" s="150" t="str">
        <f>'B) D RI'!B20</f>
        <v>Villeneuve</v>
      </c>
      <c r="C19" s="307">
        <f>'B) D RI'!S20</f>
        <v>67.5</v>
      </c>
      <c r="D19" s="151">
        <f>'B) D RI'!AA20</f>
        <v>5921</v>
      </c>
      <c r="E19" s="305">
        <f>'D) Ecrêtage'!C19</f>
        <v>185712.20711111111</v>
      </c>
      <c r="F19" s="309">
        <f>'E) PCS'!G25</f>
        <v>3556711.6057216944</v>
      </c>
      <c r="G19" s="306">
        <f>'H) Péréquation directe'!I29</f>
        <v>-742697.30766619649</v>
      </c>
      <c r="H19" s="309">
        <f>+'I) Dépenses thématiques'!T19</f>
        <v>-2340983.352</v>
      </c>
      <c r="I19" s="306">
        <f>'K) Plafonnement aide'!J19</f>
        <v>0</v>
      </c>
      <c r="J19" s="309">
        <f>'J) Plafonnement effort'!J19</f>
        <v>0</v>
      </c>
      <c r="K19" s="306">
        <f>'L) Plafonnement taux'!Q20</f>
        <v>0</v>
      </c>
      <c r="L19" s="304">
        <f t="shared" si="0"/>
        <v>473030.94605549797</v>
      </c>
      <c r="M19" s="229">
        <f>'M) Police'!N19</f>
        <v>545652.69262931088</v>
      </c>
      <c r="N19" s="229">
        <f t="shared" si="1"/>
        <v>1018683.6386848089</v>
      </c>
      <c r="O19" s="309">
        <f t="shared" si="2"/>
        <v>-3083680.6596661964</v>
      </c>
      <c r="P19" s="311"/>
    </row>
    <row r="20" spans="1:16" s="152" customFormat="1" x14ac:dyDescent="0.25">
      <c r="A20" s="149">
        <f>'B) D RI'!A21</f>
        <v>5415</v>
      </c>
      <c r="B20" s="150" t="str">
        <f>'B) D RI'!B21</f>
        <v>Yvorne</v>
      </c>
      <c r="C20" s="307">
        <f>'B) D RI'!S21</f>
        <v>71.5</v>
      </c>
      <c r="D20" s="151">
        <f>'B) D RI'!AA21</f>
        <v>1038</v>
      </c>
      <c r="E20" s="305">
        <f>'D) Ecrêtage'!C20</f>
        <v>35910.274638694631</v>
      </c>
      <c r="F20" s="309">
        <f>'E) PCS'!G26</f>
        <v>721825.92481901892</v>
      </c>
      <c r="G20" s="306">
        <f>'H) Péréquation directe'!I30</f>
        <v>239538.53784319951</v>
      </c>
      <c r="H20" s="309">
        <f>+'I) Dépenses thématiques'!T20</f>
        <v>-224183.64618881122</v>
      </c>
      <c r="I20" s="306">
        <f>'K) Plafonnement aide'!J20</f>
        <v>0</v>
      </c>
      <c r="J20" s="309">
        <f>'J) Plafonnement effort'!J20</f>
        <v>0</v>
      </c>
      <c r="K20" s="306">
        <f>'L) Plafonnement taux'!Q21</f>
        <v>0</v>
      </c>
      <c r="L20" s="304">
        <f t="shared" si="0"/>
        <v>737180.81647340721</v>
      </c>
      <c r="M20" s="229">
        <f>'M) Police'!N20</f>
        <v>106805.0904833922</v>
      </c>
      <c r="N20" s="229">
        <f t="shared" si="1"/>
        <v>843985.90695679944</v>
      </c>
      <c r="O20" s="309">
        <f t="shared" si="2"/>
        <v>15354.891654388281</v>
      </c>
      <c r="P20" s="311"/>
    </row>
    <row r="21" spans="1:16" s="152" customFormat="1" x14ac:dyDescent="0.25">
      <c r="A21" s="149">
        <f>'B) D RI'!A22</f>
        <v>5421</v>
      </c>
      <c r="B21" s="150" t="str">
        <f>'B) D RI'!B22</f>
        <v>Apples</v>
      </c>
      <c r="C21" s="307">
        <f>'B) D RI'!S22</f>
        <v>74</v>
      </c>
      <c r="D21" s="151">
        <f>'B) D RI'!AA22</f>
        <v>1469</v>
      </c>
      <c r="E21" s="305">
        <f>'D) Ecrêtage'!C21</f>
        <v>68531.648243243253</v>
      </c>
      <c r="F21" s="309">
        <f>'E) PCS'!G27</f>
        <v>1262165.5988658695</v>
      </c>
      <c r="G21" s="306">
        <f>'H) Péréquation directe'!I31</f>
        <v>934058.56900568528</v>
      </c>
      <c r="H21" s="309">
        <f>+'I) Dépenses thématiques'!T21</f>
        <v>-298723.62435810803</v>
      </c>
      <c r="I21" s="306">
        <f>'K) Plafonnement aide'!J21</f>
        <v>0</v>
      </c>
      <c r="J21" s="309">
        <f>'J) Plafonnement effort'!J21</f>
        <v>0</v>
      </c>
      <c r="K21" s="306">
        <f>'L) Plafonnement taux'!Q22</f>
        <v>0</v>
      </c>
      <c r="L21" s="304">
        <f t="shared" si="0"/>
        <v>1897500.5435134468</v>
      </c>
      <c r="M21" s="229">
        <f>'M) Police'!N21</f>
        <v>208611.96006429329</v>
      </c>
      <c r="N21" s="229">
        <f t="shared" si="1"/>
        <v>2106112.5035777399</v>
      </c>
      <c r="O21" s="309">
        <f t="shared" si="2"/>
        <v>635334.94464757724</v>
      </c>
      <c r="P21" s="311"/>
    </row>
    <row r="22" spans="1:16" s="152" customFormat="1" x14ac:dyDescent="0.25">
      <c r="A22" s="149">
        <f>'B) D RI'!A23</f>
        <v>5422</v>
      </c>
      <c r="B22" s="150" t="str">
        <f>'B) D RI'!B23</f>
        <v>Aubonne</v>
      </c>
      <c r="C22" s="307">
        <f>'B) D RI'!S23</f>
        <v>70</v>
      </c>
      <c r="D22" s="151">
        <f>'B) D RI'!AA23</f>
        <v>3781</v>
      </c>
      <c r="E22" s="305">
        <f>'D) Ecrêtage'!C22</f>
        <v>364706.48499999999</v>
      </c>
      <c r="F22" s="309">
        <f>'E) PCS'!G28</f>
        <v>9661198.218757825</v>
      </c>
      <c r="G22" s="306">
        <f>'H) Péréquation directe'!I32</f>
        <v>5590256.6456051189</v>
      </c>
      <c r="H22" s="309">
        <f>+'I) Dépenses thématiques'!T22</f>
        <v>0</v>
      </c>
      <c r="I22" s="306">
        <f>'K) Plafonnement aide'!J22</f>
        <v>0</v>
      </c>
      <c r="J22" s="309">
        <f>'J) Plafonnement effort'!J22</f>
        <v>0</v>
      </c>
      <c r="K22" s="306">
        <f>'L) Plafonnement taux'!Q23</f>
        <v>0</v>
      </c>
      <c r="L22" s="304">
        <f t="shared" si="0"/>
        <v>15251454.864362944</v>
      </c>
      <c r="M22" s="229">
        <f>'M) Police'!N22</f>
        <v>764232.68296121876</v>
      </c>
      <c r="N22" s="229">
        <f t="shared" si="1"/>
        <v>16015687.547324162</v>
      </c>
      <c r="O22" s="309">
        <f t="shared" si="2"/>
        <v>5590256.6456051189</v>
      </c>
      <c r="P22" s="311"/>
    </row>
    <row r="23" spans="1:16" s="152" customFormat="1" x14ac:dyDescent="0.25">
      <c r="A23" s="149">
        <f>'B) D RI'!A24</f>
        <v>5423</v>
      </c>
      <c r="B23" s="150" t="str">
        <f>'B) D RI'!B24</f>
        <v>Ballens</v>
      </c>
      <c r="C23" s="307">
        <f>'B) D RI'!S24</f>
        <v>73</v>
      </c>
      <c r="D23" s="151">
        <f>'B) D RI'!AA24</f>
        <v>567</v>
      </c>
      <c r="E23" s="305">
        <f>'D) Ecrêtage'!C23</f>
        <v>16194.440273972601</v>
      </c>
      <c r="F23" s="309">
        <f>'E) PCS'!G29</f>
        <v>277566.04962319392</v>
      </c>
      <c r="G23" s="306">
        <f>'H) Péréquation directe'!I33</f>
        <v>-7903.0609631598345</v>
      </c>
      <c r="H23" s="309">
        <f>+'I) Dépenses thématiques'!T23</f>
        <v>-82999.10835616439</v>
      </c>
      <c r="I23" s="306">
        <f>'K) Plafonnement aide'!J23</f>
        <v>0</v>
      </c>
      <c r="J23" s="309">
        <f>'J) Plafonnement effort'!J23</f>
        <v>0</v>
      </c>
      <c r="K23" s="306">
        <f>'L) Plafonnement taux'!Q24</f>
        <v>0</v>
      </c>
      <c r="L23" s="304">
        <f t="shared" si="0"/>
        <v>186663.88030386969</v>
      </c>
      <c r="M23" s="229">
        <f>'M) Police'!N23</f>
        <v>49022.648030952492</v>
      </c>
      <c r="N23" s="229">
        <f t="shared" si="1"/>
        <v>235686.52833482219</v>
      </c>
      <c r="O23" s="309">
        <f t="shared" si="2"/>
        <v>-90902.169319324224</v>
      </c>
      <c r="P23" s="311"/>
    </row>
    <row r="24" spans="1:16" s="152" customFormat="1" x14ac:dyDescent="0.25">
      <c r="A24" s="149">
        <f>'B) D RI'!A25</f>
        <v>5424</v>
      </c>
      <c r="B24" s="150" t="str">
        <f>'B) D RI'!B25</f>
        <v>Berolle</v>
      </c>
      <c r="C24" s="307">
        <f>'B) D RI'!S25</f>
        <v>75.5</v>
      </c>
      <c r="D24" s="151">
        <f>'B) D RI'!AA25</f>
        <v>308</v>
      </c>
      <c r="E24" s="305">
        <f>'D) Ecrêtage'!C24</f>
        <v>8301.8684768211915</v>
      </c>
      <c r="F24" s="309">
        <f>'E) PCS'!G30</f>
        <v>117037.97233413621</v>
      </c>
      <c r="G24" s="306">
        <f>'H) Péréquation directe'!I34</f>
        <v>-33855.613603405422</v>
      </c>
      <c r="H24" s="309">
        <f>+'I) Dépenses thématiques'!T24</f>
        <v>-74731.637781456957</v>
      </c>
      <c r="I24" s="306">
        <f>'K) Plafonnement aide'!J24</f>
        <v>0</v>
      </c>
      <c r="J24" s="309">
        <f>'J) Plafonnement effort'!J24</f>
        <v>0</v>
      </c>
      <c r="K24" s="306">
        <f>'L) Plafonnement taux'!Q25</f>
        <v>0</v>
      </c>
      <c r="L24" s="304">
        <f t="shared" si="0"/>
        <v>8450.720949273833</v>
      </c>
      <c r="M24" s="229">
        <f>'M) Police'!N24</f>
        <v>24949.522190724711</v>
      </c>
      <c r="N24" s="229">
        <f t="shared" si="1"/>
        <v>33400.243139998543</v>
      </c>
      <c r="O24" s="309">
        <f t="shared" si="2"/>
        <v>-108587.25138486238</v>
      </c>
      <c r="P24" s="311"/>
    </row>
    <row r="25" spans="1:16" s="152" customFormat="1" x14ac:dyDescent="0.25">
      <c r="A25" s="149">
        <f>'B) D RI'!A26</f>
        <v>5425</v>
      </c>
      <c r="B25" s="150" t="str">
        <f>'B) D RI'!B26</f>
        <v>Bière</v>
      </c>
      <c r="C25" s="307">
        <f>'B) D RI'!S26</f>
        <v>69</v>
      </c>
      <c r="D25" s="151">
        <f>'B) D RI'!AA26</f>
        <v>1634</v>
      </c>
      <c r="E25" s="305">
        <f>'D) Ecrêtage'!C25</f>
        <v>44230.498130934531</v>
      </c>
      <c r="F25" s="309">
        <f>'E) PCS'!G31</f>
        <v>702546.04856466898</v>
      </c>
      <c r="G25" s="306">
        <f>'H) Péréquation directe'!I35</f>
        <v>-183528.03479014081</v>
      </c>
      <c r="H25" s="309">
        <f>+'I) Dépenses thématiques'!T25</f>
        <v>-746125.88761619199</v>
      </c>
      <c r="I25" s="306">
        <f>'K) Plafonnement aide'!J25</f>
        <v>0</v>
      </c>
      <c r="J25" s="309">
        <f>'J) Plafonnement effort'!J25</f>
        <v>0</v>
      </c>
      <c r="K25" s="306">
        <f>'L) Plafonnement taux'!Q26</f>
        <v>0</v>
      </c>
      <c r="L25" s="304">
        <f t="shared" si="0"/>
        <v>-227107.87384166382</v>
      </c>
      <c r="M25" s="229">
        <f>'M) Police'!N25</f>
        <v>133404.13819988843</v>
      </c>
      <c r="N25" s="229">
        <f t="shared" si="1"/>
        <v>-93703.735641775391</v>
      </c>
      <c r="O25" s="309">
        <f t="shared" si="2"/>
        <v>-929653.9224063328</v>
      </c>
      <c r="P25" s="311"/>
    </row>
    <row r="26" spans="1:16" s="152" customFormat="1" x14ac:dyDescent="0.25">
      <c r="A26" s="149">
        <f>'B) D RI'!A27</f>
        <v>5426</v>
      </c>
      <c r="B26" s="150" t="str">
        <f>'B) D RI'!B27</f>
        <v>Bougy-Villars</v>
      </c>
      <c r="C26" s="307">
        <f>'B) D RI'!S27</f>
        <v>64.5</v>
      </c>
      <c r="D26" s="151">
        <f>'B) D RI'!AA27</f>
        <v>497</v>
      </c>
      <c r="E26" s="305">
        <f>'D) Ecrêtage'!C26</f>
        <v>53043.718423772611</v>
      </c>
      <c r="F26" s="309">
        <f>'E) PCS'!G32</f>
        <v>2426115.1481142547</v>
      </c>
      <c r="G26" s="306">
        <f>'H) Péréquation directe'!I36</f>
        <v>927488.60622765392</v>
      </c>
      <c r="H26" s="309">
        <f>+'I) Dépenses thématiques'!T26</f>
        <v>0</v>
      </c>
      <c r="I26" s="306">
        <f>'K) Plafonnement aide'!J26</f>
        <v>0</v>
      </c>
      <c r="J26" s="309">
        <f>'J) Plafonnement effort'!J26</f>
        <v>0</v>
      </c>
      <c r="K26" s="306">
        <f>'L) Plafonnement taux'!Q27</f>
        <v>0</v>
      </c>
      <c r="L26" s="304">
        <f t="shared" si="0"/>
        <v>3353603.7543419087</v>
      </c>
      <c r="M26" s="229">
        <f>'M) Police'!N26</f>
        <v>106422.35924568991</v>
      </c>
      <c r="N26" s="229">
        <f t="shared" si="1"/>
        <v>3460026.1135875988</v>
      </c>
      <c r="O26" s="309">
        <f t="shared" si="2"/>
        <v>927488.60622765392</v>
      </c>
      <c r="P26" s="311"/>
    </row>
    <row r="27" spans="1:16" s="152" customFormat="1" x14ac:dyDescent="0.25">
      <c r="A27" s="149">
        <f>'B) D RI'!A28</f>
        <v>5427</v>
      </c>
      <c r="B27" s="150" t="str">
        <f>'B) D RI'!B28</f>
        <v>Féchy</v>
      </c>
      <c r="C27" s="307">
        <f>'B) D RI'!S28</f>
        <v>64</v>
      </c>
      <c r="D27" s="151">
        <f>'B) D RI'!AA28</f>
        <v>893</v>
      </c>
      <c r="E27" s="305">
        <f>'D) Ecrêtage'!C27</f>
        <v>88215.323569711545</v>
      </c>
      <c r="F27" s="309">
        <f>'E) PCS'!G33</f>
        <v>2262611.5216879006</v>
      </c>
      <c r="G27" s="306">
        <f>'H) Péréquation directe'!I37</f>
        <v>1534186.674825473</v>
      </c>
      <c r="H27" s="309">
        <f>+'I) Dépenses thématiques'!T27</f>
        <v>0</v>
      </c>
      <c r="I27" s="306">
        <f>'K) Plafonnement aide'!J27</f>
        <v>0</v>
      </c>
      <c r="J27" s="309">
        <f>'J) Plafonnement effort'!J27</f>
        <v>0</v>
      </c>
      <c r="K27" s="306">
        <f>'L) Plafonnement taux'!Q28</f>
        <v>0</v>
      </c>
      <c r="L27" s="304">
        <f t="shared" si="0"/>
        <v>3796798.1965133734</v>
      </c>
      <c r="M27" s="229">
        <f>'M) Police'!N27</f>
        <v>182926.91337780491</v>
      </c>
      <c r="N27" s="229">
        <f t="shared" si="1"/>
        <v>3979725.1098911781</v>
      </c>
      <c r="O27" s="309">
        <f t="shared" si="2"/>
        <v>1534186.674825473</v>
      </c>
      <c r="P27" s="311"/>
    </row>
    <row r="28" spans="1:16" s="152" customFormat="1" x14ac:dyDescent="0.25">
      <c r="A28" s="149">
        <f>'B) D RI'!A29</f>
        <v>5428</v>
      </c>
      <c r="B28" s="150" t="str">
        <f>'B) D RI'!B29</f>
        <v>Gimel</v>
      </c>
      <c r="C28" s="307">
        <f>'B) D RI'!S29</f>
        <v>74.5</v>
      </c>
      <c r="D28" s="151">
        <f>'B) D RI'!AA29</f>
        <v>2402</v>
      </c>
      <c r="E28" s="305">
        <f>'D) Ecrêtage'!C28</f>
        <v>70558.698881431759</v>
      </c>
      <c r="F28" s="309">
        <f>'E) PCS'!G34</f>
        <v>1280724.3279973627</v>
      </c>
      <c r="G28" s="306">
        <f>'H) Péréquation directe'!I38</f>
        <v>-310625.31103909062</v>
      </c>
      <c r="H28" s="309">
        <f>+'I) Dépenses thématiques'!T28</f>
        <v>-567951.53255033563</v>
      </c>
      <c r="I28" s="306">
        <f>'K) Plafonnement aide'!J28</f>
        <v>0</v>
      </c>
      <c r="J28" s="309">
        <f>'J) Plafonnement effort'!J28</f>
        <v>0</v>
      </c>
      <c r="K28" s="306">
        <f>'L) Plafonnement taux'!Q29</f>
        <v>0</v>
      </c>
      <c r="L28" s="304">
        <f t="shared" si="0"/>
        <v>402147.48440793646</v>
      </c>
      <c r="M28" s="229">
        <f>'M) Police'!N28</f>
        <v>212553.53261503665</v>
      </c>
      <c r="N28" s="229">
        <f t="shared" si="1"/>
        <v>614701.01702297316</v>
      </c>
      <c r="O28" s="309">
        <f t="shared" si="2"/>
        <v>-878576.84358942625</v>
      </c>
      <c r="P28" s="311"/>
    </row>
    <row r="29" spans="1:16" s="152" customFormat="1" x14ac:dyDescent="0.25">
      <c r="A29" s="149">
        <f>'B) D RI'!A30</f>
        <v>5429</v>
      </c>
      <c r="B29" s="150" t="str">
        <f>'B) D RI'!B30</f>
        <v>Longirod</v>
      </c>
      <c r="C29" s="307">
        <f>'B) D RI'!S30</f>
        <v>77.5</v>
      </c>
      <c r="D29" s="151">
        <f>'B) D RI'!AA30</f>
        <v>520</v>
      </c>
      <c r="E29" s="305">
        <f>'D) Ecrêtage'!C29</f>
        <v>18574.452387096771</v>
      </c>
      <c r="F29" s="309">
        <f>'E) PCS'!G35</f>
        <v>321351.06311430276</v>
      </c>
      <c r="G29" s="306">
        <f>'H) Péréquation directe'!I39</f>
        <v>123600.33524121818</v>
      </c>
      <c r="H29" s="309">
        <f>+'I) Dépenses thématiques'!T29</f>
        <v>-89209.446387096788</v>
      </c>
      <c r="I29" s="306">
        <f>'K) Plafonnement aide'!J29</f>
        <v>0</v>
      </c>
      <c r="J29" s="309">
        <f>'J) Plafonnement effort'!J29</f>
        <v>0</v>
      </c>
      <c r="K29" s="306">
        <f>'L) Plafonnement taux'!Q30</f>
        <v>0</v>
      </c>
      <c r="L29" s="304">
        <f t="shared" si="0"/>
        <v>355741.95196842414</v>
      </c>
      <c r="M29" s="229">
        <f>'M) Police'!N29</f>
        <v>56062.443139638526</v>
      </c>
      <c r="N29" s="229">
        <f t="shared" si="1"/>
        <v>411804.39510806266</v>
      </c>
      <c r="O29" s="309">
        <f t="shared" si="2"/>
        <v>34390.888854121396</v>
      </c>
      <c r="P29" s="311"/>
    </row>
    <row r="30" spans="1:16" s="152" customFormat="1" x14ac:dyDescent="0.25">
      <c r="A30" s="149">
        <f>'B) D RI'!A31</f>
        <v>5430</v>
      </c>
      <c r="B30" s="150" t="str">
        <f>'B) D RI'!B31</f>
        <v>Marchissy</v>
      </c>
      <c r="C30" s="307">
        <f>'B) D RI'!S31</f>
        <v>77.5</v>
      </c>
      <c r="D30" s="151">
        <f>'B) D RI'!AA31</f>
        <v>485</v>
      </c>
      <c r="E30" s="305">
        <f>'D) Ecrêtage'!C30</f>
        <v>15580.981548387101</v>
      </c>
      <c r="F30" s="309">
        <f>'E) PCS'!G36</f>
        <v>237818.52312521264</v>
      </c>
      <c r="G30" s="306">
        <f>'H) Péréquation directe'!I40</f>
        <v>40942.602002531959</v>
      </c>
      <c r="H30" s="309">
        <f>+'I) Dépenses thématiques'!T30</f>
        <v>-60429.110709677392</v>
      </c>
      <c r="I30" s="306">
        <f>'K) Plafonnement aide'!J30</f>
        <v>0</v>
      </c>
      <c r="J30" s="309">
        <f>'J) Plafonnement effort'!J30</f>
        <v>0</v>
      </c>
      <c r="K30" s="306">
        <f>'L) Plafonnement taux'!Q31</f>
        <v>0</v>
      </c>
      <c r="L30" s="304">
        <f t="shared" si="0"/>
        <v>218332.01441806724</v>
      </c>
      <c r="M30" s="229">
        <f>'M) Police'!N30</f>
        <v>46918.301961134363</v>
      </c>
      <c r="N30" s="229">
        <f t="shared" si="1"/>
        <v>265250.3163792016</v>
      </c>
      <c r="O30" s="309">
        <f t="shared" si="2"/>
        <v>-19486.508707145433</v>
      </c>
      <c r="P30" s="311"/>
    </row>
    <row r="31" spans="1:16" s="152" customFormat="1" x14ac:dyDescent="0.25">
      <c r="A31" s="149">
        <f>'B) D RI'!A32</f>
        <v>5431</v>
      </c>
      <c r="B31" s="150" t="str">
        <f>'B) D RI'!B32</f>
        <v>Mollens</v>
      </c>
      <c r="C31" s="307">
        <f>'B) D RI'!S32</f>
        <v>74</v>
      </c>
      <c r="D31" s="151">
        <f>'B) D RI'!AA32</f>
        <v>319</v>
      </c>
      <c r="E31" s="305">
        <f>'D) Ecrêtage'!C31</f>
        <v>10464.972567567567</v>
      </c>
      <c r="F31" s="309">
        <f>'E) PCS'!G37</f>
        <v>144803.04344126751</v>
      </c>
      <c r="G31" s="306">
        <f>'H) Péréquation directe'!I41</f>
        <v>46704.215249141387</v>
      </c>
      <c r="H31" s="309">
        <f>+'I) Dépenses thématiques'!T31</f>
        <v>-38473.685168918921</v>
      </c>
      <c r="I31" s="306">
        <f>'K) Plafonnement aide'!J31</f>
        <v>0</v>
      </c>
      <c r="J31" s="309">
        <f>'J) Plafonnement effort'!J31</f>
        <v>0</v>
      </c>
      <c r="K31" s="306">
        <f>'L) Plafonnement taux'!Q32</f>
        <v>0</v>
      </c>
      <c r="L31" s="304">
        <f t="shared" si="0"/>
        <v>153033.57352148998</v>
      </c>
      <c r="M31" s="229">
        <f>'M) Police'!N31</f>
        <v>31700.146828628309</v>
      </c>
      <c r="N31" s="229">
        <f t="shared" si="1"/>
        <v>184733.7203501183</v>
      </c>
      <c r="O31" s="309">
        <f t="shared" si="2"/>
        <v>8230.5300802224665</v>
      </c>
      <c r="P31" s="311"/>
    </row>
    <row r="32" spans="1:16" s="152" customFormat="1" x14ac:dyDescent="0.25">
      <c r="A32" s="149">
        <f>'B) D RI'!A33</f>
        <v>5434</v>
      </c>
      <c r="B32" s="150" t="str">
        <f>'B) D RI'!B33</f>
        <v>Saint-George</v>
      </c>
      <c r="C32" s="307">
        <f>'B) D RI'!S33</f>
        <v>69.5</v>
      </c>
      <c r="D32" s="151">
        <f>'B) D RI'!AA33</f>
        <v>1072</v>
      </c>
      <c r="E32" s="305">
        <f>'D) Ecrêtage'!C32</f>
        <v>43544.748513189443</v>
      </c>
      <c r="F32" s="309">
        <f>'E) PCS'!G38</f>
        <v>673761.0133037715</v>
      </c>
      <c r="G32" s="306">
        <f>'H) Péréquation directe'!I42</f>
        <v>501747.72085905628</v>
      </c>
      <c r="H32" s="309">
        <f>+'I) Dépenses thématiques'!T32</f>
        <v>-72366.758920863344</v>
      </c>
      <c r="I32" s="306">
        <f>'K) Plafonnement aide'!J32</f>
        <v>0</v>
      </c>
      <c r="J32" s="309">
        <f>'J) Plafonnement effort'!J32</f>
        <v>0</v>
      </c>
      <c r="K32" s="306">
        <f>'L) Plafonnement taux'!Q33</f>
        <v>0</v>
      </c>
      <c r="L32" s="304">
        <f t="shared" si="0"/>
        <v>1103141.9752419645</v>
      </c>
      <c r="M32" s="229">
        <f>'M) Police'!N32</f>
        <v>130943.83565000186</v>
      </c>
      <c r="N32" s="229">
        <f t="shared" si="1"/>
        <v>1234085.8108919663</v>
      </c>
      <c r="O32" s="309">
        <f t="shared" si="2"/>
        <v>429380.96193819295</v>
      </c>
      <c r="P32" s="311"/>
    </row>
    <row r="33" spans="1:16" s="152" customFormat="1" x14ac:dyDescent="0.25">
      <c r="A33" s="149">
        <f>'B) D RI'!A34</f>
        <v>5435</v>
      </c>
      <c r="B33" s="150" t="str">
        <f>'B) D RI'!B34</f>
        <v>Saint-Livres</v>
      </c>
      <c r="C33" s="307">
        <f>'B) D RI'!S34</f>
        <v>69</v>
      </c>
      <c r="D33" s="151">
        <f>'B) D RI'!AA34</f>
        <v>674</v>
      </c>
      <c r="E33" s="305">
        <f>'D) Ecrêtage'!C33</f>
        <v>25854.309855072468</v>
      </c>
      <c r="F33" s="309">
        <f>'E) PCS'!G39</f>
        <v>452314.06291453284</v>
      </c>
      <c r="G33" s="306">
        <f>'H) Péréquation directe'!I43</f>
        <v>269682.60360299359</v>
      </c>
      <c r="H33" s="309">
        <f>+'I) Dépenses thématiques'!T33</f>
        <v>-1439.6408695651917</v>
      </c>
      <c r="I33" s="306">
        <f>'K) Plafonnement aide'!J33</f>
        <v>0</v>
      </c>
      <c r="J33" s="309">
        <f>'J) Plafonnement effort'!J33</f>
        <v>0</v>
      </c>
      <c r="K33" s="306">
        <f>'L) Plafonnement taux'!Q34</f>
        <v>0</v>
      </c>
      <c r="L33" s="304">
        <f t="shared" si="0"/>
        <v>720557.02564796119</v>
      </c>
      <c r="M33" s="229">
        <f>'M) Police'!N33</f>
        <v>78205.227780914764</v>
      </c>
      <c r="N33" s="229">
        <f t="shared" si="1"/>
        <v>798762.25342887593</v>
      </c>
      <c r="O33" s="309">
        <f t="shared" si="2"/>
        <v>268242.9627334284</v>
      </c>
      <c r="P33" s="311"/>
    </row>
    <row r="34" spans="1:16" s="152" customFormat="1" x14ac:dyDescent="0.25">
      <c r="A34" s="149">
        <f>'B) D RI'!A35</f>
        <v>5436</v>
      </c>
      <c r="B34" s="150" t="str">
        <f>'B) D RI'!B35</f>
        <v>Saint-Oyens</v>
      </c>
      <c r="C34" s="307">
        <f>'B) D RI'!S35</f>
        <v>81</v>
      </c>
      <c r="D34" s="151">
        <f>'B) D RI'!AA35</f>
        <v>458</v>
      </c>
      <c r="E34" s="305">
        <f>'D) Ecrêtage'!C34</f>
        <v>16868.339629629631</v>
      </c>
      <c r="F34" s="309">
        <f>'E) PCS'!G40</f>
        <v>281555.21350731852</v>
      </c>
      <c r="G34" s="306">
        <f>'H) Péréquation directe'!I44</f>
        <v>118820.54838283241</v>
      </c>
      <c r="H34" s="309">
        <f>+'I) Dépenses thématiques'!T34</f>
        <v>0</v>
      </c>
      <c r="I34" s="306">
        <f>'K) Plafonnement aide'!J34</f>
        <v>0</v>
      </c>
      <c r="J34" s="309">
        <f>'J) Plafonnement effort'!J34</f>
        <v>0</v>
      </c>
      <c r="K34" s="306">
        <f>'L) Plafonnement taux'!Q35</f>
        <v>0</v>
      </c>
      <c r="L34" s="304">
        <f t="shared" si="0"/>
        <v>400375.76189015096</v>
      </c>
      <c r="M34" s="229">
        <f>'M) Police'!N34</f>
        <v>51215.781060529851</v>
      </c>
      <c r="N34" s="229">
        <f t="shared" si="1"/>
        <v>451591.54295068083</v>
      </c>
      <c r="O34" s="309">
        <f t="shared" si="2"/>
        <v>118820.54838283241</v>
      </c>
      <c r="P34" s="311"/>
    </row>
    <row r="35" spans="1:16" s="152" customFormat="1" x14ac:dyDescent="0.25">
      <c r="A35" s="149">
        <f>'B) D RI'!A36</f>
        <v>5437</v>
      </c>
      <c r="B35" s="150" t="str">
        <f>'B) D RI'!B36</f>
        <v>Saubraz</v>
      </c>
      <c r="C35" s="307">
        <f>'B) D RI'!S36</f>
        <v>80</v>
      </c>
      <c r="D35" s="151">
        <f>'B) D RI'!AA36</f>
        <v>444</v>
      </c>
      <c r="E35" s="305">
        <f>'D) Ecrêtage'!C35</f>
        <v>13551.757374999997</v>
      </c>
      <c r="F35" s="309">
        <f>'E) PCS'!G41</f>
        <v>323813.71453490865</v>
      </c>
      <c r="G35" s="306">
        <f>'H) Péréquation directe'!I45</f>
        <v>-5358.3647643504373</v>
      </c>
      <c r="H35" s="309">
        <f>+'I) Dépenses thématiques'!T35</f>
        <v>-356798.20574999996</v>
      </c>
      <c r="I35" s="306">
        <f>'K) Plafonnement aide'!J35</f>
        <v>0</v>
      </c>
      <c r="J35" s="309">
        <f>'J) Plafonnement effort'!J35</f>
        <v>0</v>
      </c>
      <c r="K35" s="306">
        <f>'L) Plafonnement taux'!Q36</f>
        <v>0</v>
      </c>
      <c r="L35" s="304">
        <f t="shared" si="0"/>
        <v>-38342.855979441782</v>
      </c>
      <c r="M35" s="229">
        <f>'M) Police'!N35</f>
        <v>41171.27529668856</v>
      </c>
      <c r="N35" s="229">
        <f t="shared" si="1"/>
        <v>2828.4193172467785</v>
      </c>
      <c r="O35" s="309">
        <f t="shared" si="2"/>
        <v>-362156.57051435043</v>
      </c>
      <c r="P35" s="311"/>
    </row>
    <row r="36" spans="1:16" s="152" customFormat="1" x14ac:dyDescent="0.25">
      <c r="A36" s="149">
        <f>'B) D RI'!A37</f>
        <v>5451</v>
      </c>
      <c r="B36" s="150" t="str">
        <f>'B) D RI'!B37</f>
        <v>Avenches</v>
      </c>
      <c r="C36" s="307">
        <f>'B) D RI'!S37</f>
        <v>66.5</v>
      </c>
      <c r="D36" s="151">
        <f>'B) D RI'!AA37</f>
        <v>4616</v>
      </c>
      <c r="E36" s="305">
        <f>'D) Ecrêtage'!C36</f>
        <v>137890.8513283208</v>
      </c>
      <c r="F36" s="309">
        <f>'E) PCS'!G42</f>
        <v>2247611.0012824079</v>
      </c>
      <c r="G36" s="306">
        <f>'H) Péréquation directe'!I46</f>
        <v>-567045.0311302091</v>
      </c>
      <c r="H36" s="309">
        <f>+'I) Dépenses thématiques'!T36</f>
        <v>-1427076.1420300752</v>
      </c>
      <c r="I36" s="306">
        <f>'K) Plafonnement aide'!J36</f>
        <v>0</v>
      </c>
      <c r="J36" s="309">
        <f>'J) Plafonnement effort'!J36</f>
        <v>0</v>
      </c>
      <c r="K36" s="306">
        <f>'L) Plafonnement taux'!Q37</f>
        <v>0</v>
      </c>
      <c r="L36" s="304">
        <f t="shared" si="0"/>
        <v>253489.82812212361</v>
      </c>
      <c r="M36" s="229">
        <f>'M) Police'!N36</f>
        <v>403484.84958260378</v>
      </c>
      <c r="N36" s="229">
        <f t="shared" si="1"/>
        <v>656974.67770472739</v>
      </c>
      <c r="O36" s="309">
        <f t="shared" si="2"/>
        <v>-1994121.1731602843</v>
      </c>
      <c r="P36" s="311"/>
    </row>
    <row r="37" spans="1:16" s="152" customFormat="1" x14ac:dyDescent="0.25">
      <c r="A37" s="149">
        <f>'B) D RI'!A38</f>
        <v>5456</v>
      </c>
      <c r="B37" s="150" t="str">
        <f>'B) D RI'!B38</f>
        <v>Cudrefin</v>
      </c>
      <c r="C37" s="307">
        <f>'B) D RI'!S38</f>
        <v>59</v>
      </c>
      <c r="D37" s="151">
        <f>'B) D RI'!AA38</f>
        <v>1836</v>
      </c>
      <c r="E37" s="305">
        <f>'D) Ecrêtage'!C37</f>
        <v>64144.951694915253</v>
      </c>
      <c r="F37" s="309">
        <f>'E) PCS'!G43</f>
        <v>981813.26204541372</v>
      </c>
      <c r="G37" s="306">
        <f>'H) Péréquation directe'!I47</f>
        <v>436471.41249869461</v>
      </c>
      <c r="H37" s="309">
        <f>+'I) Dépenses thématiques'!T37</f>
        <v>-281676.28983050847</v>
      </c>
      <c r="I37" s="306">
        <f>'K) Plafonnement aide'!J37</f>
        <v>0</v>
      </c>
      <c r="J37" s="309">
        <f>'J) Plafonnement effort'!J37</f>
        <v>0</v>
      </c>
      <c r="K37" s="306">
        <f>'L) Plafonnement taux'!Q38</f>
        <v>0</v>
      </c>
      <c r="L37" s="304">
        <f t="shared" si="0"/>
        <v>1136608.3847135999</v>
      </c>
      <c r="M37" s="229">
        <f>'M) Police'!N37</f>
        <v>190900.43447834137</v>
      </c>
      <c r="N37" s="229">
        <f t="shared" si="1"/>
        <v>1327508.8191919413</v>
      </c>
      <c r="O37" s="309">
        <f t="shared" si="2"/>
        <v>154795.12266818614</v>
      </c>
      <c r="P37" s="311"/>
    </row>
    <row r="38" spans="1:16" s="152" customFormat="1" x14ac:dyDescent="0.25">
      <c r="A38" s="149">
        <f>'B) D RI'!A39</f>
        <v>5458</v>
      </c>
      <c r="B38" s="150" t="str">
        <f>'B) D RI'!B39</f>
        <v>Faoug</v>
      </c>
      <c r="C38" s="307">
        <f>'B) D RI'!S39</f>
        <v>65</v>
      </c>
      <c r="D38" s="151">
        <f>'B) D RI'!AA39</f>
        <v>866</v>
      </c>
      <c r="E38" s="305">
        <f>'D) Ecrêtage'!C38</f>
        <v>34721.352769230762</v>
      </c>
      <c r="F38" s="309">
        <f>'E) PCS'!G44</f>
        <v>547618.69882986334</v>
      </c>
      <c r="G38" s="306">
        <f>'H) Péréquation directe'!I48</f>
        <v>418463.03095434548</v>
      </c>
      <c r="H38" s="309">
        <f>+'I) Dépenses thématiques'!T38</f>
        <v>-131946.88338461542</v>
      </c>
      <c r="I38" s="306">
        <f>'K) Plafonnement aide'!J38</f>
        <v>0</v>
      </c>
      <c r="J38" s="309">
        <f>'J) Plafonnement effort'!J38</f>
        <v>0</v>
      </c>
      <c r="K38" s="306">
        <f>'L) Plafonnement taux'!Q39</f>
        <v>0</v>
      </c>
      <c r="L38" s="304">
        <f t="shared" si="0"/>
        <v>834134.8463995934</v>
      </c>
      <c r="M38" s="229">
        <f>'M) Police'!N38</f>
        <v>103788.99578122076</v>
      </c>
      <c r="N38" s="229">
        <f t="shared" si="1"/>
        <v>937923.84218081413</v>
      </c>
      <c r="O38" s="309">
        <f t="shared" si="2"/>
        <v>286516.14756973006</v>
      </c>
      <c r="P38" s="311"/>
    </row>
    <row r="39" spans="1:16" s="152" customFormat="1" x14ac:dyDescent="0.25">
      <c r="A39" s="149">
        <f>'B) D RI'!A40</f>
        <v>5464</v>
      </c>
      <c r="B39" s="150" t="str">
        <f>'B) D RI'!B40</f>
        <v>Vully-les-Lacs</v>
      </c>
      <c r="C39" s="307">
        <f>'B) D RI'!S40</f>
        <v>67</v>
      </c>
      <c r="D39" s="151">
        <f>'B) D RI'!AA40</f>
        <v>3465</v>
      </c>
      <c r="E39" s="305">
        <f>'D) Ecrêtage'!C39</f>
        <v>119169.3065671642</v>
      </c>
      <c r="F39" s="309">
        <f>'E) PCS'!G45</f>
        <v>2193846.3653075467</v>
      </c>
      <c r="G39" s="306">
        <f>'H) Péréquation directe'!I49</f>
        <v>298167.29606020404</v>
      </c>
      <c r="H39" s="309">
        <f>+'I) Dépenses thématiques'!T39</f>
        <v>-299921.66059701482</v>
      </c>
      <c r="I39" s="306">
        <f>'K) Plafonnement aide'!J39</f>
        <v>0</v>
      </c>
      <c r="J39" s="309">
        <f>'J) Plafonnement effort'!J39</f>
        <v>0</v>
      </c>
      <c r="K39" s="306">
        <f>'L) Plafonnement taux'!Q40</f>
        <v>0</v>
      </c>
      <c r="L39" s="304">
        <f t="shared" si="0"/>
        <v>2192092.000770736</v>
      </c>
      <c r="M39" s="229">
        <f>'M) Police'!N39</f>
        <v>355793.87062710954</v>
      </c>
      <c r="N39" s="229">
        <f t="shared" si="1"/>
        <v>2547885.8713978454</v>
      </c>
      <c r="O39" s="309">
        <f t="shared" si="2"/>
        <v>-1754.3645368107827</v>
      </c>
      <c r="P39" s="311"/>
    </row>
    <row r="40" spans="1:16" s="152" customFormat="1" x14ac:dyDescent="0.25">
      <c r="A40" s="149">
        <f>'B) D RI'!A41</f>
        <v>5471</v>
      </c>
      <c r="B40" s="150" t="str">
        <f>'B) D RI'!B41</f>
        <v>Bettens</v>
      </c>
      <c r="C40" s="307">
        <f>'B) D RI'!S41</f>
        <v>70</v>
      </c>
      <c r="D40" s="151">
        <f>'B) D RI'!AA41</f>
        <v>626</v>
      </c>
      <c r="E40" s="305">
        <f>'D) Ecrêtage'!C40</f>
        <v>22893.023698412693</v>
      </c>
      <c r="F40" s="309">
        <f>'E) PCS'!G46</f>
        <v>319664.01246364886</v>
      </c>
      <c r="G40" s="306">
        <f>'H) Péréquation directe'!I50</f>
        <v>204178.55805473746</v>
      </c>
      <c r="H40" s="309">
        <f>+'I) Dépenses thématiques'!T40</f>
        <v>-26337.607809523841</v>
      </c>
      <c r="I40" s="306">
        <f>'K) Plafonnement aide'!J40</f>
        <v>0</v>
      </c>
      <c r="J40" s="309">
        <f>'J) Plafonnement effort'!J40</f>
        <v>0</v>
      </c>
      <c r="K40" s="306">
        <f>'L) Plafonnement taux'!Q41</f>
        <v>0</v>
      </c>
      <c r="L40" s="304">
        <f t="shared" si="0"/>
        <v>497504.9627088625</v>
      </c>
      <c r="M40" s="229">
        <f>'M) Police'!N40</f>
        <v>68504.551126812061</v>
      </c>
      <c r="N40" s="229">
        <f t="shared" si="1"/>
        <v>566009.51383567462</v>
      </c>
      <c r="O40" s="309">
        <f t="shared" si="2"/>
        <v>177840.95024521361</v>
      </c>
      <c r="P40" s="311"/>
    </row>
    <row r="41" spans="1:16" s="152" customFormat="1" x14ac:dyDescent="0.25">
      <c r="A41" s="149">
        <f>'B) D RI'!A42</f>
        <v>5472</v>
      </c>
      <c r="B41" s="150" t="str">
        <f>'B) D RI'!B42</f>
        <v>Bournens</v>
      </c>
      <c r="C41" s="307">
        <f>'B) D RI'!S42</f>
        <v>72</v>
      </c>
      <c r="D41" s="151">
        <f>'B) D RI'!AA42</f>
        <v>507</v>
      </c>
      <c r="E41" s="305">
        <f>'D) Ecrêtage'!C41</f>
        <v>22178.441944444447</v>
      </c>
      <c r="F41" s="309">
        <f>'E) PCS'!G47</f>
        <v>368874.87189217866</v>
      </c>
      <c r="G41" s="306">
        <f>'H) Péréquation directe'!I51</f>
        <v>301729.30134846456</v>
      </c>
      <c r="H41" s="309">
        <f>+'I) Dépenses thématiques'!T41</f>
        <v>-17376.418541666666</v>
      </c>
      <c r="I41" s="306">
        <f>'K) Plafonnement aide'!J41</f>
        <v>0</v>
      </c>
      <c r="J41" s="309">
        <f>'J) Plafonnement effort'!J41</f>
        <v>0</v>
      </c>
      <c r="K41" s="306">
        <f>'L) Plafonnement taux'!Q42</f>
        <v>0</v>
      </c>
      <c r="L41" s="304">
        <f t="shared" si="0"/>
        <v>653227.75469897653</v>
      </c>
      <c r="M41" s="229">
        <f>'M) Police'!N41</f>
        <v>67150.227415139903</v>
      </c>
      <c r="N41" s="229">
        <f t="shared" si="1"/>
        <v>720377.98211411643</v>
      </c>
      <c r="O41" s="309">
        <f t="shared" si="2"/>
        <v>284352.88280679792</v>
      </c>
      <c r="P41" s="311"/>
    </row>
    <row r="42" spans="1:16" s="152" customFormat="1" x14ac:dyDescent="0.25">
      <c r="A42" s="149">
        <f>'B) D RI'!A43</f>
        <v>5473</v>
      </c>
      <c r="B42" s="150" t="str">
        <f>'B) D RI'!B43</f>
        <v>Boussens</v>
      </c>
      <c r="C42" s="307">
        <f>'B) D RI'!S43</f>
        <v>67.5</v>
      </c>
      <c r="D42" s="151">
        <f>'B) D RI'!AA43</f>
        <v>1001</v>
      </c>
      <c r="E42" s="305">
        <f>'D) Ecrêtage'!C42</f>
        <v>37059.012888888894</v>
      </c>
      <c r="F42" s="309">
        <f>'E) PCS'!G48</f>
        <v>580204.58746489766</v>
      </c>
      <c r="G42" s="306">
        <f>'H) Péréquation directe'!I52</f>
        <v>359167.9139334294</v>
      </c>
      <c r="H42" s="309">
        <f>+'I) Dépenses thématiques'!T42</f>
        <v>0</v>
      </c>
      <c r="I42" s="306">
        <f>'K) Plafonnement aide'!J42</f>
        <v>0</v>
      </c>
      <c r="J42" s="309">
        <f>'J) Plafonnement effort'!J42</f>
        <v>0</v>
      </c>
      <c r="K42" s="306">
        <f>'L) Plafonnement taux'!Q43</f>
        <v>0</v>
      </c>
      <c r="L42" s="304">
        <f t="shared" si="0"/>
        <v>939372.50139832706</v>
      </c>
      <c r="M42" s="229">
        <f>'M) Police'!N42</f>
        <v>111475.83587788393</v>
      </c>
      <c r="N42" s="229">
        <f t="shared" si="1"/>
        <v>1050848.337276211</v>
      </c>
      <c r="O42" s="309">
        <f t="shared" si="2"/>
        <v>359167.9139334294</v>
      </c>
      <c r="P42" s="311"/>
    </row>
    <row r="43" spans="1:16" s="152" customFormat="1" x14ac:dyDescent="0.25">
      <c r="A43" s="149">
        <f>'B) D RI'!A44</f>
        <v>5474</v>
      </c>
      <c r="B43" s="150" t="str">
        <f>'B) D RI'!B44</f>
        <v>La Chaux (Cossonay)</v>
      </c>
      <c r="C43" s="307">
        <f>'B) D RI'!S44</f>
        <v>76</v>
      </c>
      <c r="D43" s="151">
        <f>'B) D RI'!AA44</f>
        <v>398</v>
      </c>
      <c r="E43" s="305">
        <f>'D) Ecrêtage'!C43</f>
        <v>12905.016929824562</v>
      </c>
      <c r="F43" s="309">
        <f>'E) PCS'!G49</f>
        <v>204710.08351228252</v>
      </c>
      <c r="G43" s="306">
        <f>'H) Péréquation directe'!I53</f>
        <v>44514.40104214137</v>
      </c>
      <c r="H43" s="309">
        <f>+'I) Dépenses thématiques'!T43</f>
        <v>-229768.39842105264</v>
      </c>
      <c r="I43" s="306">
        <f>'K) Plafonnement aide'!J43</f>
        <v>0</v>
      </c>
      <c r="J43" s="309">
        <f>'J) Plafonnement effort'!J43</f>
        <v>0</v>
      </c>
      <c r="K43" s="306">
        <f>'L) Plafonnement taux'!Q44</f>
        <v>0</v>
      </c>
      <c r="L43" s="304">
        <f t="shared" si="0"/>
        <v>19456.086133371253</v>
      </c>
      <c r="M43" s="229">
        <f>'M) Police'!N43</f>
        <v>38922.550940993708</v>
      </c>
      <c r="N43" s="229">
        <f t="shared" si="1"/>
        <v>58378.63707436496</v>
      </c>
      <c r="O43" s="309">
        <f t="shared" si="2"/>
        <v>-185253.99737891127</v>
      </c>
      <c r="P43" s="311"/>
    </row>
    <row r="44" spans="1:16" s="152" customFormat="1" x14ac:dyDescent="0.25">
      <c r="A44" s="149">
        <f>'B) D RI'!A45</f>
        <v>5475</v>
      </c>
      <c r="B44" s="150" t="str">
        <f>'B) D RI'!B45</f>
        <v>Chavannes-le-Veyron</v>
      </c>
      <c r="C44" s="307">
        <f>'B) D RI'!S45</f>
        <v>75</v>
      </c>
      <c r="D44" s="151">
        <f>'B) D RI'!AA45</f>
        <v>155</v>
      </c>
      <c r="E44" s="305">
        <f>'D) Ecrêtage'!C44</f>
        <v>4277.2722666666668</v>
      </c>
      <c r="F44" s="309">
        <f>'E) PCS'!G50</f>
        <v>56867.901752879967</v>
      </c>
      <c r="G44" s="306">
        <f>'H) Péréquation directe'!I54</f>
        <v>-11952.51771311523</v>
      </c>
      <c r="H44" s="309">
        <f>+'I) Dépenses thématiques'!T44</f>
        <v>-27784.162199999999</v>
      </c>
      <c r="I44" s="306">
        <f>'K) Plafonnement aide'!J44</f>
        <v>0</v>
      </c>
      <c r="J44" s="309">
        <f>'J) Plafonnement effort'!J44</f>
        <v>0</v>
      </c>
      <c r="K44" s="306">
        <f>'L) Plafonnement taux'!Q45</f>
        <v>0</v>
      </c>
      <c r="L44" s="304">
        <f t="shared" si="0"/>
        <v>17131.221839764738</v>
      </c>
      <c r="M44" s="229">
        <f>'M) Police'!N44</f>
        <v>12877.041947132027</v>
      </c>
      <c r="N44" s="229">
        <f t="shared" si="1"/>
        <v>30008.263786896765</v>
      </c>
      <c r="O44" s="309">
        <f t="shared" si="2"/>
        <v>-39736.679913115229</v>
      </c>
      <c r="P44" s="311"/>
    </row>
    <row r="45" spans="1:16" s="152" customFormat="1" x14ac:dyDescent="0.25">
      <c r="A45" s="149">
        <f>'B) D RI'!A46</f>
        <v>5476</v>
      </c>
      <c r="B45" s="150" t="str">
        <f>'B) D RI'!B46</f>
        <v>Chevilly</v>
      </c>
      <c r="C45" s="307">
        <f>'B) D RI'!S46</f>
        <v>72.5</v>
      </c>
      <c r="D45" s="151">
        <f>'B) D RI'!AA46</f>
        <v>322</v>
      </c>
      <c r="E45" s="305">
        <f>'D) Ecrêtage'!C45</f>
        <v>12075.307586206898</v>
      </c>
      <c r="F45" s="309">
        <f>'E) PCS'!G51</f>
        <v>191887.16264329804</v>
      </c>
      <c r="G45" s="306">
        <f>'H) Péréquation directe'!I55</f>
        <v>111491.30390600042</v>
      </c>
      <c r="H45" s="309">
        <f>+'I) Dépenses thématiques'!T45</f>
        <v>-8934.4044827586113</v>
      </c>
      <c r="I45" s="306">
        <f>'K) Plafonnement aide'!J45</f>
        <v>0</v>
      </c>
      <c r="J45" s="309">
        <f>'J) Plafonnement effort'!J45</f>
        <v>0</v>
      </c>
      <c r="K45" s="306">
        <f>'L) Plafonnement taux'!Q46</f>
        <v>0</v>
      </c>
      <c r="L45" s="304">
        <f t="shared" si="0"/>
        <v>294444.06206653989</v>
      </c>
      <c r="M45" s="229">
        <f>'M) Police'!N45</f>
        <v>36562.650667735332</v>
      </c>
      <c r="N45" s="229">
        <f t="shared" si="1"/>
        <v>331006.71273427521</v>
      </c>
      <c r="O45" s="309">
        <f t="shared" si="2"/>
        <v>102556.89942324182</v>
      </c>
      <c r="P45" s="311"/>
    </row>
    <row r="46" spans="1:16" s="152" customFormat="1" x14ac:dyDescent="0.25">
      <c r="A46" s="149">
        <f>'B) D RI'!A47</f>
        <v>5477</v>
      </c>
      <c r="B46" s="150" t="str">
        <f>'B) D RI'!B47</f>
        <v>Cossonay</v>
      </c>
      <c r="C46" s="307">
        <f>'B) D RI'!S47</f>
        <v>69.5</v>
      </c>
      <c r="D46" s="151">
        <f>'B) D RI'!AA47</f>
        <v>4326</v>
      </c>
      <c r="E46" s="305">
        <f>'D) Ecrêtage'!C46</f>
        <v>142597.98359712231</v>
      </c>
      <c r="F46" s="309">
        <f>'E) PCS'!G52</f>
        <v>2307521.4580445201</v>
      </c>
      <c r="G46" s="306">
        <f>'H) Péréquation directe'!I56</f>
        <v>-112277.76653170586</v>
      </c>
      <c r="H46" s="309">
        <f>+'I) Dépenses thématiques'!T46</f>
        <v>-815591.34841726616</v>
      </c>
      <c r="I46" s="306">
        <f>'K) Plafonnement aide'!J46</f>
        <v>0</v>
      </c>
      <c r="J46" s="309">
        <f>'J) Plafonnement effort'!J46</f>
        <v>0</v>
      </c>
      <c r="K46" s="306">
        <f>'L) Plafonnement taux'!Q47</f>
        <v>0</v>
      </c>
      <c r="L46" s="304">
        <f t="shared" si="0"/>
        <v>1379652.343095548</v>
      </c>
      <c r="M46" s="229">
        <f>'M) Police'!N46</f>
        <v>428469.6158658925</v>
      </c>
      <c r="N46" s="229">
        <f t="shared" si="1"/>
        <v>1808121.9589614405</v>
      </c>
      <c r="O46" s="309">
        <f t="shared" si="2"/>
        <v>-927869.11494897201</v>
      </c>
      <c r="P46" s="311"/>
    </row>
    <row r="47" spans="1:16" s="152" customFormat="1" x14ac:dyDescent="0.25">
      <c r="A47" s="149">
        <f>'B) D RI'!A48</f>
        <v>5478</v>
      </c>
      <c r="B47" s="150" t="str">
        <f>'B) D RI'!B48</f>
        <v>Cottens</v>
      </c>
      <c r="C47" s="307">
        <f>'B) D RI'!S48</f>
        <v>74</v>
      </c>
      <c r="D47" s="151">
        <f>'B) D RI'!AA48</f>
        <v>484</v>
      </c>
      <c r="E47" s="305">
        <f>'D) Ecrêtage'!C47</f>
        <v>15741.229189189189</v>
      </c>
      <c r="F47" s="309">
        <f>'E) PCS'!G53</f>
        <v>217546.21881383957</v>
      </c>
      <c r="G47" s="306">
        <f>'H) Péréquation directe'!I57</f>
        <v>65323.361806660658</v>
      </c>
      <c r="H47" s="309">
        <f>+'I) Dépenses thématiques'!T47</f>
        <v>0</v>
      </c>
      <c r="I47" s="306">
        <f>'K) Plafonnement aide'!J47</f>
        <v>0</v>
      </c>
      <c r="J47" s="309">
        <f>'J) Plafonnement effort'!J47</f>
        <v>0</v>
      </c>
      <c r="K47" s="306">
        <f>'L) Plafonnement taux'!Q48</f>
        <v>0</v>
      </c>
      <c r="L47" s="304">
        <f t="shared" si="0"/>
        <v>282869.58062050026</v>
      </c>
      <c r="M47" s="229">
        <f>'M) Police'!N47</f>
        <v>47716.091393325245</v>
      </c>
      <c r="N47" s="229">
        <f t="shared" si="1"/>
        <v>330585.6720138255</v>
      </c>
      <c r="O47" s="309">
        <f t="shared" si="2"/>
        <v>65323.361806660658</v>
      </c>
      <c r="P47" s="311"/>
    </row>
    <row r="48" spans="1:16" s="152" customFormat="1" x14ac:dyDescent="0.25">
      <c r="A48" s="149">
        <f>'B) D RI'!A49</f>
        <v>5479</v>
      </c>
      <c r="B48" s="150" t="str">
        <f>'B) D RI'!B49</f>
        <v>Cuarnens</v>
      </c>
      <c r="C48" s="307">
        <f>'B) D RI'!S49</f>
        <v>77</v>
      </c>
      <c r="D48" s="151">
        <f>'B) D RI'!AA49</f>
        <v>531</v>
      </c>
      <c r="E48" s="305">
        <f>'D) Ecrêtage'!C48</f>
        <v>17984.87649350649</v>
      </c>
      <c r="F48" s="309">
        <f>'E) PCS'!G54</f>
        <v>279430.49288187857</v>
      </c>
      <c r="G48" s="306">
        <f>'H) Péréquation directe'!I58</f>
        <v>86696.699181455886</v>
      </c>
      <c r="H48" s="309">
        <f>+'I) Dépenses thématiques'!T48</f>
        <v>-96988.583668831183</v>
      </c>
      <c r="I48" s="306">
        <f>'K) Plafonnement aide'!J48</f>
        <v>0</v>
      </c>
      <c r="J48" s="309">
        <f>'J) Plafonnement effort'!J48</f>
        <v>0</v>
      </c>
      <c r="K48" s="306">
        <f>'L) Plafonnement taux'!Q49</f>
        <v>0</v>
      </c>
      <c r="L48" s="304">
        <f t="shared" si="0"/>
        <v>269138.60839450324</v>
      </c>
      <c r="M48" s="229">
        <f>'M) Police'!N48</f>
        <v>54596.167817247595</v>
      </c>
      <c r="N48" s="229">
        <f t="shared" si="1"/>
        <v>323734.77621175081</v>
      </c>
      <c r="O48" s="309">
        <f t="shared" si="2"/>
        <v>-10291.884487375297</v>
      </c>
      <c r="P48" s="311"/>
    </row>
    <row r="49" spans="1:16" s="152" customFormat="1" x14ac:dyDescent="0.25">
      <c r="A49" s="149">
        <f>'B) D RI'!A50</f>
        <v>5480</v>
      </c>
      <c r="B49" s="150" t="str">
        <f>'B) D RI'!B50</f>
        <v>Daillens</v>
      </c>
      <c r="C49" s="307">
        <f>'B) D RI'!S50</f>
        <v>66</v>
      </c>
      <c r="D49" s="151">
        <f>'B) D RI'!AA50</f>
        <v>1051</v>
      </c>
      <c r="E49" s="305">
        <f>'D) Ecrêtage'!C49</f>
        <v>41284.66095959596</v>
      </c>
      <c r="F49" s="309">
        <f>'E) PCS'!G55</f>
        <v>721862.33621376567</v>
      </c>
      <c r="G49" s="306">
        <f>'H) Péréquation directe'!I59</f>
        <v>461053.74857194064</v>
      </c>
      <c r="H49" s="309">
        <f>+'I) Dépenses thématiques'!T49</f>
        <v>-138855.53424242424</v>
      </c>
      <c r="I49" s="306">
        <f>'K) Plafonnement aide'!J49</f>
        <v>0</v>
      </c>
      <c r="J49" s="309">
        <f>'J) Plafonnement effort'!J49</f>
        <v>0</v>
      </c>
      <c r="K49" s="306">
        <f>'L) Plafonnement taux'!Q50</f>
        <v>0</v>
      </c>
      <c r="L49" s="304">
        <f t="shared" si="0"/>
        <v>1044060.5505432822</v>
      </c>
      <c r="M49" s="229">
        <f>'M) Police'!N49</f>
        <v>120973.94953659699</v>
      </c>
      <c r="N49" s="229">
        <f t="shared" si="1"/>
        <v>1165034.5000798791</v>
      </c>
      <c r="O49" s="309">
        <f t="shared" si="2"/>
        <v>322198.2143295164</v>
      </c>
      <c r="P49" s="311"/>
    </row>
    <row r="50" spans="1:16" s="152" customFormat="1" x14ac:dyDescent="0.25">
      <c r="A50" s="149">
        <f>'B) D RI'!A51</f>
        <v>5481</v>
      </c>
      <c r="B50" s="150" t="str">
        <f>'B) D RI'!B51</f>
        <v>Dizy</v>
      </c>
      <c r="C50" s="307">
        <f>'B) D RI'!S51</f>
        <v>75</v>
      </c>
      <c r="D50" s="151">
        <f>'B) D RI'!AA51</f>
        <v>225</v>
      </c>
      <c r="E50" s="305">
        <f>'D) Ecrêtage'!C50</f>
        <v>8120.887333333334</v>
      </c>
      <c r="F50" s="309">
        <f>'E) PCS'!G56</f>
        <v>108015.74108324491</v>
      </c>
      <c r="G50" s="306">
        <f>'H) Péréquation directe'!I60</f>
        <v>61269.608234889485</v>
      </c>
      <c r="H50" s="309">
        <f>+'I) Dépenses thématiques'!T50</f>
        <v>-17272.425999999996</v>
      </c>
      <c r="I50" s="306">
        <f>'K) Plafonnement aide'!J50</f>
        <v>0</v>
      </c>
      <c r="J50" s="309">
        <f>'J) Plafonnement effort'!J50</f>
        <v>0</v>
      </c>
      <c r="K50" s="306">
        <f>'L) Plafonnement taux'!Q51</f>
        <v>0</v>
      </c>
      <c r="L50" s="304">
        <f t="shared" si="0"/>
        <v>152012.92331813439</v>
      </c>
      <c r="M50" s="229">
        <f>'M) Police'!N50</f>
        <v>24629.863256592627</v>
      </c>
      <c r="N50" s="229">
        <f t="shared" si="1"/>
        <v>176642.78657472701</v>
      </c>
      <c r="O50" s="309">
        <f t="shared" si="2"/>
        <v>43997.182234889493</v>
      </c>
      <c r="P50" s="311"/>
    </row>
    <row r="51" spans="1:16" s="152" customFormat="1" x14ac:dyDescent="0.25">
      <c r="A51" s="149">
        <f>'B) D RI'!A52</f>
        <v>5482</v>
      </c>
      <c r="B51" s="150" t="str">
        <f>'B) D RI'!B52</f>
        <v>Eclépens</v>
      </c>
      <c r="C51" s="307">
        <f>'B) D RI'!S52</f>
        <v>46</v>
      </c>
      <c r="D51" s="151">
        <f>'B) D RI'!AA52</f>
        <v>1198</v>
      </c>
      <c r="E51" s="305">
        <f>'D) Ecrêtage'!C51</f>
        <v>54196.336086956522</v>
      </c>
      <c r="F51" s="309">
        <f>'E) PCS'!G57</f>
        <v>857325.85123857553</v>
      </c>
      <c r="G51" s="306">
        <f>'H) Péréquation directe'!I61</f>
        <v>785198.77059616963</v>
      </c>
      <c r="H51" s="309">
        <f>+'I) Dépenses thématiques'!T51</f>
        <v>-73178.483478260867</v>
      </c>
      <c r="I51" s="306">
        <f>'K) Plafonnement aide'!J51</f>
        <v>0</v>
      </c>
      <c r="J51" s="309">
        <f>'J) Plafonnement effort'!J51</f>
        <v>0</v>
      </c>
      <c r="K51" s="306">
        <f>'L) Plafonnement taux'!Q52</f>
        <v>0</v>
      </c>
      <c r="L51" s="304">
        <f t="shared" si="0"/>
        <v>1569346.1383564842</v>
      </c>
      <c r="M51" s="229">
        <f>'M) Police'!N51</f>
        <v>150085.45325448719</v>
      </c>
      <c r="N51" s="229">
        <f t="shared" si="1"/>
        <v>1719431.5916109714</v>
      </c>
      <c r="O51" s="309">
        <f t="shared" si="2"/>
        <v>712020.28711790871</v>
      </c>
      <c r="P51" s="311"/>
    </row>
    <row r="52" spans="1:16" s="152" customFormat="1" x14ac:dyDescent="0.25">
      <c r="A52" s="149">
        <f>'B) D RI'!A53</f>
        <v>5483</v>
      </c>
      <c r="B52" s="150" t="str">
        <f>'B) D RI'!B53</f>
        <v>Ferreyres</v>
      </c>
      <c r="C52" s="307">
        <f>'B) D RI'!S53</f>
        <v>76</v>
      </c>
      <c r="D52" s="151">
        <f>'B) D RI'!AA53</f>
        <v>319</v>
      </c>
      <c r="E52" s="305">
        <f>'D) Ecrêtage'!C52</f>
        <v>10537.122500000001</v>
      </c>
      <c r="F52" s="309">
        <f>'E) PCS'!G58</f>
        <v>135064.03299297264</v>
      </c>
      <c r="G52" s="306">
        <f>'H) Péréquation directe'!I62</f>
        <v>43758.570960184879</v>
      </c>
      <c r="H52" s="309">
        <f>+'I) Dépenses thématiques'!T52</f>
        <v>0</v>
      </c>
      <c r="I52" s="306">
        <f>'K) Plafonnement aide'!J52</f>
        <v>0</v>
      </c>
      <c r="J52" s="309">
        <f>'J) Plafonnement effort'!J52</f>
        <v>0</v>
      </c>
      <c r="K52" s="306">
        <f>'L) Plafonnement taux'!Q53</f>
        <v>0</v>
      </c>
      <c r="L52" s="304">
        <f t="shared" si="0"/>
        <v>178822.60395315752</v>
      </c>
      <c r="M52" s="229">
        <f>'M) Police'!N52</f>
        <v>31884.278534666781</v>
      </c>
      <c r="N52" s="229">
        <f t="shared" si="1"/>
        <v>210706.8824878243</v>
      </c>
      <c r="O52" s="309">
        <f t="shared" si="2"/>
        <v>43758.570960184879</v>
      </c>
      <c r="P52" s="311"/>
    </row>
    <row r="53" spans="1:16" s="152" customFormat="1" x14ac:dyDescent="0.25">
      <c r="A53" s="149">
        <f>'B) D RI'!A54</f>
        <v>5484</v>
      </c>
      <c r="B53" s="150" t="str">
        <f>'B) D RI'!B54</f>
        <v>Gollion</v>
      </c>
      <c r="C53" s="307">
        <f>'B) D RI'!S54</f>
        <v>74</v>
      </c>
      <c r="D53" s="151">
        <f>'B) D RI'!AA54</f>
        <v>1018</v>
      </c>
      <c r="E53" s="305">
        <f>'D) Ecrêtage'!C53</f>
        <v>35950.666081081094</v>
      </c>
      <c r="F53" s="309">
        <f>'E) PCS'!G59</f>
        <v>567578.77287089359</v>
      </c>
      <c r="G53" s="306">
        <f>'H) Péréquation directe'!I63</f>
        <v>248528.18736776995</v>
      </c>
      <c r="H53" s="309">
        <f>+'I) Dépenses thématiques'!T53</f>
        <v>-163069.50395270262</v>
      </c>
      <c r="I53" s="306">
        <f>'K) Plafonnement aide'!J53</f>
        <v>0</v>
      </c>
      <c r="J53" s="309">
        <f>'J) Plafonnement effort'!J53</f>
        <v>0</v>
      </c>
      <c r="K53" s="306">
        <f>'L) Plafonnement taux'!Q54</f>
        <v>0</v>
      </c>
      <c r="L53" s="304">
        <f t="shared" si="0"/>
        <v>653037.45628596086</v>
      </c>
      <c r="M53" s="229">
        <f>'M) Police'!N53</f>
        <v>108372.29819698985</v>
      </c>
      <c r="N53" s="229">
        <f t="shared" si="1"/>
        <v>761409.75448295067</v>
      </c>
      <c r="O53" s="309">
        <f t="shared" si="2"/>
        <v>85458.683415067324</v>
      </c>
      <c r="P53" s="311"/>
    </row>
    <row r="54" spans="1:16" s="152" customFormat="1" x14ac:dyDescent="0.25">
      <c r="A54" s="149">
        <f>'B) D RI'!A55</f>
        <v>5485</v>
      </c>
      <c r="B54" s="150" t="str">
        <f>'B) D RI'!B55</f>
        <v>Grancy</v>
      </c>
      <c r="C54" s="307">
        <f>'B) D RI'!S55</f>
        <v>70</v>
      </c>
      <c r="D54" s="151">
        <f>'B) D RI'!AA55</f>
        <v>445</v>
      </c>
      <c r="E54" s="305">
        <f>'D) Ecrêtage'!C54</f>
        <v>24488.659571428572</v>
      </c>
      <c r="F54" s="309">
        <f>'E) PCS'!G60</f>
        <v>415184.36507647822</v>
      </c>
      <c r="G54" s="306">
        <f>'H) Péréquation directe'!I64</f>
        <v>401303.49374098732</v>
      </c>
      <c r="H54" s="309">
        <f>+'I) Dépenses thématiques'!T54</f>
        <v>-40744.755321428573</v>
      </c>
      <c r="I54" s="306">
        <f>'K) Plafonnement aide'!J54</f>
        <v>0</v>
      </c>
      <c r="J54" s="309">
        <f>'J) Plafonnement effort'!J54</f>
        <v>0</v>
      </c>
      <c r="K54" s="306">
        <f>'L) Plafonnement taux'!Q55</f>
        <v>0</v>
      </c>
      <c r="L54" s="304">
        <f t="shared" si="0"/>
        <v>775743.10349603707</v>
      </c>
      <c r="M54" s="229">
        <f>'M) Police'!N54</f>
        <v>68396.24821874022</v>
      </c>
      <c r="N54" s="229">
        <f t="shared" si="1"/>
        <v>844139.35171477729</v>
      </c>
      <c r="O54" s="309">
        <f t="shared" si="2"/>
        <v>360558.73841955874</v>
      </c>
      <c r="P54" s="311"/>
    </row>
    <row r="55" spans="1:16" s="152" customFormat="1" x14ac:dyDescent="0.25">
      <c r="A55" s="149">
        <f>'B) D RI'!A56</f>
        <v>5486</v>
      </c>
      <c r="B55" s="150" t="str">
        <f>'B) D RI'!B56</f>
        <v>L'Isle</v>
      </c>
      <c r="C55" s="307">
        <f>'B) D RI'!S56</f>
        <v>75</v>
      </c>
      <c r="D55" s="151">
        <f>'B) D RI'!AA56</f>
        <v>1079</v>
      </c>
      <c r="E55" s="305">
        <f>'D) Ecrêtage'!C55</f>
        <v>29230.387866666671</v>
      </c>
      <c r="F55" s="309">
        <f>'E) PCS'!G61</f>
        <v>533686.04015572811</v>
      </c>
      <c r="G55" s="306">
        <f>'H) Péréquation directe'!I65</f>
        <v>-123352.62758896383</v>
      </c>
      <c r="H55" s="309">
        <f>+'I) Dépenses thématiques'!T55</f>
        <v>-352807.88189999992</v>
      </c>
      <c r="I55" s="306">
        <f>'K) Plafonnement aide'!J55</f>
        <v>0</v>
      </c>
      <c r="J55" s="309">
        <f>'J) Plafonnement effort'!J55</f>
        <v>0</v>
      </c>
      <c r="K55" s="306">
        <f>'L) Plafonnement taux'!Q56</f>
        <v>0</v>
      </c>
      <c r="L55" s="304">
        <f t="shared" si="0"/>
        <v>57525.53066676436</v>
      </c>
      <c r="M55" s="229">
        <f>'M) Police'!N55</f>
        <v>86956.763111629814</v>
      </c>
      <c r="N55" s="229">
        <f t="shared" si="1"/>
        <v>144482.29377839417</v>
      </c>
      <c r="O55" s="309">
        <f t="shared" si="2"/>
        <v>-476160.50948896375</v>
      </c>
      <c r="P55" s="311"/>
    </row>
    <row r="56" spans="1:16" s="152" customFormat="1" x14ac:dyDescent="0.25">
      <c r="A56" s="149">
        <f>'B) D RI'!A57</f>
        <v>5487</v>
      </c>
      <c r="B56" s="150" t="str">
        <f>'B) D RI'!B57</f>
        <v>Lussery-Villars</v>
      </c>
      <c r="C56" s="307">
        <f>'B) D RI'!S57</f>
        <v>75</v>
      </c>
      <c r="D56" s="151">
        <f>'B) D RI'!AA57</f>
        <v>475</v>
      </c>
      <c r="E56" s="305">
        <f>'D) Ecrêtage'!C56</f>
        <v>16622.441866666668</v>
      </c>
      <c r="F56" s="309">
        <f>'E) PCS'!G62</f>
        <v>220279.37859575241</v>
      </c>
      <c r="G56" s="306">
        <f>'H) Péréquation directe'!I66</f>
        <v>107896.30541401551</v>
      </c>
      <c r="H56" s="309">
        <f>+'I) Dépenses thématiques'!T56</f>
        <v>-23755.098799999992</v>
      </c>
      <c r="I56" s="306">
        <f>'K) Plafonnement aide'!J56</f>
        <v>0</v>
      </c>
      <c r="J56" s="309">
        <f>'J) Plafonnement effort'!J56</f>
        <v>0</v>
      </c>
      <c r="K56" s="306">
        <f>'L) Plafonnement taux'!Q57</f>
        <v>0</v>
      </c>
      <c r="L56" s="304">
        <f t="shared" si="0"/>
        <v>304420.58520976797</v>
      </c>
      <c r="M56" s="229">
        <f>'M) Police'!N56</f>
        <v>50395.40979533238</v>
      </c>
      <c r="N56" s="229">
        <f t="shared" si="1"/>
        <v>354815.99500510038</v>
      </c>
      <c r="O56" s="309">
        <f t="shared" si="2"/>
        <v>84141.206614015522</v>
      </c>
      <c r="P56" s="311"/>
    </row>
    <row r="57" spans="1:16" s="152" customFormat="1" x14ac:dyDescent="0.25">
      <c r="A57" s="149">
        <f>'B) D RI'!A58</f>
        <v>5488</v>
      </c>
      <c r="B57" s="150" t="str">
        <f>'B) D RI'!B58</f>
        <v>Mauraz</v>
      </c>
      <c r="C57" s="307">
        <f>'B) D RI'!S58</f>
        <v>77</v>
      </c>
      <c r="D57" s="151">
        <f>'B) D RI'!AA58</f>
        <v>60</v>
      </c>
      <c r="E57" s="305">
        <f>'D) Ecrêtage'!C57</f>
        <v>1729.1857142857141</v>
      </c>
      <c r="F57" s="309">
        <f>'E) PCS'!G63</f>
        <v>21089.963253512771</v>
      </c>
      <c r="G57" s="306">
        <f>'H) Péréquation directe'!I67</f>
        <v>-3031.3203428887136</v>
      </c>
      <c r="H57" s="309">
        <f>+'I) Dépenses thématiques'!T57</f>
        <v>0</v>
      </c>
      <c r="I57" s="306">
        <f>'K) Plafonnement aide'!J57</f>
        <v>0</v>
      </c>
      <c r="J57" s="309">
        <f>'J) Plafonnement effort'!J57</f>
        <v>0</v>
      </c>
      <c r="K57" s="306">
        <f>'L) Plafonnement taux'!Q58</f>
        <v>0</v>
      </c>
      <c r="L57" s="304">
        <f t="shared" si="0"/>
        <v>18058.642910624058</v>
      </c>
      <c r="M57" s="229">
        <f>'M) Police'!N57</f>
        <v>5256.7513940149429</v>
      </c>
      <c r="N57" s="229">
        <f t="shared" si="1"/>
        <v>23315.394304639001</v>
      </c>
      <c r="O57" s="309">
        <f t="shared" si="2"/>
        <v>-3031.3203428887136</v>
      </c>
      <c r="P57" s="311"/>
    </row>
    <row r="58" spans="1:16" s="152" customFormat="1" x14ac:dyDescent="0.25">
      <c r="A58" s="149">
        <f>'B) D RI'!A59</f>
        <v>5489</v>
      </c>
      <c r="B58" s="150" t="str">
        <f>'B) D RI'!B59</f>
        <v>Mex</v>
      </c>
      <c r="C58" s="307">
        <f>'B) D RI'!S59</f>
        <v>59.5</v>
      </c>
      <c r="D58" s="151">
        <f>'B) D RI'!AA59</f>
        <v>795</v>
      </c>
      <c r="E58" s="305">
        <f>'D) Ecrêtage'!C58</f>
        <v>50879.929915966379</v>
      </c>
      <c r="F58" s="309">
        <f>'E) PCS'!G64</f>
        <v>987989.89094217529</v>
      </c>
      <c r="G58" s="306">
        <f>'H) Péréquation directe'!I68</f>
        <v>849949.79300757358</v>
      </c>
      <c r="H58" s="309">
        <f>+'I) Dépenses thématiques'!T58</f>
        <v>0</v>
      </c>
      <c r="I58" s="306">
        <f>'K) Plafonnement aide'!J58</f>
        <v>0</v>
      </c>
      <c r="J58" s="309">
        <f>'J) Plafonnement effort'!J58</f>
        <v>0</v>
      </c>
      <c r="K58" s="306">
        <f>'L) Plafonnement taux'!Q59</f>
        <v>0</v>
      </c>
      <c r="L58" s="304">
        <f t="shared" si="0"/>
        <v>1837939.683949749</v>
      </c>
      <c r="M58" s="229">
        <f>'M) Police'!N58</f>
        <v>130526.10396089085</v>
      </c>
      <c r="N58" s="229">
        <f t="shared" si="1"/>
        <v>1968465.7879106398</v>
      </c>
      <c r="O58" s="309">
        <f t="shared" si="2"/>
        <v>849949.79300757358</v>
      </c>
      <c r="P58" s="311"/>
    </row>
    <row r="59" spans="1:16" s="152" customFormat="1" x14ac:dyDescent="0.25">
      <c r="A59" s="149">
        <f>'B) D RI'!A60</f>
        <v>5490</v>
      </c>
      <c r="B59" s="150" t="str">
        <f>'B) D RI'!B60</f>
        <v>Moiry</v>
      </c>
      <c r="C59" s="307">
        <f>'B) D RI'!S60</f>
        <v>77.5</v>
      </c>
      <c r="D59" s="151">
        <f>'B) D RI'!AA60</f>
        <v>301</v>
      </c>
      <c r="E59" s="305">
        <f>'D) Ecrêtage'!C59</f>
        <v>9056.9</v>
      </c>
      <c r="F59" s="309">
        <f>'E) PCS'!G65</f>
        <v>129829.36733889434</v>
      </c>
      <c r="G59" s="306">
        <f>'H) Péréquation directe'!I69</f>
        <v>-728.24637455400079</v>
      </c>
      <c r="H59" s="309">
        <f>+'I) Dépenses thématiques'!T59</f>
        <v>-13130.100000000002</v>
      </c>
      <c r="I59" s="306">
        <f>'K) Plafonnement aide'!J59</f>
        <v>0</v>
      </c>
      <c r="J59" s="309">
        <f>'J) Plafonnement effort'!J59</f>
        <v>0</v>
      </c>
      <c r="K59" s="306">
        <f>'L) Plafonnement taux'!Q60</f>
        <v>0</v>
      </c>
      <c r="L59" s="304">
        <f t="shared" si="0"/>
        <v>115971.02096434034</v>
      </c>
      <c r="M59" s="229">
        <f>'M) Police'!N59</f>
        <v>27477.475050977991</v>
      </c>
      <c r="N59" s="229">
        <f t="shared" si="1"/>
        <v>143448.49601531832</v>
      </c>
      <c r="O59" s="309">
        <f t="shared" si="2"/>
        <v>-13858.346374554003</v>
      </c>
      <c r="P59" s="311"/>
    </row>
    <row r="60" spans="1:16" s="152" customFormat="1" x14ac:dyDescent="0.25">
      <c r="A60" s="149">
        <f>'B) D RI'!A61</f>
        <v>5491</v>
      </c>
      <c r="B60" s="150" t="str">
        <f>'B) D RI'!B61</f>
        <v>Mont-la-Ville</v>
      </c>
      <c r="C60" s="307">
        <f>'B) D RI'!S61</f>
        <v>76</v>
      </c>
      <c r="D60" s="151">
        <f>'B) D RI'!AA61</f>
        <v>508</v>
      </c>
      <c r="E60" s="305">
        <f>'D) Ecrêtage'!C60</f>
        <v>13648.930789473685</v>
      </c>
      <c r="F60" s="309">
        <f>'E) PCS'!G66</f>
        <v>190274.75225727001</v>
      </c>
      <c r="G60" s="306">
        <f>'H) Péréquation directe'!I70</f>
        <v>-60959.893848493608</v>
      </c>
      <c r="H60" s="309">
        <f>+'I) Dépenses thématiques'!T60</f>
        <v>-173594.66526315789</v>
      </c>
      <c r="I60" s="306">
        <f>'K) Plafonnement aide'!J60</f>
        <v>0</v>
      </c>
      <c r="J60" s="309">
        <f>'J) Plafonnement effort'!J60</f>
        <v>0</v>
      </c>
      <c r="K60" s="306">
        <f>'L) Plafonnement taux'!Q61</f>
        <v>0</v>
      </c>
      <c r="L60" s="304">
        <f t="shared" si="0"/>
        <v>-44279.806854381488</v>
      </c>
      <c r="M60" s="229">
        <f>'M) Police'!N60</f>
        <v>40829.397042780271</v>
      </c>
      <c r="N60" s="229">
        <f t="shared" si="1"/>
        <v>-3450.4098116012174</v>
      </c>
      <c r="O60" s="309">
        <f t="shared" si="2"/>
        <v>-234554.5591116515</v>
      </c>
      <c r="P60" s="311"/>
    </row>
    <row r="61" spans="1:16" s="152" customFormat="1" x14ac:dyDescent="0.25">
      <c r="A61" s="149">
        <f>'B) D RI'!A62</f>
        <v>5492</v>
      </c>
      <c r="B61" s="150" t="str">
        <f>'B) D RI'!B62</f>
        <v>Montricher</v>
      </c>
      <c r="C61" s="307">
        <f>'B) D RI'!S62</f>
        <v>64</v>
      </c>
      <c r="D61" s="151">
        <f>'B) D RI'!AA62</f>
        <v>981</v>
      </c>
      <c r="E61" s="305">
        <f>'D) Ecrêtage'!C61</f>
        <v>175268.45531250001</v>
      </c>
      <c r="F61" s="309">
        <f>'E) PCS'!G67</f>
        <v>6132913.6134219579</v>
      </c>
      <c r="G61" s="306">
        <f>'H) Péréquation directe'!I71</f>
        <v>3147116.1156988987</v>
      </c>
      <c r="H61" s="309">
        <f>+'I) Dépenses thématiques'!T61</f>
        <v>-170292.40851562499</v>
      </c>
      <c r="I61" s="306">
        <f>'K) Plafonnement aide'!J61</f>
        <v>0</v>
      </c>
      <c r="J61" s="309">
        <f>'J) Plafonnement effort'!J61</f>
        <v>-485053.82560523064</v>
      </c>
      <c r="K61" s="306">
        <f>'L) Plafonnement taux'!Q62</f>
        <v>0</v>
      </c>
      <c r="L61" s="304">
        <f t="shared" ref="L61:L115" si="3">F61+G61+H61+I61+J61+K61</f>
        <v>8624683.495000001</v>
      </c>
      <c r="M61" s="229">
        <f>'M) Police'!N61</f>
        <v>292550.32176632888</v>
      </c>
      <c r="N61" s="229">
        <f t="shared" si="1"/>
        <v>8917233.8167663291</v>
      </c>
      <c r="O61" s="309">
        <f t="shared" si="2"/>
        <v>2491769.8815780431</v>
      </c>
      <c r="P61" s="311"/>
    </row>
    <row r="62" spans="1:16" s="152" customFormat="1" x14ac:dyDescent="0.25">
      <c r="A62" s="149">
        <f>'B) D RI'!A63</f>
        <v>5493</v>
      </c>
      <c r="B62" s="150" t="str">
        <f>'B) D RI'!B63</f>
        <v>Orny</v>
      </c>
      <c r="C62" s="307">
        <f>'B) D RI'!S63</f>
        <v>73</v>
      </c>
      <c r="D62" s="151">
        <f>'B) D RI'!AA63</f>
        <v>480</v>
      </c>
      <c r="E62" s="305">
        <f>'D) Ecrêtage'!C62</f>
        <v>13489.946448893574</v>
      </c>
      <c r="F62" s="309">
        <f>'E) PCS'!G68</f>
        <v>260344.47937304463</v>
      </c>
      <c r="G62" s="306">
        <f>'H) Péréquation directe'!I72</f>
        <v>-15462.164809920127</v>
      </c>
      <c r="H62" s="309">
        <f>+'I) Dépenses thématiques'!T62</f>
        <v>0</v>
      </c>
      <c r="I62" s="306">
        <f>'K) Plafonnement aide'!J62</f>
        <v>0</v>
      </c>
      <c r="J62" s="309">
        <f>'J) Plafonnement effort'!J62</f>
        <v>0</v>
      </c>
      <c r="K62" s="306">
        <f>'L) Plafonnement taux'!Q63</f>
        <v>0</v>
      </c>
      <c r="L62" s="304">
        <f t="shared" si="3"/>
        <v>244882.3145631245</v>
      </c>
      <c r="M62" s="229">
        <f>'M) Police'!N62</f>
        <v>40427.735481344149</v>
      </c>
      <c r="N62" s="229">
        <f t="shared" si="1"/>
        <v>285310.05004446866</v>
      </c>
      <c r="O62" s="309">
        <f t="shared" si="2"/>
        <v>-15462.164809920127</v>
      </c>
      <c r="P62" s="311"/>
    </row>
    <row r="63" spans="1:16" s="152" customFormat="1" x14ac:dyDescent="0.25">
      <c r="A63" s="149">
        <f>'B) D RI'!A64</f>
        <v>5494</v>
      </c>
      <c r="B63" s="150" t="str">
        <f>'B) D RI'!B64</f>
        <v>Pampigny</v>
      </c>
      <c r="C63" s="307">
        <f>'B) D RI'!S64</f>
        <v>73</v>
      </c>
      <c r="D63" s="151">
        <f>'B) D RI'!AA64</f>
        <v>1185</v>
      </c>
      <c r="E63" s="305">
        <f>'D) Ecrêtage'!C63</f>
        <v>43210.558962818002</v>
      </c>
      <c r="F63" s="309">
        <f>'E) PCS'!G69</f>
        <v>779044.01517593348</v>
      </c>
      <c r="G63" s="306">
        <f>'H) Péréquation directe'!I73</f>
        <v>315964.92423093767</v>
      </c>
      <c r="H63" s="309">
        <f>+'I) Dépenses thématiques'!T63</f>
        <v>-1213218.7270009785</v>
      </c>
      <c r="I63" s="306">
        <f>'K) Plafonnement aide'!J63</f>
        <v>0</v>
      </c>
      <c r="J63" s="309">
        <f>'J) Plafonnement effort'!J63</f>
        <v>0</v>
      </c>
      <c r="K63" s="306">
        <f>'L) Plafonnement taux'!Q64</f>
        <v>0</v>
      </c>
      <c r="L63" s="304">
        <f t="shared" si="3"/>
        <v>-118209.78759410745</v>
      </c>
      <c r="M63" s="229">
        <f>'M) Police'!N63</f>
        <v>130499.66369202675</v>
      </c>
      <c r="N63" s="229">
        <f t="shared" si="1"/>
        <v>12289.876097919303</v>
      </c>
      <c r="O63" s="309">
        <f t="shared" si="2"/>
        <v>-897253.80277004093</v>
      </c>
      <c r="P63" s="311"/>
    </row>
    <row r="64" spans="1:16" s="152" customFormat="1" x14ac:dyDescent="0.25">
      <c r="A64" s="149">
        <f>'B) D RI'!A65</f>
        <v>5495</v>
      </c>
      <c r="B64" s="150" t="str">
        <f>'B) D RI'!B65</f>
        <v>Penthalaz</v>
      </c>
      <c r="C64" s="307">
        <f>'B) D RI'!S65</f>
        <v>74</v>
      </c>
      <c r="D64" s="151">
        <f>'B) D RI'!AA65</f>
        <v>3210</v>
      </c>
      <c r="E64" s="305">
        <f>'D) Ecrêtage'!C64</f>
        <v>95314.520135135113</v>
      </c>
      <c r="F64" s="309">
        <f>'E) PCS'!G70</f>
        <v>1494856.5416458962</v>
      </c>
      <c r="G64" s="306">
        <f>'H) Péréquation directe'!I74</f>
        <v>-462617.60733379959</v>
      </c>
      <c r="H64" s="309">
        <f>+'I) Dépenses thématiques'!T64</f>
        <v>-645227.87918918929</v>
      </c>
      <c r="I64" s="306">
        <f>'K) Plafonnement aide'!J64</f>
        <v>0</v>
      </c>
      <c r="J64" s="309">
        <f>'J) Plafonnement effort'!J64</f>
        <v>0</v>
      </c>
      <c r="K64" s="306">
        <f>'L) Plafonnement taux'!Q65</f>
        <v>0</v>
      </c>
      <c r="L64" s="304">
        <f t="shared" si="3"/>
        <v>387011.05512290727</v>
      </c>
      <c r="M64" s="229">
        <f>'M) Police'!N64</f>
        <v>286398.55263915588</v>
      </c>
      <c r="N64" s="229">
        <f t="shared" si="1"/>
        <v>673409.60776206315</v>
      </c>
      <c r="O64" s="309">
        <f t="shared" si="2"/>
        <v>-1107845.4865229889</v>
      </c>
      <c r="P64" s="311"/>
    </row>
    <row r="65" spans="1:16" s="152" customFormat="1" x14ac:dyDescent="0.25">
      <c r="A65" s="149">
        <f>'B) D RI'!A66</f>
        <v>5496</v>
      </c>
      <c r="B65" s="150" t="str">
        <f>'B) D RI'!B66</f>
        <v>Penthaz</v>
      </c>
      <c r="C65" s="307">
        <f>'B) D RI'!S66</f>
        <v>69.5</v>
      </c>
      <c r="D65" s="151">
        <f>'B) D RI'!AA66</f>
        <v>1890</v>
      </c>
      <c r="E65" s="305">
        <f>'D) Ecrêtage'!C65</f>
        <v>56267.911654676267</v>
      </c>
      <c r="F65" s="309">
        <f>'E) PCS'!G71</f>
        <v>931219.78737764084</v>
      </c>
      <c r="G65" s="306">
        <f>'H) Péréquation directe'!I75</f>
        <v>-64784.578931807075</v>
      </c>
      <c r="H65" s="309">
        <f>+'I) Dépenses thématiques'!T65</f>
        <v>-281619.53007194237</v>
      </c>
      <c r="I65" s="306">
        <f>'K) Plafonnement aide'!J65</f>
        <v>0</v>
      </c>
      <c r="J65" s="309">
        <f>'J) Plafonnement effort'!J65</f>
        <v>0</v>
      </c>
      <c r="K65" s="306">
        <f>'L) Plafonnement taux'!Q66</f>
        <v>0</v>
      </c>
      <c r="L65" s="304">
        <f t="shared" si="3"/>
        <v>584815.67837389139</v>
      </c>
      <c r="M65" s="229">
        <f>'M) Police'!N65</f>
        <v>167731.15394501653</v>
      </c>
      <c r="N65" s="229">
        <f t="shared" si="1"/>
        <v>752546.83231890795</v>
      </c>
      <c r="O65" s="309">
        <f t="shared" si="2"/>
        <v>-346404.10900374944</v>
      </c>
      <c r="P65" s="311"/>
    </row>
    <row r="66" spans="1:16" s="152" customFormat="1" x14ac:dyDescent="0.25">
      <c r="A66" s="149">
        <f>'B) D RI'!A67</f>
        <v>5497</v>
      </c>
      <c r="B66" s="150" t="str">
        <f>'B) D RI'!B67</f>
        <v>Pompaples</v>
      </c>
      <c r="C66" s="307">
        <f>'B) D RI'!S67</f>
        <v>66</v>
      </c>
      <c r="D66" s="151">
        <f>'B) D RI'!AA67</f>
        <v>849</v>
      </c>
      <c r="E66" s="305">
        <f>'D) Ecrêtage'!C66</f>
        <v>22253.499393939397</v>
      </c>
      <c r="F66" s="309">
        <f>'E) PCS'!G72</f>
        <v>360352.27289114235</v>
      </c>
      <c r="G66" s="306">
        <f>'H) Péréquation directe'!I76</f>
        <v>-18355.011375326372</v>
      </c>
      <c r="H66" s="309">
        <f>+'I) Dépenses thématiques'!T66</f>
        <v>-121525.50363636362</v>
      </c>
      <c r="I66" s="306">
        <f>'K) Plafonnement aide'!J66</f>
        <v>0</v>
      </c>
      <c r="J66" s="309">
        <f>'J) Plafonnement effort'!J66</f>
        <v>0</v>
      </c>
      <c r="K66" s="306">
        <f>'L) Plafonnement taux'!Q67</f>
        <v>0</v>
      </c>
      <c r="L66" s="304">
        <f t="shared" si="3"/>
        <v>220471.75787945237</v>
      </c>
      <c r="M66" s="229">
        <f>'M) Police'!N66</f>
        <v>66360.34250765355</v>
      </c>
      <c r="N66" s="229">
        <f t="shared" si="1"/>
        <v>286832.10038710595</v>
      </c>
      <c r="O66" s="309">
        <f t="shared" si="2"/>
        <v>-139880.51501168997</v>
      </c>
      <c r="P66" s="311"/>
    </row>
    <row r="67" spans="1:16" s="152" customFormat="1" x14ac:dyDescent="0.25">
      <c r="A67" s="149">
        <f>'B) D RI'!A68</f>
        <v>5498</v>
      </c>
      <c r="B67" s="150" t="str">
        <f>'B) D RI'!B68</f>
        <v>La Sarraz</v>
      </c>
      <c r="C67" s="307">
        <f>'B) D RI'!S68</f>
        <v>66</v>
      </c>
      <c r="D67" s="151">
        <f>'B) D RI'!AA68</f>
        <v>2620</v>
      </c>
      <c r="E67" s="305">
        <f>'D) Ecrêtage'!C67</f>
        <v>74682.149090909108</v>
      </c>
      <c r="F67" s="309">
        <f>'E) PCS'!G73</f>
        <v>1057747.4485051963</v>
      </c>
      <c r="G67" s="306">
        <f>'H) Péréquation directe'!I77</f>
        <v>-203801.10480288765</v>
      </c>
      <c r="H67" s="309">
        <f>+'I) Dépenses thématiques'!T67</f>
        <v>-533341.35545454535</v>
      </c>
      <c r="I67" s="306">
        <f>'K) Plafonnement aide'!J67</f>
        <v>0</v>
      </c>
      <c r="J67" s="309">
        <f>'J) Plafonnement effort'!J67</f>
        <v>0</v>
      </c>
      <c r="K67" s="306">
        <f>'L) Plafonnement taux'!Q68</f>
        <v>0</v>
      </c>
      <c r="L67" s="304">
        <f t="shared" si="3"/>
        <v>320604.98824776325</v>
      </c>
      <c r="M67" s="229">
        <f>'M) Police'!N67</f>
        <v>223072.41475284507</v>
      </c>
      <c r="N67" s="229">
        <f t="shared" si="1"/>
        <v>543677.40300060832</v>
      </c>
      <c r="O67" s="309">
        <f t="shared" si="2"/>
        <v>-737142.46025743301</v>
      </c>
      <c r="P67" s="311"/>
    </row>
    <row r="68" spans="1:16" s="152" customFormat="1" x14ac:dyDescent="0.25">
      <c r="A68" s="149">
        <f>'B) D RI'!A69</f>
        <v>5499</v>
      </c>
      <c r="B68" s="150" t="str">
        <f>'B) D RI'!B69</f>
        <v>Senarclens</v>
      </c>
      <c r="C68" s="307">
        <f>'B) D RI'!S69</f>
        <v>68.5</v>
      </c>
      <c r="D68" s="151">
        <f>'B) D RI'!AA69</f>
        <v>491</v>
      </c>
      <c r="E68" s="305">
        <f>'D) Ecrêtage'!C68</f>
        <v>18238.904233576643</v>
      </c>
      <c r="F68" s="309">
        <f>'E) PCS'!G74</f>
        <v>447125.86482269026</v>
      </c>
      <c r="G68" s="306">
        <f>'H) Péréquation directe'!I78</f>
        <v>175539.16102833045</v>
      </c>
      <c r="H68" s="309">
        <f>+'I) Dépenses thématiques'!T68</f>
        <v>-168890.82459854014</v>
      </c>
      <c r="I68" s="306">
        <f>'K) Plafonnement aide'!J68</f>
        <v>0</v>
      </c>
      <c r="J68" s="309">
        <f>'J) Plafonnement effort'!J68</f>
        <v>0</v>
      </c>
      <c r="K68" s="306">
        <f>'L) Plafonnement taux'!Q69</f>
        <v>0</v>
      </c>
      <c r="L68" s="304">
        <f t="shared" si="3"/>
        <v>453774.20125248056</v>
      </c>
      <c r="M68" s="229">
        <f>'M) Police'!N68</f>
        <v>54927.402317017462</v>
      </c>
      <c r="N68" s="229">
        <f t="shared" si="1"/>
        <v>508701.60356949805</v>
      </c>
      <c r="O68" s="309">
        <f t="shared" si="2"/>
        <v>6648.3364297903026</v>
      </c>
      <c r="P68" s="311"/>
    </row>
    <row r="69" spans="1:16" s="152" customFormat="1" x14ac:dyDescent="0.25">
      <c r="A69" s="149">
        <f>'B) D RI'!A70</f>
        <v>5500</v>
      </c>
      <c r="B69" s="150" t="str">
        <f>'B) D RI'!B70</f>
        <v>Sévery</v>
      </c>
      <c r="C69" s="307">
        <f>'B) D RI'!S70</f>
        <v>73</v>
      </c>
      <c r="D69" s="151">
        <f>'B) D RI'!AA70</f>
        <v>220</v>
      </c>
      <c r="E69" s="305">
        <f>'D) Ecrêtage'!C69</f>
        <v>7230.3632420091335</v>
      </c>
      <c r="F69" s="309">
        <f>'E) PCS'!G75</f>
        <v>142441.61991326674</v>
      </c>
      <c r="G69" s="306">
        <f>'H) Péréquation directe'!I79</f>
        <v>34747.339735650588</v>
      </c>
      <c r="H69" s="309">
        <f>+'I) Dépenses thématiques'!T69</f>
        <v>-17281.570547945201</v>
      </c>
      <c r="I69" s="306">
        <f>'K) Plafonnement aide'!J69</f>
        <v>0</v>
      </c>
      <c r="J69" s="309">
        <f>'J) Plafonnement effort'!J69</f>
        <v>0</v>
      </c>
      <c r="K69" s="306">
        <f>'L) Plafonnement taux'!Q70</f>
        <v>0</v>
      </c>
      <c r="L69" s="304">
        <f t="shared" si="3"/>
        <v>159907.3891009721</v>
      </c>
      <c r="M69" s="229">
        <f>'M) Police'!N69</f>
        <v>21742.882448084398</v>
      </c>
      <c r="N69" s="229">
        <f t="shared" si="1"/>
        <v>181650.27154905649</v>
      </c>
      <c r="O69" s="309">
        <f t="shared" si="2"/>
        <v>17465.769187705388</v>
      </c>
      <c r="P69" s="311"/>
    </row>
    <row r="70" spans="1:16" s="152" customFormat="1" x14ac:dyDescent="0.25">
      <c r="A70" s="149">
        <f>'B) D RI'!A71</f>
        <v>5501</v>
      </c>
      <c r="B70" s="150" t="str">
        <f>'B) D RI'!B71</f>
        <v>Sullens</v>
      </c>
      <c r="C70" s="307">
        <f>'B) D RI'!S71</f>
        <v>68.5</v>
      </c>
      <c r="D70" s="151">
        <f>'B) D RI'!AA71</f>
        <v>1143</v>
      </c>
      <c r="E70" s="305">
        <f>'D) Ecrêtage'!C70</f>
        <v>43195.598978102193</v>
      </c>
      <c r="F70" s="309">
        <f>'E) PCS'!G76</f>
        <v>-809415.45384239103</v>
      </c>
      <c r="G70" s="306">
        <f>'H) Péréquation directe'!I80</f>
        <v>404095.87476243183</v>
      </c>
      <c r="H70" s="309">
        <f>+'I) Dépenses thématiques'!T70</f>
        <v>-32319.4568978102</v>
      </c>
      <c r="I70" s="306">
        <f>'K) Plafonnement aide'!J70</f>
        <v>0</v>
      </c>
      <c r="J70" s="309">
        <f>'J) Plafonnement effort'!J70</f>
        <v>0</v>
      </c>
      <c r="K70" s="306">
        <f>'L) Plafonnement taux'!Q71</f>
        <v>0</v>
      </c>
      <c r="L70" s="304">
        <f t="shared" si="3"/>
        <v>-437639.03597776941</v>
      </c>
      <c r="M70" s="229">
        <f>'M) Police'!N70</f>
        <v>130039.85150881796</v>
      </c>
      <c r="N70" s="229">
        <f t="shared" ref="N70:N133" si="4">L70+M70</f>
        <v>-307599.18446895143</v>
      </c>
      <c r="O70" s="309">
        <f t="shared" ref="O70:O133" si="5">SUM(G70:K70)</f>
        <v>371776.41786462162</v>
      </c>
      <c r="P70" s="311"/>
    </row>
    <row r="71" spans="1:16" s="152" customFormat="1" x14ac:dyDescent="0.25">
      <c r="A71" s="149">
        <f>'B) D RI'!A72</f>
        <v>5503</v>
      </c>
      <c r="B71" s="150" t="str">
        <f>'B) D RI'!B72</f>
        <v>Vufflens-la-Ville</v>
      </c>
      <c r="C71" s="307">
        <f>'B) D RI'!S72</f>
        <v>67</v>
      </c>
      <c r="D71" s="151">
        <f>'B) D RI'!AA72</f>
        <v>1346</v>
      </c>
      <c r="E71" s="305">
        <f>'D) Ecrêtage'!C71</f>
        <v>79029.714875621881</v>
      </c>
      <c r="F71" s="309">
        <f>'E) PCS'!G77</f>
        <v>1364877.3888966546</v>
      </c>
      <c r="G71" s="306">
        <f>'H) Péréquation directe'!I81</f>
        <v>1228631.9844808022</v>
      </c>
      <c r="H71" s="309">
        <f>+'I) Dépenses thématiques'!T71</f>
        <v>0</v>
      </c>
      <c r="I71" s="306">
        <f>'K) Plafonnement aide'!J71</f>
        <v>0</v>
      </c>
      <c r="J71" s="309">
        <f>'J) Plafonnement effort'!J71</f>
        <v>0</v>
      </c>
      <c r="K71" s="306">
        <f>'L) Plafonnement taux'!Q72</f>
        <v>0</v>
      </c>
      <c r="L71" s="304">
        <f t="shared" si="3"/>
        <v>2593509.3733774568</v>
      </c>
      <c r="M71" s="229">
        <f>'M) Police'!N71</f>
        <v>212675.43625988555</v>
      </c>
      <c r="N71" s="229">
        <f t="shared" si="4"/>
        <v>2806184.8096373426</v>
      </c>
      <c r="O71" s="309">
        <f t="shared" si="5"/>
        <v>1228631.9844808022</v>
      </c>
      <c r="P71" s="311"/>
    </row>
    <row r="72" spans="1:16" s="152" customFormat="1" x14ac:dyDescent="0.25">
      <c r="A72" s="149">
        <f>'B) D RI'!A73</f>
        <v>5511</v>
      </c>
      <c r="B72" s="150" t="str">
        <f>'B) D RI'!B73</f>
        <v>Assens</v>
      </c>
      <c r="C72" s="307">
        <f>'B) D RI'!S73</f>
        <v>70</v>
      </c>
      <c r="D72" s="151">
        <f>'B) D RI'!AA73</f>
        <v>1151</v>
      </c>
      <c r="E72" s="305">
        <f>'D) Ecrêtage'!C72</f>
        <v>47333.455142857143</v>
      </c>
      <c r="F72" s="309">
        <f>'E) PCS'!G78</f>
        <v>1022561.8134798432</v>
      </c>
      <c r="G72" s="306">
        <f>'H) Péréquation directe'!I82</f>
        <v>541844.63962472603</v>
      </c>
      <c r="H72" s="309">
        <f>+'I) Dépenses thématiques'!T72</f>
        <v>-303782.51914285717</v>
      </c>
      <c r="I72" s="306">
        <f>'K) Plafonnement aide'!J72</f>
        <v>0</v>
      </c>
      <c r="J72" s="309">
        <f>'J) Plafonnement effort'!J72</f>
        <v>0</v>
      </c>
      <c r="K72" s="306">
        <f>'L) Plafonnement taux'!Q73</f>
        <v>0</v>
      </c>
      <c r="L72" s="304">
        <f t="shared" si="3"/>
        <v>1260623.9339617118</v>
      </c>
      <c r="M72" s="229">
        <f>'M) Police'!N72</f>
        <v>142096.34557345844</v>
      </c>
      <c r="N72" s="229">
        <f t="shared" si="4"/>
        <v>1402720.2795351702</v>
      </c>
      <c r="O72" s="309">
        <f t="shared" si="5"/>
        <v>238062.12048186886</v>
      </c>
      <c r="P72" s="311"/>
    </row>
    <row r="73" spans="1:16" s="152" customFormat="1" x14ac:dyDescent="0.25">
      <c r="A73" s="149">
        <f>'B) D RI'!A74</f>
        <v>5512</v>
      </c>
      <c r="B73" s="150" t="str">
        <f>'B) D RI'!B74</f>
        <v>Bercher</v>
      </c>
      <c r="C73" s="307">
        <f>'B) D RI'!S74</f>
        <v>79</v>
      </c>
      <c r="D73" s="151">
        <f>'B) D RI'!AA74</f>
        <v>1320</v>
      </c>
      <c r="E73" s="305">
        <f>'D) Ecrêtage'!C73</f>
        <v>40764.12544303797</v>
      </c>
      <c r="F73" s="309">
        <f>'E) PCS'!G79</f>
        <v>724113.89993108157</v>
      </c>
      <c r="G73" s="306">
        <f>'H) Péréquation directe'!I83</f>
        <v>-52103.077119560097</v>
      </c>
      <c r="H73" s="309">
        <f>+'I) Dépenses thématiques'!T73</f>
        <v>-230787.74734177219</v>
      </c>
      <c r="I73" s="306">
        <f>'K) Plafonnement aide'!J73</f>
        <v>0</v>
      </c>
      <c r="J73" s="309">
        <f>'J) Plafonnement effort'!J73</f>
        <v>0</v>
      </c>
      <c r="K73" s="306">
        <f>'L) Plafonnement taux'!Q74</f>
        <v>0</v>
      </c>
      <c r="L73" s="304">
        <f t="shared" si="3"/>
        <v>441223.07546974928</v>
      </c>
      <c r="M73" s="229">
        <f>'M) Police'!N73</f>
        <v>122145.44358344877</v>
      </c>
      <c r="N73" s="229">
        <f t="shared" si="4"/>
        <v>563368.51905319805</v>
      </c>
      <c r="O73" s="309">
        <f t="shared" si="5"/>
        <v>-282890.82446133229</v>
      </c>
      <c r="P73" s="311"/>
    </row>
    <row r="74" spans="1:16" s="152" customFormat="1" x14ac:dyDescent="0.25">
      <c r="A74" s="149">
        <f>'B) D RI'!A75</f>
        <v>5513</v>
      </c>
      <c r="B74" s="150" t="str">
        <f>'B) D RI'!B75</f>
        <v>Bioley-Orjulaz</v>
      </c>
      <c r="C74" s="307">
        <f>'B) D RI'!S75</f>
        <v>68</v>
      </c>
      <c r="D74" s="151">
        <f>'B) D RI'!AA75</f>
        <v>518</v>
      </c>
      <c r="E74" s="305">
        <f>'D) Ecrêtage'!C74</f>
        <v>22739.022647058824</v>
      </c>
      <c r="F74" s="309">
        <f>'E) PCS'!G80</f>
        <v>423543.15812148224</v>
      </c>
      <c r="G74" s="306">
        <f>'H) Péréquation directe'!I84</f>
        <v>316602.7644561581</v>
      </c>
      <c r="H74" s="309">
        <f>+'I) Dépenses thématiques'!T74</f>
        <v>-251022.59713235294</v>
      </c>
      <c r="I74" s="306">
        <f>'K) Plafonnement aide'!J74</f>
        <v>0</v>
      </c>
      <c r="J74" s="309">
        <f>'J) Plafonnement effort'!J74</f>
        <v>0</v>
      </c>
      <c r="K74" s="306">
        <f>'L) Plafonnement taux'!Q75</f>
        <v>0</v>
      </c>
      <c r="L74" s="304">
        <f t="shared" si="3"/>
        <v>489123.32544528734</v>
      </c>
      <c r="M74" s="229">
        <f>'M) Police'!N74</f>
        <v>68184.064356776129</v>
      </c>
      <c r="N74" s="229">
        <f t="shared" si="4"/>
        <v>557307.38980206347</v>
      </c>
      <c r="O74" s="309">
        <f t="shared" si="5"/>
        <v>65580.167323805159</v>
      </c>
      <c r="P74" s="311"/>
    </row>
    <row r="75" spans="1:16" s="152" customFormat="1" x14ac:dyDescent="0.25">
      <c r="A75" s="149">
        <f>'B) D RI'!A76</f>
        <v>5514</v>
      </c>
      <c r="B75" s="150" t="str">
        <f>'B) D RI'!B76</f>
        <v>Bottens</v>
      </c>
      <c r="C75" s="307">
        <f>'B) D RI'!S76</f>
        <v>72.5</v>
      </c>
      <c r="D75" s="151">
        <f>'B) D RI'!AA76</f>
        <v>1357</v>
      </c>
      <c r="E75" s="305">
        <f>'D) Ecrêtage'!C75</f>
        <v>44223.41544827586</v>
      </c>
      <c r="F75" s="309">
        <f>'E) PCS'!G81</f>
        <v>619462.54483169364</v>
      </c>
      <c r="G75" s="306">
        <f>'H) Péréquation directe'!I85</f>
        <v>125425.89023985458</v>
      </c>
      <c r="H75" s="309">
        <f>+'I) Dépenses thématiques'!T75</f>
        <v>-42324.507310344838</v>
      </c>
      <c r="I75" s="306">
        <f>'K) Plafonnement aide'!J75</f>
        <v>0</v>
      </c>
      <c r="J75" s="309">
        <f>'J) Plafonnement effort'!J75</f>
        <v>0</v>
      </c>
      <c r="K75" s="306">
        <f>'L) Plafonnement taux'!Q76</f>
        <v>0</v>
      </c>
      <c r="L75" s="304">
        <f t="shared" si="3"/>
        <v>702563.92776120338</v>
      </c>
      <c r="M75" s="229">
        <f>'M) Police'!N75</f>
        <v>133198.20399195884</v>
      </c>
      <c r="N75" s="229">
        <f t="shared" si="4"/>
        <v>835762.13175316225</v>
      </c>
      <c r="O75" s="309">
        <f t="shared" si="5"/>
        <v>83101.382929509738</v>
      </c>
      <c r="P75" s="311"/>
    </row>
    <row r="76" spans="1:16" s="152" customFormat="1" x14ac:dyDescent="0.25">
      <c r="A76" s="149">
        <f>'B) D RI'!A77</f>
        <v>5515</v>
      </c>
      <c r="B76" s="150" t="str">
        <f>'B) D RI'!B77</f>
        <v>Bretigny-sur-Morrens</v>
      </c>
      <c r="C76" s="307">
        <f>'B) D RI'!S77</f>
        <v>78</v>
      </c>
      <c r="D76" s="151">
        <f>'B) D RI'!AA77</f>
        <v>882</v>
      </c>
      <c r="E76" s="305">
        <f>'D) Ecrêtage'!C76</f>
        <v>32348.775256410252</v>
      </c>
      <c r="F76" s="309">
        <f>'E) PCS'!G82</f>
        <v>497065.51122504793</v>
      </c>
      <c r="G76" s="306">
        <f>'H) Péréquation directe'!I86</f>
        <v>242413.33207135194</v>
      </c>
      <c r="H76" s="309">
        <f>+'I) Dépenses thématiques'!T76</f>
        <v>-280515.01701923076</v>
      </c>
      <c r="I76" s="306">
        <f>'K) Plafonnement aide'!J76</f>
        <v>0</v>
      </c>
      <c r="J76" s="309">
        <f>'J) Plafonnement effort'!J76</f>
        <v>0</v>
      </c>
      <c r="K76" s="306">
        <f>'L) Plafonnement taux'!Q77</f>
        <v>0</v>
      </c>
      <c r="L76" s="304">
        <f t="shared" si="3"/>
        <v>458963.82627716905</v>
      </c>
      <c r="M76" s="229">
        <f>'M) Police'!N76</f>
        <v>97611.926495901775</v>
      </c>
      <c r="N76" s="229">
        <f t="shared" si="4"/>
        <v>556575.75277307082</v>
      </c>
      <c r="O76" s="309">
        <f t="shared" si="5"/>
        <v>-38101.684947878821</v>
      </c>
      <c r="P76" s="311"/>
    </row>
    <row r="77" spans="1:16" s="152" customFormat="1" x14ac:dyDescent="0.25">
      <c r="A77" s="149">
        <f>'B) D RI'!A78</f>
        <v>5516</v>
      </c>
      <c r="B77" s="150" t="str">
        <f>'B) D RI'!B78</f>
        <v>Cugy</v>
      </c>
      <c r="C77" s="307">
        <f>'B) D RI'!S78</f>
        <v>78</v>
      </c>
      <c r="D77" s="151">
        <f>'B) D RI'!AA78</f>
        <v>2733</v>
      </c>
      <c r="E77" s="305">
        <f>'D) Ecrêtage'!C77</f>
        <v>111604.91621794872</v>
      </c>
      <c r="F77" s="309">
        <f>'E) PCS'!G83</f>
        <v>1678739.4484997785</v>
      </c>
      <c r="G77" s="306">
        <f>'H) Péréquation directe'!I87</f>
        <v>850297.19042570237</v>
      </c>
      <c r="H77" s="309">
        <f>+'I) Dépenses thématiques'!T77</f>
        <v>-265052.75269230769</v>
      </c>
      <c r="I77" s="306">
        <f>'K) Plafonnement aide'!J77</f>
        <v>0</v>
      </c>
      <c r="J77" s="309">
        <f>'J) Plafonnement effort'!J77</f>
        <v>0</v>
      </c>
      <c r="K77" s="306">
        <f>'L) Plafonnement taux'!Q78</f>
        <v>0</v>
      </c>
      <c r="L77" s="304">
        <f t="shared" si="3"/>
        <v>2263983.8862331728</v>
      </c>
      <c r="M77" s="229">
        <f>'M) Police'!N77</f>
        <v>337675.39756850241</v>
      </c>
      <c r="N77" s="229">
        <f t="shared" si="4"/>
        <v>2601659.2838016753</v>
      </c>
      <c r="O77" s="309">
        <f t="shared" si="5"/>
        <v>585244.43773339468</v>
      </c>
      <c r="P77" s="311"/>
    </row>
    <row r="78" spans="1:16" s="152" customFormat="1" x14ac:dyDescent="0.25">
      <c r="A78" s="149">
        <f>'B) D RI'!A79</f>
        <v>5518</v>
      </c>
      <c r="B78" s="150" t="str">
        <f>'B) D RI'!B79</f>
        <v>Echallens</v>
      </c>
      <c r="C78" s="307">
        <f>'B) D RI'!S79</f>
        <v>72.5</v>
      </c>
      <c r="D78" s="151">
        <f>'B) D RI'!AA79</f>
        <v>5739</v>
      </c>
      <c r="E78" s="305">
        <f>'D) Ecrêtage'!C78</f>
        <v>183030.51158620688</v>
      </c>
      <c r="F78" s="309">
        <f>'E) PCS'!G84</f>
        <v>2775727.219276309</v>
      </c>
      <c r="G78" s="306">
        <f>'H) Péréquation directe'!I88</f>
        <v>-836955.58248276357</v>
      </c>
      <c r="H78" s="309">
        <f>+'I) Dépenses thématiques'!T78</f>
        <v>-1401231.6804827587</v>
      </c>
      <c r="I78" s="306">
        <f>'K) Plafonnement aide'!J78</f>
        <v>0</v>
      </c>
      <c r="J78" s="309">
        <f>'J) Plafonnement effort'!J78</f>
        <v>0</v>
      </c>
      <c r="K78" s="306">
        <f>'L) Plafonnement taux'!Q79</f>
        <v>0</v>
      </c>
      <c r="L78" s="304">
        <f t="shared" si="3"/>
        <v>537539.95631078677</v>
      </c>
      <c r="M78" s="229">
        <f>'M) Police'!N78</f>
        <v>547654.38671267522</v>
      </c>
      <c r="N78" s="229">
        <f t="shared" si="4"/>
        <v>1085194.343023462</v>
      </c>
      <c r="O78" s="309">
        <f t="shared" si="5"/>
        <v>-2238187.2629655222</v>
      </c>
      <c r="P78" s="311"/>
    </row>
    <row r="79" spans="1:16" s="152" customFormat="1" x14ac:dyDescent="0.25">
      <c r="A79" s="149">
        <f>'B) D RI'!A80</f>
        <v>5520</v>
      </c>
      <c r="B79" s="150" t="str">
        <f>'B) D RI'!B80</f>
        <v>Essertines-sur-Yverdon</v>
      </c>
      <c r="C79" s="307">
        <f>'B) D RI'!S80</f>
        <v>73</v>
      </c>
      <c r="D79" s="151">
        <f>'B) D RI'!AA80</f>
        <v>1059</v>
      </c>
      <c r="E79" s="305">
        <f>'D) Ecrêtage'!C79</f>
        <v>31696.699178082192</v>
      </c>
      <c r="F79" s="309">
        <f>'E) PCS'!G85</f>
        <v>444657.90930791647</v>
      </c>
      <c r="G79" s="306">
        <f>'H) Péréquation directe'!I89</f>
        <v>29899.049867046066</v>
      </c>
      <c r="H79" s="309">
        <f>+'I) Dépenses thématiques'!T79</f>
        <v>-224004.53054794524</v>
      </c>
      <c r="I79" s="306">
        <f>'K) Plafonnement aide'!J79</f>
        <v>0</v>
      </c>
      <c r="J79" s="309">
        <f>'J) Plafonnement effort'!J79</f>
        <v>0</v>
      </c>
      <c r="K79" s="306">
        <f>'L) Plafonnement taux'!Q80</f>
        <v>0</v>
      </c>
      <c r="L79" s="304">
        <f t="shared" si="3"/>
        <v>250552.4286270173</v>
      </c>
      <c r="M79" s="229">
        <f>'M) Police'!N79</f>
        <v>94918.308517753991</v>
      </c>
      <c r="N79" s="229">
        <f t="shared" si="4"/>
        <v>345470.73714477126</v>
      </c>
      <c r="O79" s="309">
        <f t="shared" si="5"/>
        <v>-194105.48068089917</v>
      </c>
      <c r="P79" s="311"/>
    </row>
    <row r="80" spans="1:16" s="152" customFormat="1" x14ac:dyDescent="0.25">
      <c r="A80" s="149">
        <f>'B) D RI'!A81</f>
        <v>5521</v>
      </c>
      <c r="B80" s="150" t="str">
        <f>'B) D RI'!B81</f>
        <v>Etagnières</v>
      </c>
      <c r="C80" s="307">
        <f>'B) D RI'!S81</f>
        <v>73</v>
      </c>
      <c r="D80" s="151">
        <f>'B) D RI'!AA81</f>
        <v>1148</v>
      </c>
      <c r="E80" s="305">
        <f>'D) Ecrêtage'!C80</f>
        <v>42645.35479452055</v>
      </c>
      <c r="F80" s="309">
        <f>'E) PCS'!G86</f>
        <v>645460.35398194625</v>
      </c>
      <c r="G80" s="306">
        <f>'H) Péréquation directe'!I90</f>
        <v>344421.57519814605</v>
      </c>
      <c r="H80" s="309">
        <f>+'I) Dépenses thématiques'!T80</f>
        <v>-97033.6212328767</v>
      </c>
      <c r="I80" s="306">
        <f>'K) Plafonnement aide'!J80</f>
        <v>0</v>
      </c>
      <c r="J80" s="309">
        <f>'J) Plafonnement effort'!J80</f>
        <v>0</v>
      </c>
      <c r="K80" s="306">
        <f>'L) Plafonnement taux'!Q81</f>
        <v>0</v>
      </c>
      <c r="L80" s="304">
        <f t="shared" si="3"/>
        <v>892848.30794721562</v>
      </c>
      <c r="M80" s="229">
        <f>'M) Police'!N80</f>
        <v>127403.4619247095</v>
      </c>
      <c r="N80" s="229">
        <f t="shared" si="4"/>
        <v>1020251.7698719251</v>
      </c>
      <c r="O80" s="309">
        <f t="shared" si="5"/>
        <v>247387.95396526935</v>
      </c>
      <c r="P80" s="311"/>
    </row>
    <row r="81" spans="1:16" s="152" customFormat="1" x14ac:dyDescent="0.25">
      <c r="A81" s="149">
        <f>'B) D RI'!A82</f>
        <v>5522</v>
      </c>
      <c r="B81" s="150" t="str">
        <f>'B) D RI'!B82</f>
        <v>Fey</v>
      </c>
      <c r="C81" s="307">
        <f>'B) D RI'!S82</f>
        <v>75</v>
      </c>
      <c r="D81" s="151">
        <f>'B) D RI'!AA82</f>
        <v>754</v>
      </c>
      <c r="E81" s="305">
        <f>'D) Ecrêtage'!C81</f>
        <v>23924.3328</v>
      </c>
      <c r="F81" s="309">
        <f>'E) PCS'!G87</f>
        <v>334121.41391515185</v>
      </c>
      <c r="G81" s="306">
        <f>'H) Péréquation directe'!I91</f>
        <v>70048.755281782767</v>
      </c>
      <c r="H81" s="309">
        <f>+'I) Dépenses thématiques'!T81</f>
        <v>-34740.253199999999</v>
      </c>
      <c r="I81" s="306">
        <f>'K) Plafonnement aide'!J81</f>
        <v>0</v>
      </c>
      <c r="J81" s="309">
        <f>'J) Plafonnement effort'!J81</f>
        <v>0</v>
      </c>
      <c r="K81" s="306">
        <f>'L) Plafonnement taux'!Q82</f>
        <v>0</v>
      </c>
      <c r="L81" s="304">
        <f t="shared" si="3"/>
        <v>369429.91599693464</v>
      </c>
      <c r="M81" s="229">
        <f>'M) Police'!N81</f>
        <v>71866.693246096329</v>
      </c>
      <c r="N81" s="229">
        <f t="shared" si="4"/>
        <v>441296.60924303095</v>
      </c>
      <c r="O81" s="309">
        <f t="shared" si="5"/>
        <v>35308.502081782768</v>
      </c>
      <c r="P81" s="311"/>
    </row>
    <row r="82" spans="1:16" s="152" customFormat="1" x14ac:dyDescent="0.25">
      <c r="A82" s="149">
        <f>'B) D RI'!A83</f>
        <v>5523</v>
      </c>
      <c r="B82" s="150" t="str">
        <f>'B) D RI'!B83</f>
        <v>Froideville</v>
      </c>
      <c r="C82" s="307">
        <f>'B) D RI'!S83</f>
        <v>72</v>
      </c>
      <c r="D82" s="151">
        <f>'B) D RI'!AA83</f>
        <v>2673</v>
      </c>
      <c r="E82" s="305">
        <f>'D) Ecrêtage'!C82</f>
        <v>93741.085555555546</v>
      </c>
      <c r="F82" s="309">
        <f>'E) PCS'!G88</f>
        <v>1648647.7775752372</v>
      </c>
      <c r="G82" s="306">
        <f>'H) Péréquation directe'!I92</f>
        <v>302452.61518370803</v>
      </c>
      <c r="H82" s="309">
        <f>+'I) Dépenses thématiques'!T82</f>
        <v>-170521.73666666672</v>
      </c>
      <c r="I82" s="306">
        <f>'K) Plafonnement aide'!J82</f>
        <v>0</v>
      </c>
      <c r="J82" s="309">
        <f>'J) Plafonnement effort'!J82</f>
        <v>0</v>
      </c>
      <c r="K82" s="306">
        <f>'L) Plafonnement taux'!Q83</f>
        <v>0</v>
      </c>
      <c r="L82" s="304">
        <f t="shared" si="3"/>
        <v>1780578.6560922784</v>
      </c>
      <c r="M82" s="229">
        <f>'M) Police'!N82</f>
        <v>281041.09646999539</v>
      </c>
      <c r="N82" s="229">
        <f t="shared" si="4"/>
        <v>2061619.7525622738</v>
      </c>
      <c r="O82" s="309">
        <f t="shared" si="5"/>
        <v>131930.8785170413</v>
      </c>
      <c r="P82" s="311"/>
    </row>
    <row r="83" spans="1:16" s="152" customFormat="1" x14ac:dyDescent="0.25">
      <c r="A83" s="149">
        <f>'B) D RI'!A84</f>
        <v>5527</v>
      </c>
      <c r="B83" s="150" t="str">
        <f>'B) D RI'!B84</f>
        <v>Morrens</v>
      </c>
      <c r="C83" s="307">
        <f>'B) D RI'!S84</f>
        <v>74</v>
      </c>
      <c r="D83" s="151">
        <f>'B) D RI'!AA84</f>
        <v>1156</v>
      </c>
      <c r="E83" s="305">
        <f>'D) Ecrêtage'!C83</f>
        <v>39310.302027027028</v>
      </c>
      <c r="F83" s="309">
        <f>'E) PCS'!G89</f>
        <v>612288.12993679277</v>
      </c>
      <c r="G83" s="306">
        <f>'H) Péréquation directe'!I93</f>
        <v>190430.37283315591</v>
      </c>
      <c r="H83" s="309">
        <f>+'I) Dépenses thématiques'!T83</f>
        <v>-24202.187837837831</v>
      </c>
      <c r="I83" s="306">
        <f>'K) Plafonnement aide'!J83</f>
        <v>0</v>
      </c>
      <c r="J83" s="309">
        <f>'J) Plafonnement effort'!J83</f>
        <v>0</v>
      </c>
      <c r="K83" s="306">
        <f>'L) Plafonnement taux'!Q84</f>
        <v>0</v>
      </c>
      <c r="L83" s="304">
        <f t="shared" si="3"/>
        <v>778516.31493211084</v>
      </c>
      <c r="M83" s="229">
        <f>'M) Police'!N83</f>
        <v>118058.76487179483</v>
      </c>
      <c r="N83" s="229">
        <f t="shared" si="4"/>
        <v>896575.07980390568</v>
      </c>
      <c r="O83" s="309">
        <f t="shared" si="5"/>
        <v>166228.18499531806</v>
      </c>
      <c r="P83" s="311"/>
    </row>
    <row r="84" spans="1:16" s="152" customFormat="1" x14ac:dyDescent="0.25">
      <c r="A84" s="149">
        <f>'B) D RI'!A85</f>
        <v>5529</v>
      </c>
      <c r="B84" s="150" t="str">
        <f>'B) D RI'!B85</f>
        <v>Oulens-sous-Echallens</v>
      </c>
      <c r="C84" s="307">
        <f>'B) D RI'!S85</f>
        <v>70</v>
      </c>
      <c r="D84" s="151">
        <f>'B) D RI'!AA85</f>
        <v>619</v>
      </c>
      <c r="E84" s="305">
        <f>'D) Ecrêtage'!C84</f>
        <v>21162.231857142859</v>
      </c>
      <c r="F84" s="309">
        <f>'E) PCS'!G90</f>
        <v>401023.42012910463</v>
      </c>
      <c r="G84" s="306">
        <f>'H) Péréquation directe'!I94</f>
        <v>145521.45690745267</v>
      </c>
      <c r="H84" s="309">
        <f>+'I) Dépenses thématiques'!T84</f>
        <v>-137951.35885714286</v>
      </c>
      <c r="I84" s="306">
        <f>'K) Plafonnement aide'!J84</f>
        <v>0</v>
      </c>
      <c r="J84" s="309">
        <f>'J) Plafonnement effort'!J84</f>
        <v>0</v>
      </c>
      <c r="K84" s="306">
        <f>'L) Plafonnement taux'!Q85</f>
        <v>0</v>
      </c>
      <c r="L84" s="304">
        <f t="shared" si="3"/>
        <v>408593.51817941444</v>
      </c>
      <c r="M84" s="229">
        <f>'M) Police'!N84</f>
        <v>63305.500627875183</v>
      </c>
      <c r="N84" s="229">
        <f t="shared" si="4"/>
        <v>471899.01880728966</v>
      </c>
      <c r="O84" s="309">
        <f t="shared" si="5"/>
        <v>7570.0980503098108</v>
      </c>
      <c r="P84" s="311"/>
    </row>
    <row r="85" spans="1:16" s="152" customFormat="1" x14ac:dyDescent="0.25">
      <c r="A85" s="149">
        <f>'B) D RI'!A86</f>
        <v>5530</v>
      </c>
      <c r="B85" s="150" t="str">
        <f>'B) D RI'!B86</f>
        <v>Pailly</v>
      </c>
      <c r="C85" s="307">
        <f>'B) D RI'!S86</f>
        <v>76</v>
      </c>
      <c r="D85" s="151">
        <f>'B) D RI'!AA86</f>
        <v>575</v>
      </c>
      <c r="E85" s="305">
        <f>'D) Ecrêtage'!C85</f>
        <v>19305.859890350872</v>
      </c>
      <c r="F85" s="309">
        <f>'E) PCS'!G91</f>
        <v>297587.06344739161</v>
      </c>
      <c r="G85" s="306">
        <f>'H) Péréquation directe'!I95</f>
        <v>91918.539764414309</v>
      </c>
      <c r="H85" s="309">
        <f>+'I) Dépenses thématiques'!T85</f>
        <v>-791912.44574013154</v>
      </c>
      <c r="I85" s="306">
        <f>'K) Plafonnement aide'!J85</f>
        <v>0</v>
      </c>
      <c r="J85" s="309">
        <f>'J) Plafonnement effort'!J85</f>
        <v>0</v>
      </c>
      <c r="K85" s="306">
        <f>'L) Plafonnement taux'!Q86</f>
        <v>0</v>
      </c>
      <c r="L85" s="304">
        <f t="shared" si="3"/>
        <v>-402406.84252832562</v>
      </c>
      <c r="M85" s="229">
        <f>'M) Police'!N85</f>
        <v>58239.209739864542</v>
      </c>
      <c r="N85" s="229">
        <f t="shared" si="4"/>
        <v>-344167.63278846105</v>
      </c>
      <c r="O85" s="309">
        <f t="shared" si="5"/>
        <v>-699993.90597571724</v>
      </c>
      <c r="P85" s="311"/>
    </row>
    <row r="86" spans="1:16" s="152" customFormat="1" x14ac:dyDescent="0.25">
      <c r="A86" s="149">
        <f>'B) D RI'!A87</f>
        <v>5531</v>
      </c>
      <c r="B86" s="150" t="str">
        <f>'B) D RI'!B87</f>
        <v>Penthéréaz</v>
      </c>
      <c r="C86" s="307">
        <f>'B) D RI'!S87</f>
        <v>74</v>
      </c>
      <c r="D86" s="151">
        <f>'B) D RI'!AA87</f>
        <v>417</v>
      </c>
      <c r="E86" s="305">
        <f>'D) Ecrêtage'!C86</f>
        <v>14300.817432432432</v>
      </c>
      <c r="F86" s="309">
        <f>'E) PCS'!G92</f>
        <v>236383.35373143133</v>
      </c>
      <c r="G86" s="306">
        <f>'H) Péréquation directe'!I96</f>
        <v>86214.433782726148</v>
      </c>
      <c r="H86" s="309">
        <f>+'I) Dépenses thématiques'!T86</f>
        <v>-86311.23233108109</v>
      </c>
      <c r="I86" s="306">
        <f>'K) Plafonnement aide'!J86</f>
        <v>0</v>
      </c>
      <c r="J86" s="309">
        <f>'J) Plafonnement effort'!J86</f>
        <v>0</v>
      </c>
      <c r="K86" s="306">
        <f>'L) Plafonnement taux'!Q87</f>
        <v>0</v>
      </c>
      <c r="L86" s="304">
        <f t="shared" si="3"/>
        <v>236286.55518307639</v>
      </c>
      <c r="M86" s="229">
        <f>'M) Police'!N86</f>
        <v>43043.944840336408</v>
      </c>
      <c r="N86" s="229">
        <f t="shared" si="4"/>
        <v>279330.50002341281</v>
      </c>
      <c r="O86" s="309">
        <f t="shared" si="5"/>
        <v>-96.798548354941886</v>
      </c>
      <c r="P86" s="311"/>
    </row>
    <row r="87" spans="1:16" s="152" customFormat="1" x14ac:dyDescent="0.25">
      <c r="A87" s="149">
        <f>'B) D RI'!A88</f>
        <v>5533</v>
      </c>
      <c r="B87" s="150" t="str">
        <f>'B) D RI'!B88</f>
        <v>Poliez-Pittet</v>
      </c>
      <c r="C87" s="307">
        <f>'B) D RI'!S88</f>
        <v>73</v>
      </c>
      <c r="D87" s="151">
        <f>'B) D RI'!AA88</f>
        <v>833</v>
      </c>
      <c r="E87" s="305">
        <f>'D) Ecrêtage'!C87</f>
        <v>27502.031917808214</v>
      </c>
      <c r="F87" s="309">
        <f>'E) PCS'!G93</f>
        <v>351783.6571121068</v>
      </c>
      <c r="G87" s="306">
        <f>'H) Péréquation directe'!I97</f>
        <v>136568.22824628931</v>
      </c>
      <c r="H87" s="309">
        <f>+'I) Dépenses thématiques'!T87</f>
        <v>-73001.034554794562</v>
      </c>
      <c r="I87" s="306">
        <f>'K) Plafonnement aide'!J87</f>
        <v>0</v>
      </c>
      <c r="J87" s="309">
        <f>'J) Plafonnement effort'!J87</f>
        <v>0</v>
      </c>
      <c r="K87" s="306">
        <f>'L) Plafonnement taux'!Q88</f>
        <v>0</v>
      </c>
      <c r="L87" s="304">
        <f t="shared" si="3"/>
        <v>415350.85080360156</v>
      </c>
      <c r="M87" s="229">
        <f>'M) Police'!N87</f>
        <v>82861.271689595509</v>
      </c>
      <c r="N87" s="229">
        <f t="shared" si="4"/>
        <v>498212.12249319709</v>
      </c>
      <c r="O87" s="309">
        <f t="shared" si="5"/>
        <v>63567.193691494744</v>
      </c>
      <c r="P87" s="311"/>
    </row>
    <row r="88" spans="1:16" s="152" customFormat="1" x14ac:dyDescent="0.25">
      <c r="A88" s="149">
        <f>'B) D RI'!A89</f>
        <v>5534</v>
      </c>
      <c r="B88" s="150" t="str">
        <f>'B) D RI'!B89</f>
        <v>Rueyres</v>
      </c>
      <c r="C88" s="307">
        <f>'B) D RI'!S89</f>
        <v>73</v>
      </c>
      <c r="D88" s="151">
        <f>'B) D RI'!AA89</f>
        <v>304</v>
      </c>
      <c r="E88" s="305">
        <f>'D) Ecrêtage'!C88</f>
        <v>13106.991872146118</v>
      </c>
      <c r="F88" s="309">
        <f>'E) PCS'!G94</f>
        <v>221032.68501983309</v>
      </c>
      <c r="G88" s="306">
        <f>'H) Péréquation directe'!I98</f>
        <v>172459.88101949581</v>
      </c>
      <c r="H88" s="309">
        <f>+'I) Dépenses thématiques'!T88</f>
        <v>-3730.5060958904114</v>
      </c>
      <c r="I88" s="306">
        <f>'K) Plafonnement aide'!J88</f>
        <v>0</v>
      </c>
      <c r="J88" s="309">
        <f>'J) Plafonnement effort'!J88</f>
        <v>0</v>
      </c>
      <c r="K88" s="306">
        <f>'L) Plafonnement taux'!Q89</f>
        <v>0</v>
      </c>
      <c r="L88" s="304">
        <f t="shared" si="3"/>
        <v>389762.05994343851</v>
      </c>
      <c r="M88" s="229">
        <f>'M) Police'!N88</f>
        <v>39307.793721456095</v>
      </c>
      <c r="N88" s="229">
        <f t="shared" si="4"/>
        <v>429069.85366489459</v>
      </c>
      <c r="O88" s="309">
        <f t="shared" si="5"/>
        <v>168729.37492360538</v>
      </c>
      <c r="P88" s="311"/>
    </row>
    <row r="89" spans="1:16" s="152" customFormat="1" x14ac:dyDescent="0.25">
      <c r="A89" s="149">
        <f>'B) D RI'!A90</f>
        <v>5535</v>
      </c>
      <c r="B89" s="150" t="str">
        <f>'B) D RI'!B90</f>
        <v>Saint-Barthélemy</v>
      </c>
      <c r="C89" s="307">
        <f>'B) D RI'!S90</f>
        <v>75</v>
      </c>
      <c r="D89" s="151">
        <f>'B) D RI'!AA90</f>
        <v>809</v>
      </c>
      <c r="E89" s="305">
        <f>'D) Ecrêtage'!C89</f>
        <v>25080.318533333328</v>
      </c>
      <c r="F89" s="309">
        <f>'E) PCS'!G95</f>
        <v>367171.12527827022</v>
      </c>
      <c r="G89" s="306">
        <f>'H) Péréquation directe'!I99</f>
        <v>50931.958564722619</v>
      </c>
      <c r="H89" s="309">
        <f>+'I) Dépenses thématiques'!T89</f>
        <v>-39751.838800000034</v>
      </c>
      <c r="I89" s="306">
        <f>'K) Plafonnement aide'!J89</f>
        <v>0</v>
      </c>
      <c r="J89" s="309">
        <f>'J) Plafonnement effort'!J89</f>
        <v>0</v>
      </c>
      <c r="K89" s="306">
        <f>'L) Plafonnement taux'!Q90</f>
        <v>0</v>
      </c>
      <c r="L89" s="304">
        <f t="shared" si="3"/>
        <v>378351.24504299281</v>
      </c>
      <c r="M89" s="229">
        <f>'M) Police'!N89</f>
        <v>75486.345767479477</v>
      </c>
      <c r="N89" s="229">
        <f t="shared" si="4"/>
        <v>453837.59081047226</v>
      </c>
      <c r="O89" s="309">
        <f t="shared" si="5"/>
        <v>11180.119764722585</v>
      </c>
      <c r="P89" s="311"/>
    </row>
    <row r="90" spans="1:16" s="152" customFormat="1" x14ac:dyDescent="0.25">
      <c r="A90" s="149">
        <f>'B) D RI'!A91</f>
        <v>5537</v>
      </c>
      <c r="B90" s="150" t="str">
        <f>'B) D RI'!B91</f>
        <v>Villars-le-Terroir</v>
      </c>
      <c r="C90" s="307">
        <f>'B) D RI'!S91</f>
        <v>76</v>
      </c>
      <c r="D90" s="151">
        <f>'B) D RI'!AA91</f>
        <v>1316</v>
      </c>
      <c r="E90" s="305">
        <f>'D) Ecrêtage'!C90</f>
        <v>42917.816052631584</v>
      </c>
      <c r="F90" s="309">
        <f>'E) PCS'!G96</f>
        <v>580916.54478921904</v>
      </c>
      <c r="G90" s="306">
        <f>'H) Péréquation directe'!I100</f>
        <v>86535.267855669372</v>
      </c>
      <c r="H90" s="309">
        <f>+'I) Dépenses thématiques'!T90</f>
        <v>-39750.353684210495</v>
      </c>
      <c r="I90" s="306">
        <f>'K) Plafonnement aide'!J90</f>
        <v>0</v>
      </c>
      <c r="J90" s="309">
        <f>'J) Plafonnement effort'!J90</f>
        <v>0</v>
      </c>
      <c r="K90" s="306">
        <f>'L) Plafonnement taux'!Q91</f>
        <v>0</v>
      </c>
      <c r="L90" s="304">
        <f t="shared" si="3"/>
        <v>627701.45896067796</v>
      </c>
      <c r="M90" s="229">
        <f>'M) Police'!N90</f>
        <v>129365.65361867144</v>
      </c>
      <c r="N90" s="229">
        <f t="shared" si="4"/>
        <v>757067.11257934943</v>
      </c>
      <c r="O90" s="309">
        <f t="shared" si="5"/>
        <v>46784.914171458877</v>
      </c>
      <c r="P90" s="311"/>
    </row>
    <row r="91" spans="1:16" s="152" customFormat="1" x14ac:dyDescent="0.25">
      <c r="A91" s="149">
        <f>'B) D RI'!A92</f>
        <v>5539</v>
      </c>
      <c r="B91" s="150" t="str">
        <f>'B) D RI'!B92</f>
        <v>Vuarrens</v>
      </c>
      <c r="C91" s="307">
        <f>'B) D RI'!S92</f>
        <v>73.5</v>
      </c>
      <c r="D91" s="151">
        <f>'B) D RI'!AA92</f>
        <v>1097</v>
      </c>
      <c r="E91" s="305">
        <f>'D) Ecrêtage'!C91</f>
        <v>34558.047482993185</v>
      </c>
      <c r="F91" s="309">
        <f>'E) PCS'!G97</f>
        <v>546825.64565764484</v>
      </c>
      <c r="G91" s="306">
        <f>'H) Péréquation directe'!I101</f>
        <v>86347.936260328395</v>
      </c>
      <c r="H91" s="309">
        <f>+'I) Dépenses thématiques'!T91</f>
        <v>-34420.929489796006</v>
      </c>
      <c r="I91" s="306">
        <f>'K) Plafonnement aide'!J91</f>
        <v>0</v>
      </c>
      <c r="J91" s="309">
        <f>'J) Plafonnement effort'!J91</f>
        <v>0</v>
      </c>
      <c r="K91" s="306">
        <f>'L) Plafonnement taux'!Q92</f>
        <v>0</v>
      </c>
      <c r="L91" s="304">
        <f t="shared" si="3"/>
        <v>598752.65242817719</v>
      </c>
      <c r="M91" s="229">
        <f>'M) Police'!N91</f>
        <v>104076.59324398078</v>
      </c>
      <c r="N91" s="229">
        <f t="shared" si="4"/>
        <v>702829.24567215797</v>
      </c>
      <c r="O91" s="309">
        <f t="shared" si="5"/>
        <v>51927.006770532389</v>
      </c>
      <c r="P91" s="311"/>
    </row>
    <row r="92" spans="1:16" s="152" customFormat="1" x14ac:dyDescent="0.25">
      <c r="A92" s="149">
        <f>'B) D RI'!A93</f>
        <v>5540</v>
      </c>
      <c r="B92" s="150" t="str">
        <f>'B) D RI'!B93</f>
        <v>Montilliez</v>
      </c>
      <c r="C92" s="307">
        <f>'B) D RI'!S93</f>
        <v>72.5</v>
      </c>
      <c r="D92" s="151">
        <f>'B) D RI'!AA93</f>
        <v>1883</v>
      </c>
      <c r="E92" s="305">
        <f>'D) Ecrêtage'!C92</f>
        <v>63315.990655172413</v>
      </c>
      <c r="F92" s="309">
        <f>'E) PCS'!G98</f>
        <v>920985.30784286663</v>
      </c>
      <c r="G92" s="306">
        <f>'H) Péréquation directe'!I102</f>
        <v>164345.4630936624</v>
      </c>
      <c r="H92" s="309">
        <f>+'I) Dépenses thématiques'!T92</f>
        <v>-116928.06307758621</v>
      </c>
      <c r="I92" s="306">
        <f>'K) Plafonnement aide'!J92</f>
        <v>0</v>
      </c>
      <c r="J92" s="309">
        <f>'J) Plafonnement effort'!J92</f>
        <v>0</v>
      </c>
      <c r="K92" s="306">
        <f>'L) Plafonnement taux'!Q93</f>
        <v>0</v>
      </c>
      <c r="L92" s="304">
        <f>F92+G92+H92+I92+J92+K92</f>
        <v>968402.70785894291</v>
      </c>
      <c r="M92" s="229">
        <f>'M) Police'!N92</f>
        <v>190586.06138357054</v>
      </c>
      <c r="N92" s="229">
        <f t="shared" si="4"/>
        <v>1158988.7692425135</v>
      </c>
      <c r="O92" s="309">
        <f t="shared" si="5"/>
        <v>47417.400016076193</v>
      </c>
      <c r="P92" s="311"/>
    </row>
    <row r="93" spans="1:16" s="152" customFormat="1" x14ac:dyDescent="0.25">
      <c r="A93" s="149">
        <f>'B) D RI'!A94</f>
        <v>5541</v>
      </c>
      <c r="B93" s="150" t="str">
        <f>'B) D RI'!B94</f>
        <v>Goumoëns</v>
      </c>
      <c r="C93" s="307">
        <f>'B) D RI'!S94</f>
        <v>75.5</v>
      </c>
      <c r="D93" s="151">
        <f>'B) D RI'!AA94</f>
        <v>1166</v>
      </c>
      <c r="E93" s="305">
        <f>'D) Ecrêtage'!C93</f>
        <v>41279.032715231784</v>
      </c>
      <c r="F93" s="309">
        <f>'E) PCS'!G99</f>
        <v>582556.53149513225</v>
      </c>
      <c r="G93" s="306">
        <f>'H) Péréquation directe'!I103</f>
        <v>242576.55022381723</v>
      </c>
      <c r="H93" s="309">
        <f>+'I) Dépenses thématiques'!T93</f>
        <v>-29534.053708609295</v>
      </c>
      <c r="I93" s="306">
        <f>'K) Plafonnement aide'!J93</f>
        <v>0</v>
      </c>
      <c r="J93" s="309">
        <f>'J) Plafonnement effort'!J93</f>
        <v>0</v>
      </c>
      <c r="K93" s="306">
        <f>'L) Plafonnement taux'!Q94</f>
        <v>0</v>
      </c>
      <c r="L93" s="304">
        <f>F93+G93+H93+I93+J93+K93</f>
        <v>795599.02801034017</v>
      </c>
      <c r="M93" s="229">
        <f>'M) Police'!N93</f>
        <v>124932.9556081887</v>
      </c>
      <c r="N93" s="229">
        <f t="shared" si="4"/>
        <v>920531.98361852881</v>
      </c>
      <c r="O93" s="309">
        <f t="shared" si="5"/>
        <v>213042.49651520792</v>
      </c>
      <c r="P93" s="311"/>
    </row>
    <row r="94" spans="1:16" s="152" customFormat="1" x14ac:dyDescent="0.25">
      <c r="A94" s="149">
        <f>'B) D RI'!A95</f>
        <v>5551</v>
      </c>
      <c r="B94" s="150" t="str">
        <f>'B) D RI'!B95</f>
        <v>Bonvillars</v>
      </c>
      <c r="C94" s="307">
        <f>'B) D RI'!S95</f>
        <v>55</v>
      </c>
      <c r="D94" s="151">
        <f>'B) D RI'!AA95</f>
        <v>481</v>
      </c>
      <c r="E94" s="305">
        <f>'D) Ecrêtage'!C94</f>
        <v>18707.412</v>
      </c>
      <c r="F94" s="309">
        <f>'E) PCS'!G100</f>
        <v>282770.83116460824</v>
      </c>
      <c r="G94" s="306">
        <f>'H) Péréquation directe'!I104</f>
        <v>233787.78154611113</v>
      </c>
      <c r="H94" s="309">
        <f>+'I) Dépenses thématiques'!T94</f>
        <v>-124998.219</v>
      </c>
      <c r="I94" s="306">
        <f>'K) Plafonnement aide'!J94</f>
        <v>0</v>
      </c>
      <c r="J94" s="309">
        <f>'J) Plafonnement effort'!J94</f>
        <v>0</v>
      </c>
      <c r="K94" s="306">
        <f>'L) Plafonnement taux'!Q95</f>
        <v>0</v>
      </c>
      <c r="L94" s="304">
        <f t="shared" si="3"/>
        <v>391560.39371071936</v>
      </c>
      <c r="M94" s="229">
        <f>'M) Police'!N94</f>
        <v>54678.619825882415</v>
      </c>
      <c r="N94" s="229">
        <f t="shared" si="4"/>
        <v>446239.01353660179</v>
      </c>
      <c r="O94" s="309">
        <f t="shared" si="5"/>
        <v>108789.56254611113</v>
      </c>
      <c r="P94" s="311"/>
    </row>
    <row r="95" spans="1:16" s="152" customFormat="1" x14ac:dyDescent="0.25">
      <c r="A95" s="149">
        <f>'B) D RI'!A96</f>
        <v>5552</v>
      </c>
      <c r="B95" s="150" t="str">
        <f>'B) D RI'!B96</f>
        <v>Bullet</v>
      </c>
      <c r="C95" s="307">
        <f>'B) D RI'!S96</f>
        <v>71.5</v>
      </c>
      <c r="D95" s="151">
        <f>'B) D RI'!AA96</f>
        <v>657</v>
      </c>
      <c r="E95" s="305">
        <f>'D) Ecrêtage'!C95</f>
        <v>19599.59230769231</v>
      </c>
      <c r="F95" s="309">
        <f>'E) PCS'!G101</f>
        <v>440002.85232933227</v>
      </c>
      <c r="G95" s="306">
        <f>'H) Péréquation directe'!I105</f>
        <v>34729.190006882534</v>
      </c>
      <c r="H95" s="309">
        <f>+'I) Dépenses thématiques'!T95</f>
        <v>-207166.2519230769</v>
      </c>
      <c r="I95" s="306">
        <f>'K) Plafonnement aide'!J95</f>
        <v>0</v>
      </c>
      <c r="J95" s="309">
        <f>'J) Plafonnement effort'!J95</f>
        <v>0</v>
      </c>
      <c r="K95" s="306">
        <f>'L) Plafonnement taux'!Q96</f>
        <v>0</v>
      </c>
      <c r="L95" s="304">
        <f t="shared" si="3"/>
        <v>267565.79041313787</v>
      </c>
      <c r="M95" s="229">
        <f>'M) Police'!N95</f>
        <v>58336.389423588465</v>
      </c>
      <c r="N95" s="229">
        <f t="shared" si="4"/>
        <v>325902.17983672634</v>
      </c>
      <c r="O95" s="309">
        <f t="shared" si="5"/>
        <v>-172437.06191619436</v>
      </c>
      <c r="P95" s="311"/>
    </row>
    <row r="96" spans="1:16" s="152" customFormat="1" x14ac:dyDescent="0.25">
      <c r="A96" s="149">
        <f>'B) D RI'!A97</f>
        <v>5553</v>
      </c>
      <c r="B96" s="150" t="str">
        <f>'B) D RI'!B97</f>
        <v>Champagne</v>
      </c>
      <c r="C96" s="307">
        <f>'B) D RI'!S97</f>
        <v>65</v>
      </c>
      <c r="D96" s="151">
        <f>'B) D RI'!AA97</f>
        <v>1085</v>
      </c>
      <c r="E96" s="305">
        <f>'D) Ecrêtage'!C96</f>
        <v>40087.525538461538</v>
      </c>
      <c r="F96" s="309">
        <f>'E) PCS'!G102</f>
        <v>612527.35888063419</v>
      </c>
      <c r="G96" s="306">
        <f>'H) Péréquation directe'!I106</f>
        <v>383890.51249281457</v>
      </c>
      <c r="H96" s="309">
        <f>+'I) Dépenses thématiques'!T96</f>
        <v>-238572.20261538462</v>
      </c>
      <c r="I96" s="306">
        <f>'K) Plafonnement aide'!J96</f>
        <v>0</v>
      </c>
      <c r="J96" s="309">
        <f>'J) Plafonnement effort'!J96</f>
        <v>0</v>
      </c>
      <c r="K96" s="306">
        <f>'L) Plafonnement taux'!Q97</f>
        <v>0</v>
      </c>
      <c r="L96" s="304">
        <f t="shared" si="3"/>
        <v>757845.66875806416</v>
      </c>
      <c r="M96" s="229">
        <f>'M) Police'!N96</f>
        <v>119190.11528799147</v>
      </c>
      <c r="N96" s="229">
        <f t="shared" si="4"/>
        <v>877035.78404605563</v>
      </c>
      <c r="O96" s="309">
        <f t="shared" si="5"/>
        <v>145318.30987742994</v>
      </c>
      <c r="P96" s="311"/>
    </row>
    <row r="97" spans="1:16" s="152" customFormat="1" x14ac:dyDescent="0.25">
      <c r="A97" s="149">
        <f>'B) D RI'!A98</f>
        <v>5554</v>
      </c>
      <c r="B97" s="150" t="str">
        <f>'B) D RI'!B98</f>
        <v>Concise</v>
      </c>
      <c r="C97" s="307">
        <f>'B) D RI'!S98</f>
        <v>75</v>
      </c>
      <c r="D97" s="151">
        <f>'B) D RI'!AA98</f>
        <v>1004</v>
      </c>
      <c r="E97" s="305">
        <f>'D) Ecrêtage'!C97</f>
        <v>31501.78373333333</v>
      </c>
      <c r="F97" s="309">
        <f>'E) PCS'!G103</f>
        <v>1059579.0887571147</v>
      </c>
      <c r="G97" s="306">
        <f>'H) Péréquation directe'!I107</f>
        <v>77777.682790528284</v>
      </c>
      <c r="H97" s="309">
        <f>+'I) Dépenses thématiques'!T97</f>
        <v>-244713.54760000002</v>
      </c>
      <c r="I97" s="306">
        <f>'K) Plafonnement aide'!J97</f>
        <v>0</v>
      </c>
      <c r="J97" s="309">
        <f>'J) Plafonnement effort'!J97</f>
        <v>0</v>
      </c>
      <c r="K97" s="306">
        <f>'L) Plafonnement taux'!Q98</f>
        <v>0</v>
      </c>
      <c r="L97" s="304">
        <f t="shared" si="3"/>
        <v>892643.22394764295</v>
      </c>
      <c r="M97" s="229">
        <f>'M) Police'!N97</f>
        <v>94822.533772691153</v>
      </c>
      <c r="N97" s="229">
        <f t="shared" si="4"/>
        <v>987465.75772033411</v>
      </c>
      <c r="O97" s="309">
        <f t="shared" si="5"/>
        <v>-166935.86480947174</v>
      </c>
      <c r="P97" s="311"/>
    </row>
    <row r="98" spans="1:16" s="152" customFormat="1" x14ac:dyDescent="0.25">
      <c r="A98" s="149">
        <f>'B) D RI'!A99</f>
        <v>5555</v>
      </c>
      <c r="B98" s="150" t="str">
        <f>'B) D RI'!B99</f>
        <v>Corcelles-près-Concise</v>
      </c>
      <c r="C98" s="307">
        <f>'B) D RI'!S99</f>
        <v>69</v>
      </c>
      <c r="D98" s="151">
        <f>'B) D RI'!AA99</f>
        <v>417</v>
      </c>
      <c r="E98" s="305">
        <f>'D) Ecrêtage'!C98</f>
        <v>13878.246956521738</v>
      </c>
      <c r="F98" s="309">
        <f>'E) PCS'!G104</f>
        <v>222063.37021670252</v>
      </c>
      <c r="G98" s="306">
        <f>'H) Péréquation directe'!I108</f>
        <v>87079.247600184171</v>
      </c>
      <c r="H98" s="309">
        <f>+'I) Dépenses thématiques'!T98</f>
        <v>-208601.83304347825</v>
      </c>
      <c r="I98" s="306">
        <f>'K) Plafonnement aide'!J98</f>
        <v>0</v>
      </c>
      <c r="J98" s="309">
        <f>'J) Plafonnement effort'!J98</f>
        <v>0</v>
      </c>
      <c r="K98" s="306">
        <f>'L) Plafonnement taux'!Q99</f>
        <v>0</v>
      </c>
      <c r="L98" s="304">
        <f t="shared" si="3"/>
        <v>100540.78477340844</v>
      </c>
      <c r="M98" s="229">
        <f>'M) Police'!N98</f>
        <v>41237.046306952987</v>
      </c>
      <c r="N98" s="229">
        <f t="shared" si="4"/>
        <v>141777.83108036141</v>
      </c>
      <c r="O98" s="309">
        <f t="shared" si="5"/>
        <v>-121522.58544329408</v>
      </c>
      <c r="P98" s="311"/>
    </row>
    <row r="99" spans="1:16" s="152" customFormat="1" x14ac:dyDescent="0.25">
      <c r="A99" s="149">
        <f>'B) D RI'!A100</f>
        <v>5556</v>
      </c>
      <c r="B99" s="150" t="str">
        <f>'B) D RI'!B100</f>
        <v>Fiez</v>
      </c>
      <c r="C99" s="307">
        <f>'B) D RI'!S100</f>
        <v>69</v>
      </c>
      <c r="D99" s="151">
        <f>'B) D RI'!AA100</f>
        <v>442</v>
      </c>
      <c r="E99" s="305">
        <f>'D) Ecrêtage'!C99</f>
        <v>14577.66780193237</v>
      </c>
      <c r="F99" s="309">
        <f>'E) PCS'!G105</f>
        <v>206714.47620805746</v>
      </c>
      <c r="G99" s="306">
        <f>'H) Péréquation directe'!I109</f>
        <v>87304.514858616225</v>
      </c>
      <c r="H99" s="309">
        <f>+'I) Dépenses thématiques'!T99</f>
        <v>-73371.493188405788</v>
      </c>
      <c r="I99" s="306">
        <f>'K) Plafonnement aide'!J99</f>
        <v>0</v>
      </c>
      <c r="J99" s="309">
        <f>'J) Plafonnement effort'!J99</f>
        <v>0</v>
      </c>
      <c r="K99" s="306">
        <f>'L) Plafonnement taux'!Q100</f>
        <v>0</v>
      </c>
      <c r="L99" s="304">
        <f t="shared" si="3"/>
        <v>220647.49787826787</v>
      </c>
      <c r="M99" s="229">
        <f>'M) Police'!N99</f>
        <v>43920.965775330049</v>
      </c>
      <c r="N99" s="229">
        <f t="shared" si="4"/>
        <v>264568.46365359792</v>
      </c>
      <c r="O99" s="309">
        <f t="shared" si="5"/>
        <v>13933.021670210437</v>
      </c>
      <c r="P99" s="311"/>
    </row>
    <row r="100" spans="1:16" s="152" customFormat="1" x14ac:dyDescent="0.25">
      <c r="A100" s="149">
        <f>'B) D RI'!A101</f>
        <v>5557</v>
      </c>
      <c r="B100" s="150" t="str">
        <f>'B) D RI'!B101</f>
        <v>Fontaines-sur-Grandson</v>
      </c>
      <c r="C100" s="307">
        <f>'B) D RI'!S101</f>
        <v>69</v>
      </c>
      <c r="D100" s="151">
        <f>'B) D RI'!AA101</f>
        <v>220</v>
      </c>
      <c r="E100" s="305">
        <f>'D) Ecrêtage'!C100</f>
        <v>4232.7450724637674</v>
      </c>
      <c r="F100" s="309">
        <f>'E) PCS'!G106</f>
        <v>58255.952124305972</v>
      </c>
      <c r="G100" s="306">
        <f>'H) Péréquation directe'!I110</f>
        <v>-70424.696354086554</v>
      </c>
      <c r="H100" s="309">
        <f>+'I) Dépenses thématiques'!T100</f>
        <v>-33590.279565217395</v>
      </c>
      <c r="I100" s="306">
        <f>'K) Plafonnement aide'!J100</f>
        <v>0</v>
      </c>
      <c r="J100" s="309">
        <f>'J) Plafonnement effort'!J100</f>
        <v>0</v>
      </c>
      <c r="K100" s="306">
        <f>'L) Plafonnement taux'!Q101</f>
        <v>0</v>
      </c>
      <c r="L100" s="304">
        <f t="shared" si="3"/>
        <v>-45759.023794997978</v>
      </c>
      <c r="M100" s="229">
        <f>'M) Police'!N100</f>
        <v>12359.212678582888</v>
      </c>
      <c r="N100" s="229">
        <f t="shared" si="4"/>
        <v>-33399.811116415091</v>
      </c>
      <c r="O100" s="309">
        <f t="shared" si="5"/>
        <v>-104014.97591930395</v>
      </c>
      <c r="P100" s="311"/>
    </row>
    <row r="101" spans="1:16" s="152" customFormat="1" x14ac:dyDescent="0.25">
      <c r="A101" s="149">
        <f>'B) D RI'!A102</f>
        <v>5559</v>
      </c>
      <c r="B101" s="150" t="str">
        <f>'B) D RI'!B102</f>
        <v>Giez</v>
      </c>
      <c r="C101" s="307">
        <f>'B) D RI'!S102</f>
        <v>66</v>
      </c>
      <c r="D101" s="151">
        <f>'B) D RI'!AA102</f>
        <v>443</v>
      </c>
      <c r="E101" s="305">
        <f>'D) Ecrêtage'!C101</f>
        <v>23436.990303030303</v>
      </c>
      <c r="F101" s="309">
        <f>'E) PCS'!G107</f>
        <v>406669.9111783345</v>
      </c>
      <c r="G101" s="306">
        <f>'H) Péréquation directe'!I111</f>
        <v>381934.93245844357</v>
      </c>
      <c r="H101" s="309">
        <f>+'I) Dépenses thématiques'!T101</f>
        <v>0</v>
      </c>
      <c r="I101" s="306">
        <f>'K) Plafonnement aide'!J101</f>
        <v>0</v>
      </c>
      <c r="J101" s="309">
        <f>'J) Plafonnement effort'!J101</f>
        <v>0</v>
      </c>
      <c r="K101" s="306">
        <f>'L) Plafonnement taux'!Q102</f>
        <v>0</v>
      </c>
      <c r="L101" s="304">
        <f t="shared" si="3"/>
        <v>788604.84363677807</v>
      </c>
      <c r="M101" s="229">
        <f>'M) Police'!N101</f>
        <v>66988.180011261691</v>
      </c>
      <c r="N101" s="229">
        <f t="shared" si="4"/>
        <v>855593.02364803979</v>
      </c>
      <c r="O101" s="309">
        <f t="shared" si="5"/>
        <v>381934.93245844357</v>
      </c>
      <c r="P101" s="311"/>
    </row>
    <row r="102" spans="1:16" s="152" customFormat="1" x14ac:dyDescent="0.25">
      <c r="A102" s="149">
        <f>'B) D RI'!A103</f>
        <v>5560</v>
      </c>
      <c r="B102" s="150" t="str">
        <f>'B) D RI'!B103</f>
        <v>Grandevent</v>
      </c>
      <c r="C102" s="307">
        <f>'B) D RI'!S103</f>
        <v>68</v>
      </c>
      <c r="D102" s="151">
        <f>'B) D RI'!AA103</f>
        <v>238</v>
      </c>
      <c r="E102" s="305">
        <f>'D) Ecrêtage'!C102</f>
        <v>7003.7466176470589</v>
      </c>
      <c r="F102" s="309">
        <f>'E) PCS'!G108</f>
        <v>129277.09184766041</v>
      </c>
      <c r="G102" s="306">
        <f>'H) Péréquation directe'!I112</f>
        <v>17619.566117272392</v>
      </c>
      <c r="H102" s="309">
        <f>+'I) Dépenses thématiques'!T102</f>
        <v>-15206.460330882353</v>
      </c>
      <c r="I102" s="306">
        <f>'K) Plafonnement aide'!J102</f>
        <v>0</v>
      </c>
      <c r="J102" s="309">
        <f>'J) Plafonnement effort'!J102</f>
        <v>0</v>
      </c>
      <c r="K102" s="306">
        <f>'L) Plafonnement taux'!Q103</f>
        <v>0</v>
      </c>
      <c r="L102" s="304">
        <f t="shared" si="3"/>
        <v>131690.19763405045</v>
      </c>
      <c r="M102" s="229">
        <f>'M) Police'!N102</f>
        <v>20919.293010977977</v>
      </c>
      <c r="N102" s="229">
        <f t="shared" si="4"/>
        <v>152609.49064502842</v>
      </c>
      <c r="O102" s="309">
        <f t="shared" si="5"/>
        <v>2413.1057863900387</v>
      </c>
      <c r="P102" s="311"/>
    </row>
    <row r="103" spans="1:16" s="152" customFormat="1" x14ac:dyDescent="0.25">
      <c r="A103" s="149">
        <f>'B) D RI'!A104</f>
        <v>5561</v>
      </c>
      <c r="B103" s="150" t="str">
        <f>'B) D RI'!B104</f>
        <v>Grandson</v>
      </c>
      <c r="C103" s="307">
        <f>'B) D RI'!S104</f>
        <v>69</v>
      </c>
      <c r="D103" s="151">
        <f>'B) D RI'!AA104</f>
        <v>3366</v>
      </c>
      <c r="E103" s="305">
        <f>'D) Ecrêtage'!C103</f>
        <v>114506.05043478261</v>
      </c>
      <c r="F103" s="309">
        <f>'E) PCS'!G109</f>
        <v>2034520.712566701</v>
      </c>
      <c r="G103" s="306">
        <f>'H) Péréquation directe'!I113</f>
        <v>210312.78495496442</v>
      </c>
      <c r="H103" s="309">
        <f>+'I) Dépenses thématiques'!T103</f>
        <v>-1013213.6973913044</v>
      </c>
      <c r="I103" s="306">
        <f>'K) Plafonnement aide'!J103</f>
        <v>0</v>
      </c>
      <c r="J103" s="309">
        <f>'J) Plafonnement effort'!J103</f>
        <v>0</v>
      </c>
      <c r="K103" s="306">
        <f>'L) Plafonnement taux'!Q104</f>
        <v>0</v>
      </c>
      <c r="L103" s="304">
        <f t="shared" si="3"/>
        <v>1231619.800130361</v>
      </c>
      <c r="M103" s="229">
        <f>'M) Police'!N103</f>
        <v>343149.38802461867</v>
      </c>
      <c r="N103" s="229">
        <f t="shared" si="4"/>
        <v>1574769.1881549796</v>
      </c>
      <c r="O103" s="309">
        <f t="shared" si="5"/>
        <v>-802900.91243634</v>
      </c>
      <c r="P103" s="311"/>
    </row>
    <row r="104" spans="1:16" s="152" customFormat="1" x14ac:dyDescent="0.25">
      <c r="A104" s="149">
        <f>'B) D RI'!A105</f>
        <v>5562</v>
      </c>
      <c r="B104" s="150" t="str">
        <f>'B) D RI'!B105</f>
        <v>Mauborget</v>
      </c>
      <c r="C104" s="307">
        <f>'B) D RI'!S105</f>
        <v>70</v>
      </c>
      <c r="D104" s="151">
        <f>'B) D RI'!AA105</f>
        <v>137</v>
      </c>
      <c r="E104" s="305">
        <f>'D) Ecrêtage'!C104</f>
        <v>6099.4916904761894</v>
      </c>
      <c r="F104" s="309">
        <f>'E) PCS'!G110</f>
        <v>96405.987937777929</v>
      </c>
      <c r="G104" s="306">
        <f>'H) Péréquation directe'!I114</f>
        <v>86324.929089318961</v>
      </c>
      <c r="H104" s="309">
        <f>+'I) Dépenses thématiques'!T104</f>
        <v>-7336.1810892857211</v>
      </c>
      <c r="I104" s="306">
        <f>'K) Plafonnement aide'!J104</f>
        <v>0</v>
      </c>
      <c r="J104" s="309">
        <f>'J) Plafonnement effort'!J104</f>
        <v>0</v>
      </c>
      <c r="K104" s="306">
        <f>'L) Plafonnement taux'!Q105</f>
        <v>0</v>
      </c>
      <c r="L104" s="304">
        <f t="shared" si="3"/>
        <v>175394.73593781117</v>
      </c>
      <c r="M104" s="229">
        <f>'M) Police'!N104</f>
        <v>18377.342314726237</v>
      </c>
      <c r="N104" s="229">
        <f t="shared" si="4"/>
        <v>193772.07825253741</v>
      </c>
      <c r="O104" s="309">
        <f t="shared" si="5"/>
        <v>78988.748000033243</v>
      </c>
      <c r="P104" s="311"/>
    </row>
    <row r="105" spans="1:16" s="152" customFormat="1" x14ac:dyDescent="0.25">
      <c r="A105" s="149">
        <f>'B) D RI'!A106</f>
        <v>5563</v>
      </c>
      <c r="B105" s="150" t="str">
        <f>'B) D RI'!B106</f>
        <v>Mutrux</v>
      </c>
      <c r="C105" s="307">
        <f>'B) D RI'!S106</f>
        <v>80</v>
      </c>
      <c r="D105" s="151">
        <f>'B) D RI'!AA106</f>
        <v>151</v>
      </c>
      <c r="E105" s="305">
        <f>'D) Ecrêtage'!C105</f>
        <v>4282.2314999999999</v>
      </c>
      <c r="F105" s="309">
        <f>'E) PCS'!G111</f>
        <v>91688.036897940736</v>
      </c>
      <c r="G105" s="306">
        <f>'H) Péréquation directe'!I115</f>
        <v>-16262.636725940771</v>
      </c>
      <c r="H105" s="309">
        <f>+'I) Dépenses thématiques'!T105</f>
        <v>-21177.111000000001</v>
      </c>
      <c r="I105" s="306">
        <f>'K) Plafonnement aide'!J105</f>
        <v>0</v>
      </c>
      <c r="J105" s="309">
        <f>'J) Plafonnement effort'!J105</f>
        <v>0</v>
      </c>
      <c r="K105" s="306">
        <f>'L) Plafonnement taux'!Q106</f>
        <v>0</v>
      </c>
      <c r="L105" s="304">
        <f t="shared" si="3"/>
        <v>54248.289171999961</v>
      </c>
      <c r="M105" s="229">
        <f>'M) Police'!N105</f>
        <v>13009.728304140168</v>
      </c>
      <c r="N105" s="229">
        <f t="shared" si="4"/>
        <v>67258.017476140129</v>
      </c>
      <c r="O105" s="309">
        <f t="shared" si="5"/>
        <v>-37439.747725940775</v>
      </c>
      <c r="P105" s="311"/>
    </row>
    <row r="106" spans="1:16" s="152" customFormat="1" x14ac:dyDescent="0.25">
      <c r="A106" s="149">
        <f>'B) D RI'!A107</f>
        <v>5564</v>
      </c>
      <c r="B106" s="150" t="str">
        <f>'B) D RI'!B107</f>
        <v>Novalles</v>
      </c>
      <c r="C106" s="307">
        <f>'B) D RI'!S107</f>
        <v>76</v>
      </c>
      <c r="D106" s="151">
        <f>'B) D RI'!AA107</f>
        <v>103</v>
      </c>
      <c r="E106" s="305">
        <f>'D) Ecrêtage'!C106</f>
        <v>2099.5480592105264</v>
      </c>
      <c r="F106" s="309">
        <f>'E) PCS'!G112</f>
        <v>27432.851817671275</v>
      </c>
      <c r="G106" s="306">
        <f>'H) Péréquation directe'!I116</f>
        <v>-40225.201589148754</v>
      </c>
      <c r="H106" s="309">
        <f>+'I) Dépenses thématiques'!T106</f>
        <v>-31167.050600328945</v>
      </c>
      <c r="I106" s="306">
        <f>'K) Plafonnement aide'!J106</f>
        <v>0</v>
      </c>
      <c r="J106" s="309">
        <f>'J) Plafonnement effort'!J106</f>
        <v>0</v>
      </c>
      <c r="K106" s="306">
        <f>'L) Plafonnement taux'!Q107</f>
        <v>0</v>
      </c>
      <c r="L106" s="304">
        <f t="shared" si="3"/>
        <v>-43959.40037180642</v>
      </c>
      <c r="M106" s="229">
        <f>'M) Police'!N106</f>
        <v>6277.8357880758431</v>
      </c>
      <c r="N106" s="229">
        <f t="shared" si="4"/>
        <v>-37681.564583730578</v>
      </c>
      <c r="O106" s="309">
        <f t="shared" si="5"/>
        <v>-71392.252189477702</v>
      </c>
      <c r="P106" s="311"/>
    </row>
    <row r="107" spans="1:16" s="152" customFormat="1" x14ac:dyDescent="0.25">
      <c r="A107" s="149">
        <f>'B) D RI'!A108</f>
        <v>5565</v>
      </c>
      <c r="B107" s="150" t="str">
        <f>'B) D RI'!B108</f>
        <v>Onnens</v>
      </c>
      <c r="C107" s="307">
        <f>'B) D RI'!S108</f>
        <v>63.5</v>
      </c>
      <c r="D107" s="151">
        <f>'B) D RI'!AA108</f>
        <v>495</v>
      </c>
      <c r="E107" s="305">
        <f>'D) Ecrêtage'!C107</f>
        <v>22703.427716535429</v>
      </c>
      <c r="F107" s="309">
        <f>'E) PCS'!G113</f>
        <v>333449.91058699053</v>
      </c>
      <c r="G107" s="306">
        <f>'H) Péréquation directe'!I117</f>
        <v>341655.38975060912</v>
      </c>
      <c r="H107" s="309">
        <f>+'I) Dépenses thématiques'!T107</f>
        <v>-67941.862913385849</v>
      </c>
      <c r="I107" s="306">
        <f>'K) Plafonnement aide'!J107</f>
        <v>0</v>
      </c>
      <c r="J107" s="309">
        <f>'J) Plafonnement effort'!J107</f>
        <v>0</v>
      </c>
      <c r="K107" s="306">
        <f>'L) Plafonnement taux'!Q108</f>
        <v>0</v>
      </c>
      <c r="L107" s="304">
        <f t="shared" si="3"/>
        <v>607163.43742421374</v>
      </c>
      <c r="M107" s="229">
        <f>'M) Police'!N107</f>
        <v>67084.441377219016</v>
      </c>
      <c r="N107" s="229">
        <f t="shared" si="4"/>
        <v>674247.87880143279</v>
      </c>
      <c r="O107" s="309">
        <f t="shared" si="5"/>
        <v>273713.52683722327</v>
      </c>
      <c r="P107" s="311"/>
    </row>
    <row r="108" spans="1:16" s="152" customFormat="1" x14ac:dyDescent="0.25">
      <c r="A108" s="149">
        <f>'B) D RI'!A109</f>
        <v>5566</v>
      </c>
      <c r="B108" s="150" t="str">
        <f>'B) D RI'!B109</f>
        <v>Provence</v>
      </c>
      <c r="C108" s="307">
        <f>'B) D RI'!S109</f>
        <v>81</v>
      </c>
      <c r="D108" s="151">
        <f>'B) D RI'!AA109</f>
        <v>403</v>
      </c>
      <c r="E108" s="305">
        <f>'D) Ecrêtage'!C108</f>
        <v>9377.8413580246925</v>
      </c>
      <c r="F108" s="309">
        <f>'E) PCS'!G114</f>
        <v>141907.52427423242</v>
      </c>
      <c r="G108" s="306">
        <f>'H) Péréquation directe'!I118</f>
        <v>-140594.10276399262</v>
      </c>
      <c r="H108" s="309">
        <f>+'I) Dépenses thématiques'!T108</f>
        <v>-395116.70185185189</v>
      </c>
      <c r="I108" s="306">
        <f>'K) Plafonnement aide'!J108</f>
        <v>0</v>
      </c>
      <c r="J108" s="309">
        <f>'J) Plafonnement effort'!J108</f>
        <v>0</v>
      </c>
      <c r="K108" s="306">
        <f>'L) Plafonnement taux'!Q109</f>
        <v>0</v>
      </c>
      <c r="L108" s="304">
        <f t="shared" si="3"/>
        <v>-393803.28034161206</v>
      </c>
      <c r="M108" s="229">
        <f>'M) Police'!N108</f>
        <v>28314.458437358255</v>
      </c>
      <c r="N108" s="229">
        <f t="shared" si="4"/>
        <v>-365488.8219042538</v>
      </c>
      <c r="O108" s="309">
        <f t="shared" si="5"/>
        <v>-535710.80461584451</v>
      </c>
      <c r="P108" s="311"/>
    </row>
    <row r="109" spans="1:16" s="152" customFormat="1" x14ac:dyDescent="0.25">
      <c r="A109" s="149">
        <f>'B) D RI'!A110</f>
        <v>5568</v>
      </c>
      <c r="B109" s="150" t="str">
        <f>'B) D RI'!B110</f>
        <v>Sainte-Croix</v>
      </c>
      <c r="C109" s="307">
        <f>'B) D RI'!S110</f>
        <v>70</v>
      </c>
      <c r="D109" s="151">
        <f>'B) D RI'!AA110</f>
        <v>4948</v>
      </c>
      <c r="E109" s="305">
        <f>'D) Ecrêtage'!C109</f>
        <v>109171.87199999999</v>
      </c>
      <c r="F109" s="309">
        <f>'E) PCS'!G115</f>
        <v>2582670.4454851495</v>
      </c>
      <c r="G109" s="306">
        <f>'H) Péréquation directe'!I119</f>
        <v>-2307971.3077665456</v>
      </c>
      <c r="H109" s="309">
        <f>+'I) Dépenses thématiques'!T109</f>
        <v>-1597710.0180000002</v>
      </c>
      <c r="I109" s="306">
        <f>'K) Plafonnement aide'!J109</f>
        <v>0</v>
      </c>
      <c r="J109" s="309">
        <f>'J) Plafonnement effort'!J109</f>
        <v>0</v>
      </c>
      <c r="K109" s="306">
        <f>'L) Plafonnement taux'!Q110</f>
        <v>0</v>
      </c>
      <c r="L109" s="304">
        <f t="shared" si="3"/>
        <v>-1323010.8802813962</v>
      </c>
      <c r="M109" s="229">
        <f>'M) Police'!N109</f>
        <v>325957.50236018415</v>
      </c>
      <c r="N109" s="229">
        <f t="shared" si="4"/>
        <v>-997053.377921212</v>
      </c>
      <c r="O109" s="309">
        <f t="shared" si="5"/>
        <v>-3905681.3257665457</v>
      </c>
      <c r="P109" s="311"/>
    </row>
    <row r="110" spans="1:16" s="152" customFormat="1" x14ac:dyDescent="0.25">
      <c r="A110" s="149">
        <f>'B) D RI'!A111</f>
        <v>5571</v>
      </c>
      <c r="B110" s="150" t="str">
        <f>'B) D RI'!B111</f>
        <v>Tévenon</v>
      </c>
      <c r="C110" s="307">
        <f>'B) D RI'!S111</f>
        <v>71.5</v>
      </c>
      <c r="D110" s="151">
        <f>'B) D RI'!AA111</f>
        <v>883</v>
      </c>
      <c r="E110" s="305">
        <f>'D) Ecrêtage'!C110</f>
        <v>25325.239790209791</v>
      </c>
      <c r="F110" s="309">
        <f>'E) PCS'!G116</f>
        <v>430084.31026176387</v>
      </c>
      <c r="G110" s="306">
        <f>'H) Péréquation directe'!I120</f>
        <v>6963.297978490009</v>
      </c>
      <c r="H110" s="309">
        <f>+'I) Dépenses thématiques'!T110</f>
        <v>-221726.8814160839</v>
      </c>
      <c r="I110" s="306">
        <f>'K) Plafonnement aide'!J110</f>
        <v>0</v>
      </c>
      <c r="J110" s="309">
        <f>'J) Plafonnement effort'!J110</f>
        <v>0</v>
      </c>
      <c r="K110" s="306">
        <f>'L) Plafonnement taux'!Q111</f>
        <v>0</v>
      </c>
      <c r="L110" s="304">
        <f t="shared" si="3"/>
        <v>215320.72682416998</v>
      </c>
      <c r="M110" s="229">
        <f>'M) Police'!N110</f>
        <v>75351.562085691257</v>
      </c>
      <c r="N110" s="229">
        <f t="shared" si="4"/>
        <v>290672.28890986124</v>
      </c>
      <c r="O110" s="309">
        <f t="shared" si="5"/>
        <v>-214763.58343759389</v>
      </c>
      <c r="P110" s="311"/>
    </row>
    <row r="111" spans="1:16" s="152" customFormat="1" x14ac:dyDescent="0.25">
      <c r="A111" s="149">
        <f>'B) D RI'!A112</f>
        <v>5581</v>
      </c>
      <c r="B111" s="150" t="str">
        <f>'B) D RI'!B112</f>
        <v>Belmont-sur-Lausanne</v>
      </c>
      <c r="C111" s="307">
        <f>'B) D RI'!S112</f>
        <v>72</v>
      </c>
      <c r="D111" s="151">
        <f>'B) D RI'!AA112</f>
        <v>3871</v>
      </c>
      <c r="E111" s="305">
        <f>'D) Ecrêtage'!C111</f>
        <v>215435.94296296299</v>
      </c>
      <c r="F111" s="309">
        <f>'E) PCS'!G117</f>
        <v>3838931.4900307707</v>
      </c>
      <c r="G111" s="306">
        <f>'H) Péréquation directe'!I121</f>
        <v>2760823.3096926091</v>
      </c>
      <c r="H111" s="309">
        <f>+'I) Dépenses thématiques'!T111</f>
        <v>-816078.34222222213</v>
      </c>
      <c r="I111" s="306">
        <f>'K) Plafonnement aide'!J111</f>
        <v>0</v>
      </c>
      <c r="J111" s="309">
        <f>'J) Plafonnement effort'!J111</f>
        <v>0</v>
      </c>
      <c r="K111" s="306">
        <f>'L) Plafonnement taux'!Q112</f>
        <v>0</v>
      </c>
      <c r="L111" s="304">
        <f t="shared" si="3"/>
        <v>5783676.4575011572</v>
      </c>
      <c r="M111" s="229">
        <f>'M) Police'!N111</f>
        <v>251828.54002232992</v>
      </c>
      <c r="N111" s="229">
        <f t="shared" si="4"/>
        <v>6035504.9975234875</v>
      </c>
      <c r="O111" s="309">
        <f t="shared" si="5"/>
        <v>1944744.967470387</v>
      </c>
      <c r="P111" s="311"/>
    </row>
    <row r="112" spans="1:16" s="152" customFormat="1" x14ac:dyDescent="0.25">
      <c r="A112" s="149">
        <f>'B) D RI'!A113</f>
        <v>5582</v>
      </c>
      <c r="B112" s="150" t="str">
        <f>'B) D RI'!B113</f>
        <v>Cheseaux-sur-Lausanne</v>
      </c>
      <c r="C112" s="307">
        <f>'B) D RI'!S113</f>
        <v>73</v>
      </c>
      <c r="D112" s="151">
        <f>'B) D RI'!AA113</f>
        <v>4449</v>
      </c>
      <c r="E112" s="305">
        <f>'D) Ecrêtage'!C112</f>
        <v>167506.84698630136</v>
      </c>
      <c r="F112" s="309">
        <f>'E) PCS'!G118</f>
        <v>3068966.4556456115</v>
      </c>
      <c r="G112" s="306">
        <f>'H) Péréquation directe'!I122</f>
        <v>561562.46996117244</v>
      </c>
      <c r="H112" s="309">
        <f>+'I) Dépenses thématiques'!T112</f>
        <v>-481510.66808219184</v>
      </c>
      <c r="I112" s="306">
        <f>'K) Plafonnement aide'!J112</f>
        <v>0</v>
      </c>
      <c r="J112" s="309">
        <f>'J) Plafonnement effort'!J112</f>
        <v>0</v>
      </c>
      <c r="K112" s="306">
        <f>'L) Plafonnement taux'!Q113</f>
        <v>0</v>
      </c>
      <c r="L112" s="304">
        <f t="shared" si="3"/>
        <v>3149018.2575245919</v>
      </c>
      <c r="M112" s="229">
        <f>'M) Police'!N112</f>
        <v>502472.83869057696</v>
      </c>
      <c r="N112" s="229">
        <f t="shared" si="4"/>
        <v>3651491.0962151689</v>
      </c>
      <c r="O112" s="309">
        <f t="shared" si="5"/>
        <v>80051.801878980594</v>
      </c>
      <c r="P112" s="311"/>
    </row>
    <row r="113" spans="1:17" s="152" customFormat="1" x14ac:dyDescent="0.25">
      <c r="A113" s="149">
        <f>'B) D RI'!A114</f>
        <v>5583</v>
      </c>
      <c r="B113" s="150" t="str">
        <f>'B) D RI'!B114</f>
        <v>Crissier</v>
      </c>
      <c r="C113" s="307">
        <f>'B) D RI'!S114</f>
        <v>63.5</v>
      </c>
      <c r="D113" s="151">
        <f>'B) D RI'!AA114</f>
        <v>8974</v>
      </c>
      <c r="E113" s="305">
        <f>'D) Ecrêtage'!C113</f>
        <v>337550.36173228343</v>
      </c>
      <c r="F113" s="309">
        <f>'E) PCS'!G119</f>
        <v>6224859.3608176522</v>
      </c>
      <c r="G113" s="306">
        <f>'H) Péréquation directe'!I123</f>
        <v>538740.84966397099</v>
      </c>
      <c r="H113" s="309">
        <f>+'I) Dépenses thématiques'!T113</f>
        <v>-2915456.3296062993</v>
      </c>
      <c r="I113" s="306">
        <f>'K) Plafonnement aide'!J113</f>
        <v>0</v>
      </c>
      <c r="J113" s="309">
        <f>'J) Plafonnement effort'!J113</f>
        <v>0</v>
      </c>
      <c r="K113" s="306">
        <f>'L) Plafonnement taux'!Q114</f>
        <v>0</v>
      </c>
      <c r="L113" s="304">
        <f t="shared" si="3"/>
        <v>3848143.8808753239</v>
      </c>
      <c r="M113" s="229">
        <f>'M) Police'!N113</f>
        <v>394571.18255176215</v>
      </c>
      <c r="N113" s="229">
        <f t="shared" si="4"/>
        <v>4242715.063427086</v>
      </c>
      <c r="O113" s="309">
        <f t="shared" si="5"/>
        <v>-2376715.4799423283</v>
      </c>
      <c r="P113" s="311"/>
    </row>
    <row r="114" spans="1:17" s="152" customFormat="1" x14ac:dyDescent="0.25">
      <c r="A114" s="149">
        <f>'B) D RI'!A115</f>
        <v>5584</v>
      </c>
      <c r="B114" s="150" t="str">
        <f>'B) D RI'!B115</f>
        <v>Epalinges</v>
      </c>
      <c r="C114" s="307">
        <f>'B) D RI'!S115</f>
        <v>64.5</v>
      </c>
      <c r="D114" s="151">
        <f>'B) D RI'!AA115</f>
        <v>9813</v>
      </c>
      <c r="E114" s="305">
        <f>'D) Ecrêtage'!C114</f>
        <v>516766.84201550385</v>
      </c>
      <c r="F114" s="309">
        <f>'E) PCS'!G120</f>
        <v>8723064.1961067878</v>
      </c>
      <c r="G114" s="306">
        <f>'H) Péréquation directe'!I124</f>
        <v>4733718.0909266118</v>
      </c>
      <c r="H114" s="309">
        <f>+'I) Dépenses thématiques'!T114</f>
        <v>-4003497.1979069766</v>
      </c>
      <c r="I114" s="306">
        <f>'K) Plafonnement aide'!J114</f>
        <v>0</v>
      </c>
      <c r="J114" s="309">
        <f>'J) Plafonnement effort'!J114</f>
        <v>0</v>
      </c>
      <c r="K114" s="306">
        <f>'L) Plafonnement taux'!Q115</f>
        <v>0</v>
      </c>
      <c r="L114" s="304">
        <f t="shared" si="3"/>
        <v>9453285.089126423</v>
      </c>
      <c r="M114" s="229">
        <f>'M) Police'!N114</f>
        <v>1481075.7639697301</v>
      </c>
      <c r="N114" s="229">
        <f t="shared" si="4"/>
        <v>10934360.853096154</v>
      </c>
      <c r="O114" s="309">
        <f t="shared" si="5"/>
        <v>730220.89301963523</v>
      </c>
      <c r="P114" s="311"/>
    </row>
    <row r="115" spans="1:17" s="152" customFormat="1" x14ac:dyDescent="0.25">
      <c r="A115" s="149">
        <f>'B) D RI'!A116</f>
        <v>5585</v>
      </c>
      <c r="B115" s="150" t="str">
        <f>'B) D RI'!B116</f>
        <v>Jouxtens-Mézery</v>
      </c>
      <c r="C115" s="307">
        <f>'B) D RI'!S116</f>
        <v>59</v>
      </c>
      <c r="D115" s="151">
        <f>'B) D RI'!AA116</f>
        <v>1460</v>
      </c>
      <c r="E115" s="305">
        <f>'D) Ecrêtage'!C115</f>
        <v>191744.87050847456</v>
      </c>
      <c r="F115" s="309">
        <f>'E) PCS'!G121</f>
        <v>5645261.0276123285</v>
      </c>
      <c r="G115" s="306">
        <f>'H) Péréquation directe'!I125</f>
        <v>3291424.3296174589</v>
      </c>
      <c r="H115" s="309">
        <f>+'I) Dépenses thématiques'!T115</f>
        <v>0</v>
      </c>
      <c r="I115" s="306">
        <f>'K) Plafonnement aide'!J115</f>
        <v>0</v>
      </c>
      <c r="J115" s="309">
        <f>'J) Plafonnement effort'!J115</f>
        <v>0</v>
      </c>
      <c r="K115" s="306">
        <f>'L) Plafonnement taux'!Q116</f>
        <v>0</v>
      </c>
      <c r="L115" s="304">
        <f t="shared" si="3"/>
        <v>8936685.3572297879</v>
      </c>
      <c r="M115" s="229">
        <f>'M) Police'!N115</f>
        <v>354619.52460144757</v>
      </c>
      <c r="N115" s="229">
        <f t="shared" si="4"/>
        <v>9291304.8818312362</v>
      </c>
      <c r="O115" s="309">
        <f t="shared" si="5"/>
        <v>3291424.3296174589</v>
      </c>
      <c r="P115" s="311"/>
    </row>
    <row r="116" spans="1:17" s="152" customFormat="1" x14ac:dyDescent="0.25">
      <c r="A116" s="149">
        <f>'B) D RI'!A117</f>
        <v>5586</v>
      </c>
      <c r="B116" s="150" t="str">
        <f>'B) D RI'!B117</f>
        <v>Lausanne</v>
      </c>
      <c r="C116" s="307">
        <f>'B) D RI'!S117</f>
        <v>78.5</v>
      </c>
      <c r="D116" s="151">
        <f>'B) D RI'!AA117</f>
        <v>140824</v>
      </c>
      <c r="E116" s="305">
        <f>'D) Ecrêtage'!C116</f>
        <v>6461491.7137154993</v>
      </c>
      <c r="F116" s="309">
        <f>'E) PCS'!G122</f>
        <v>106920340.9338015</v>
      </c>
      <c r="G116" s="306">
        <f>'H) Péréquation directe'!I126</f>
        <v>-29751182.313156798</v>
      </c>
      <c r="H116" s="309">
        <f>+'I) Dépenses thématiques'!T116</f>
        <v>-49550187.967707008</v>
      </c>
      <c r="I116" s="306">
        <f>'K) Plafonnement aide'!J116</f>
        <v>0</v>
      </c>
      <c r="J116" s="309">
        <f>'J) Plafonnement effort'!J116</f>
        <v>0</v>
      </c>
      <c r="K116" s="306">
        <f>'L) Plafonnement taux'!Q117</f>
        <v>0</v>
      </c>
      <c r="L116" s="304">
        <f t="shared" ref="L116:L166" si="6">F116+G116+H116+I116+J116+K116</f>
        <v>27618970.652937695</v>
      </c>
      <c r="M116" s="229">
        <f>'M) Police'!N116</f>
        <v>7553001.6126932791</v>
      </c>
      <c r="N116" s="229">
        <f t="shared" si="4"/>
        <v>35171972.265630975</v>
      </c>
      <c r="O116" s="309">
        <f t="shared" si="5"/>
        <v>-79301370.280863807</v>
      </c>
      <c r="P116" s="311"/>
      <c r="Q116" s="476"/>
    </row>
    <row r="117" spans="1:17" s="152" customFormat="1" x14ac:dyDescent="0.25">
      <c r="A117" s="149">
        <f>'B) D RI'!A118</f>
        <v>5587</v>
      </c>
      <c r="B117" s="150" t="str">
        <f>'B) D RI'!B118</f>
        <v>Le Mont-sur-Lausanne</v>
      </c>
      <c r="C117" s="307">
        <f>'B) D RI'!S118</f>
        <v>73.5</v>
      </c>
      <c r="D117" s="151">
        <f>'B) D RI'!AA118</f>
        <v>9217</v>
      </c>
      <c r="E117" s="305">
        <f>'D) Ecrêtage'!C117</f>
        <v>495058.05378684809</v>
      </c>
      <c r="F117" s="309">
        <f>'E) PCS'!G123</f>
        <v>9455090.3402914442</v>
      </c>
      <c r="G117" s="306">
        <f>'H) Péréquation directe'!I127</f>
        <v>4834338.5036631422</v>
      </c>
      <c r="H117" s="309">
        <f>+'I) Dépenses thématiques'!T117</f>
        <v>-2350278.4272789117</v>
      </c>
      <c r="I117" s="306">
        <f>'K) Plafonnement aide'!J117</f>
        <v>0</v>
      </c>
      <c r="J117" s="309">
        <f>'J) Plafonnement effort'!J117</f>
        <v>0</v>
      </c>
      <c r="K117" s="306">
        <f>'L) Plafonnement taux'!Q118</f>
        <v>0</v>
      </c>
      <c r="L117" s="304">
        <f t="shared" si="6"/>
        <v>11939150.416675674</v>
      </c>
      <c r="M117" s="229">
        <f>'M) Police'!N117</f>
        <v>1402433.7065801674</v>
      </c>
      <c r="N117" s="229">
        <f t="shared" si="4"/>
        <v>13341584.123255841</v>
      </c>
      <c r="O117" s="309">
        <f t="shared" si="5"/>
        <v>2484060.0763842305</v>
      </c>
      <c r="P117" s="311"/>
    </row>
    <row r="118" spans="1:17" s="152" customFormat="1" x14ac:dyDescent="0.25">
      <c r="A118" s="149">
        <f>'B) D RI'!A119</f>
        <v>5588</v>
      </c>
      <c r="B118" s="150" t="str">
        <f>'B) D RI'!B119</f>
        <v>Paudex</v>
      </c>
      <c r="C118" s="307">
        <f>'B) D RI'!S119</f>
        <v>66.5</v>
      </c>
      <c r="D118" s="151">
        <f>'B) D RI'!AA119</f>
        <v>1545</v>
      </c>
      <c r="E118" s="305">
        <f>'D) Ecrêtage'!C118</f>
        <v>215756.29785177234</v>
      </c>
      <c r="F118" s="309">
        <f>'E) PCS'!G124</f>
        <v>6669197.4164674971</v>
      </c>
      <c r="G118" s="306">
        <f>'H) Péréquation directe'!I128</f>
        <v>3709648.3712895815</v>
      </c>
      <c r="H118" s="309">
        <f>+'I) Dépenses thématiques'!T118</f>
        <v>0</v>
      </c>
      <c r="I118" s="306">
        <f>'K) Plafonnement aide'!J118</f>
        <v>0</v>
      </c>
      <c r="J118" s="309">
        <f>'J) Plafonnement effort'!J118</f>
        <v>0</v>
      </c>
      <c r="K118" s="306">
        <f>'L) Plafonnement taux'!Q119</f>
        <v>0</v>
      </c>
      <c r="L118" s="304">
        <f t="shared" si="6"/>
        <v>10378845.787757078</v>
      </c>
      <c r="M118" s="229">
        <f>'M) Police'!N118</f>
        <v>252203.0109802784</v>
      </c>
      <c r="N118" s="229">
        <f t="shared" si="4"/>
        <v>10631048.798737356</v>
      </c>
      <c r="O118" s="309">
        <f t="shared" si="5"/>
        <v>3709648.3712895815</v>
      </c>
      <c r="P118" s="311"/>
    </row>
    <row r="119" spans="1:17" s="152" customFormat="1" x14ac:dyDescent="0.25">
      <c r="A119" s="149">
        <f>'B) D RI'!A120</f>
        <v>5589</v>
      </c>
      <c r="B119" s="150" t="str">
        <f>'B) D RI'!B120</f>
        <v>Prilly</v>
      </c>
      <c r="C119" s="307">
        <f>'B) D RI'!S120</f>
        <v>72.5</v>
      </c>
      <c r="D119" s="151">
        <f>'B) D RI'!AA120</f>
        <v>12341</v>
      </c>
      <c r="E119" s="305">
        <f>'D) Ecrêtage'!C119</f>
        <v>419549.81642440322</v>
      </c>
      <c r="F119" s="309">
        <f>'E) PCS'!G125</f>
        <v>6767025.5491905231</v>
      </c>
      <c r="G119" s="306">
        <f>'H) Péréquation directe'!I129</f>
        <v>-3003877.1362251285</v>
      </c>
      <c r="H119" s="309">
        <f>+'I) Dépenses thématiques'!T119</f>
        <v>-3313585.1014535809</v>
      </c>
      <c r="I119" s="306">
        <f>'K) Plafonnement aide'!J119</f>
        <v>0</v>
      </c>
      <c r="J119" s="309">
        <f>'J) Plafonnement effort'!J119</f>
        <v>0</v>
      </c>
      <c r="K119" s="306">
        <f>'L) Plafonnement taux'!Q120</f>
        <v>0</v>
      </c>
      <c r="L119" s="304">
        <f t="shared" si="6"/>
        <v>449563.31151181366</v>
      </c>
      <c r="M119" s="229">
        <f>'M) Police'!N119</f>
        <v>490422.42572752951</v>
      </c>
      <c r="N119" s="229">
        <f t="shared" si="4"/>
        <v>939985.73723934311</v>
      </c>
      <c r="O119" s="309">
        <f t="shared" si="5"/>
        <v>-6317462.2376787094</v>
      </c>
      <c r="P119" s="311"/>
    </row>
    <row r="120" spans="1:17" s="152" customFormat="1" x14ac:dyDescent="0.25">
      <c r="A120" s="149">
        <f>'B) D RI'!A121</f>
        <v>5590</v>
      </c>
      <c r="B120" s="150" t="str">
        <f>'B) D RI'!B121</f>
        <v>Pully</v>
      </c>
      <c r="C120" s="307">
        <f>'B) D RI'!S121</f>
        <v>61</v>
      </c>
      <c r="D120" s="151">
        <f>'B) D RI'!AA121</f>
        <v>18946</v>
      </c>
      <c r="E120" s="305">
        <f>'D) Ecrêtage'!C120</f>
        <v>1603030.9692740045</v>
      </c>
      <c r="F120" s="309">
        <f>'E) PCS'!G126</f>
        <v>37194396.709037408</v>
      </c>
      <c r="G120" s="306">
        <f>'H) Péréquation directe'!I130</f>
        <v>16012979.259731714</v>
      </c>
      <c r="H120" s="309">
        <f>+'I) Dépenses thématiques'!T120</f>
        <v>-2486703.1843559733</v>
      </c>
      <c r="I120" s="306">
        <f>'K) Plafonnement aide'!J120</f>
        <v>0</v>
      </c>
      <c r="J120" s="309">
        <f>'J) Plafonnement effort'!J120</f>
        <v>0</v>
      </c>
      <c r="K120" s="306">
        <f>'L) Plafonnement taux'!Q121</f>
        <v>0</v>
      </c>
      <c r="L120" s="304">
        <f t="shared" si="6"/>
        <v>50720672.784413144</v>
      </c>
      <c r="M120" s="229">
        <f>'M) Police'!N120</f>
        <v>1873823.5739625574</v>
      </c>
      <c r="N120" s="229">
        <f t="shared" si="4"/>
        <v>52594496.358375698</v>
      </c>
      <c r="O120" s="309">
        <f t="shared" si="5"/>
        <v>13526276.075375739</v>
      </c>
      <c r="P120" s="311"/>
    </row>
    <row r="121" spans="1:17" s="152" customFormat="1" x14ac:dyDescent="0.25">
      <c r="A121" s="149">
        <f>'B) D RI'!A122</f>
        <v>5591</v>
      </c>
      <c r="B121" s="150" t="str">
        <f>'B) D RI'!B122</f>
        <v>Renens</v>
      </c>
      <c r="C121" s="307">
        <f>'B) D RI'!S122</f>
        <v>77</v>
      </c>
      <c r="D121" s="151">
        <f>'B) D RI'!AA122</f>
        <v>20917</v>
      </c>
      <c r="E121" s="305">
        <f>'D) Ecrêtage'!C121</f>
        <v>569784.47115027823</v>
      </c>
      <c r="F121" s="309">
        <f>'E) PCS'!G127</f>
        <v>10071404.864467423</v>
      </c>
      <c r="G121" s="306">
        <f>'H) Péréquation directe'!I131</f>
        <v>-15801758.868350599</v>
      </c>
      <c r="H121" s="309">
        <f>+'I) Dépenses thématiques'!T121</f>
        <v>-7030023.1730983313</v>
      </c>
      <c r="I121" s="306">
        <f>'K) Plafonnement aide'!J121</f>
        <v>1172078.234680952</v>
      </c>
      <c r="J121" s="309">
        <f>'J) Plafonnement effort'!J121</f>
        <v>0</v>
      </c>
      <c r="K121" s="306">
        <f>'L) Plafonnement taux'!Q122</f>
        <v>0</v>
      </c>
      <c r="L121" s="304">
        <f t="shared" si="6"/>
        <v>-11588298.942300554</v>
      </c>
      <c r="M121" s="229">
        <f>'M) Police'!N121</f>
        <v>666035.5255661211</v>
      </c>
      <c r="N121" s="229">
        <f t="shared" si="4"/>
        <v>-10922263.416734433</v>
      </c>
      <c r="O121" s="309">
        <f t="shared" si="5"/>
        <v>-21659703.806767978</v>
      </c>
      <c r="P121" s="311"/>
    </row>
    <row r="122" spans="1:17" s="152" customFormat="1" x14ac:dyDescent="0.25">
      <c r="A122" s="149">
        <f>'B) D RI'!A123</f>
        <v>5592</v>
      </c>
      <c r="B122" s="150" t="str">
        <f>'B) D RI'!B123</f>
        <v>Romanel-sur-Lausanne</v>
      </c>
      <c r="C122" s="307">
        <f>'B) D RI'!S123</f>
        <v>70.5</v>
      </c>
      <c r="D122" s="151">
        <f>'B) D RI'!AA123</f>
        <v>3482</v>
      </c>
      <c r="E122" s="305">
        <f>'D) Ecrêtage'!C122</f>
        <v>121086.56368794327</v>
      </c>
      <c r="F122" s="309">
        <f>'E) PCS'!G128</f>
        <v>2344158.1059984057</v>
      </c>
      <c r="G122" s="306">
        <f>'H) Péréquation directe'!I132</f>
        <v>253966.86289919191</v>
      </c>
      <c r="H122" s="309">
        <f>+'I) Dépenses thématiques'!T122</f>
        <v>-249355.86787234037</v>
      </c>
      <c r="I122" s="306">
        <f>'K) Plafonnement aide'!J122</f>
        <v>0</v>
      </c>
      <c r="J122" s="309">
        <f>'J) Plafonnement effort'!J122</f>
        <v>0</v>
      </c>
      <c r="K122" s="306">
        <f>'L) Plafonnement taux'!Q123</f>
        <v>0</v>
      </c>
      <c r="L122" s="304">
        <f t="shared" si="6"/>
        <v>2348769.1010252573</v>
      </c>
      <c r="M122" s="229">
        <f>'M) Police'!N122</f>
        <v>361267.18841791776</v>
      </c>
      <c r="N122" s="229">
        <f t="shared" si="4"/>
        <v>2710036.2894431748</v>
      </c>
      <c r="O122" s="309">
        <f t="shared" si="5"/>
        <v>4610.9950268515386</v>
      </c>
      <c r="P122" s="311"/>
    </row>
    <row r="123" spans="1:17" s="152" customFormat="1" x14ac:dyDescent="0.25">
      <c r="A123" s="149">
        <f>'B) D RI'!A124</f>
        <v>5601</v>
      </c>
      <c r="B123" s="150" t="str">
        <f>'B) D RI'!B124</f>
        <v>Chexbres</v>
      </c>
      <c r="C123" s="307">
        <f>'B) D RI'!S124</f>
        <v>67.5</v>
      </c>
      <c r="D123" s="151">
        <f>'B) D RI'!AA124</f>
        <v>2229</v>
      </c>
      <c r="E123" s="305">
        <f>'D) Ecrêtage'!C123</f>
        <v>105973.06044444445</v>
      </c>
      <c r="F123" s="309">
        <f>'E) PCS'!G129</f>
        <v>1575198.7234174507</v>
      </c>
      <c r="G123" s="306">
        <f>'H) Péréquation directe'!I133</f>
        <v>1388532.0477950247</v>
      </c>
      <c r="H123" s="309">
        <f>+'I) Dépenses thématiques'!T123</f>
        <v>-287240.63733333332</v>
      </c>
      <c r="I123" s="306">
        <f>'K) Plafonnement aide'!J123</f>
        <v>0</v>
      </c>
      <c r="J123" s="309">
        <f>'J) Plafonnement effort'!J123</f>
        <v>0</v>
      </c>
      <c r="K123" s="306">
        <f>'L) Plafonnement taux'!Q124</f>
        <v>0</v>
      </c>
      <c r="L123" s="304">
        <f t="shared" si="6"/>
        <v>2676490.1338791419</v>
      </c>
      <c r="M123" s="229">
        <f>'M) Police'!N123</f>
        <v>123874.59922604704</v>
      </c>
      <c r="N123" s="229">
        <f t="shared" si="4"/>
        <v>2800364.7331051887</v>
      </c>
      <c r="O123" s="309">
        <f t="shared" si="5"/>
        <v>1101291.4104616914</v>
      </c>
      <c r="P123" s="311"/>
    </row>
    <row r="124" spans="1:17" s="152" customFormat="1" x14ac:dyDescent="0.25">
      <c r="A124" s="149">
        <f>'B) D RI'!A125</f>
        <v>5604</v>
      </c>
      <c r="B124" s="150" t="str">
        <f>'B) D RI'!B125</f>
        <v>Forel (Lavaux)</v>
      </c>
      <c r="C124" s="307">
        <f>'B) D RI'!S125</f>
        <v>69</v>
      </c>
      <c r="D124" s="151">
        <f>'B) D RI'!AA125</f>
        <v>2110</v>
      </c>
      <c r="E124" s="305">
        <f>'D) Ecrêtage'!C124</f>
        <v>75818.919130434777</v>
      </c>
      <c r="F124" s="309">
        <f>'E) PCS'!G130</f>
        <v>1149912.8362178716</v>
      </c>
      <c r="G124" s="306">
        <f>'H) Péréquation directe'!I134</f>
        <v>402155.74716919125</v>
      </c>
      <c r="H124" s="309">
        <f>+'I) Dépenses thématiques'!T124</f>
        <v>-338068.98521739134</v>
      </c>
      <c r="I124" s="306">
        <f>'K) Plafonnement aide'!J124</f>
        <v>0</v>
      </c>
      <c r="J124" s="309">
        <f>'J) Plafonnement effort'!J124</f>
        <v>0</v>
      </c>
      <c r="K124" s="306">
        <f>'L) Plafonnement taux'!Q125</f>
        <v>0</v>
      </c>
      <c r="L124" s="304">
        <f t="shared" si="6"/>
        <v>1213999.5981696716</v>
      </c>
      <c r="M124" s="229">
        <f>'M) Police'!N124</f>
        <v>227376.38065677148</v>
      </c>
      <c r="N124" s="229">
        <f t="shared" si="4"/>
        <v>1441375.9788264432</v>
      </c>
      <c r="O124" s="309">
        <f t="shared" si="5"/>
        <v>64086.761951799912</v>
      </c>
      <c r="P124" s="311"/>
    </row>
    <row r="125" spans="1:17" s="152" customFormat="1" x14ac:dyDescent="0.25">
      <c r="A125" s="149">
        <f>'B) D RI'!A126</f>
        <v>5606</v>
      </c>
      <c r="B125" s="150" t="str">
        <f>'B) D RI'!B126</f>
        <v>Lutry</v>
      </c>
      <c r="C125" s="307">
        <f>'B) D RI'!S126</f>
        <v>54</v>
      </c>
      <c r="D125" s="151">
        <f>'B) D RI'!AA126</f>
        <v>10704</v>
      </c>
      <c r="E125" s="305">
        <f>'D) Ecrêtage'!C125</f>
        <v>941137.19529100519</v>
      </c>
      <c r="F125" s="309">
        <f>'E) PCS'!G131</f>
        <v>24676075.513569705</v>
      </c>
      <c r="G125" s="306">
        <f>'H) Péréquation directe'!I135</f>
        <v>11894185.170296276</v>
      </c>
      <c r="H125" s="309">
        <f>+'I) Dépenses thématiques'!T125</f>
        <v>-2163936.3282539686</v>
      </c>
      <c r="I125" s="306">
        <f>'K) Plafonnement aide'!J125</f>
        <v>0</v>
      </c>
      <c r="J125" s="309">
        <f>'J) Plafonnement effort'!J125</f>
        <v>0</v>
      </c>
      <c r="K125" s="306">
        <f>'L) Plafonnement taux'!Q126</f>
        <v>0</v>
      </c>
      <c r="L125" s="304">
        <f t="shared" si="6"/>
        <v>34406324.35561201</v>
      </c>
      <c r="M125" s="229">
        <f>'M) Police'!N125</f>
        <v>1100119.1472102192</v>
      </c>
      <c r="N125" s="229">
        <f t="shared" si="4"/>
        <v>35506443.502822228</v>
      </c>
      <c r="O125" s="309">
        <f t="shared" si="5"/>
        <v>9730248.8420423083</v>
      </c>
      <c r="P125" s="311"/>
    </row>
    <row r="126" spans="1:17" s="152" customFormat="1" x14ac:dyDescent="0.25">
      <c r="A126" s="149">
        <f>'B) D RI'!A127</f>
        <v>5607</v>
      </c>
      <c r="B126" s="150" t="str">
        <f>'B) D RI'!B127</f>
        <v>Puidoux</v>
      </c>
      <c r="C126" s="307">
        <f>'B) D RI'!S127</f>
        <v>68.5</v>
      </c>
      <c r="D126" s="151">
        <f>'B) D RI'!AA127</f>
        <v>2924</v>
      </c>
      <c r="E126" s="305">
        <f>'D) Ecrêtage'!C126</f>
        <v>111580.38136464616</v>
      </c>
      <c r="F126" s="309">
        <f>'E) PCS'!G132</f>
        <v>1919192.5998753174</v>
      </c>
      <c r="G126" s="306">
        <f>'H) Péréquation directe'!I136</f>
        <v>724186.32871377375</v>
      </c>
      <c r="H126" s="309">
        <f>+'I) Dépenses thématiques'!T126</f>
        <v>-969457.46181212296</v>
      </c>
      <c r="I126" s="306">
        <f>'K) Plafonnement aide'!J126</f>
        <v>0</v>
      </c>
      <c r="J126" s="309">
        <f>'J) Plafonnement effort'!J126</f>
        <v>0</v>
      </c>
      <c r="K126" s="306">
        <f>'L) Plafonnement taux'!Q127</f>
        <v>0</v>
      </c>
      <c r="L126" s="304">
        <f t="shared" si="6"/>
        <v>1673921.4667769682</v>
      </c>
      <c r="M126" s="229">
        <f>'M) Police'!N126</f>
        <v>130429.13892518083</v>
      </c>
      <c r="N126" s="229">
        <f t="shared" si="4"/>
        <v>1804350.605702149</v>
      </c>
      <c r="O126" s="309">
        <f t="shared" si="5"/>
        <v>-245271.13309834921</v>
      </c>
      <c r="P126" s="311"/>
    </row>
    <row r="127" spans="1:17" s="152" customFormat="1" x14ac:dyDescent="0.25">
      <c r="A127" s="149">
        <f>'B) D RI'!A128</f>
        <v>5609</v>
      </c>
      <c r="B127" s="150" t="str">
        <f>'B) D RI'!B128</f>
        <v>Rivaz</v>
      </c>
      <c r="C127" s="307">
        <f>'B) D RI'!S128</f>
        <v>62</v>
      </c>
      <c r="D127" s="151">
        <f>'B) D RI'!AA128</f>
        <v>331</v>
      </c>
      <c r="E127" s="305">
        <f>'D) Ecrêtage'!C127</f>
        <v>14896.510161290325</v>
      </c>
      <c r="F127" s="309">
        <f>'E) PCS'!G133</f>
        <v>200709.8027672272</v>
      </c>
      <c r="G127" s="306">
        <f>'H) Péréquation directe'!I137</f>
        <v>219397.08065050017</v>
      </c>
      <c r="H127" s="309">
        <f>+'I) Dépenses thématiques'!T127</f>
        <v>-50415.689032258044</v>
      </c>
      <c r="I127" s="306">
        <f>'K) Plafonnement aide'!J127</f>
        <v>0</v>
      </c>
      <c r="J127" s="309">
        <f>'J) Plafonnement effort'!J127</f>
        <v>0</v>
      </c>
      <c r="K127" s="306">
        <f>'L) Plafonnement taux'!Q128</f>
        <v>0</v>
      </c>
      <c r="L127" s="304">
        <f t="shared" si="6"/>
        <v>369691.19438546931</v>
      </c>
      <c r="M127" s="229">
        <f>'M) Police'!N127</f>
        <v>17412.908699225121</v>
      </c>
      <c r="N127" s="229">
        <f t="shared" si="4"/>
        <v>387104.10308469442</v>
      </c>
      <c r="O127" s="309">
        <f t="shared" si="5"/>
        <v>168981.39161824214</v>
      </c>
      <c r="P127" s="311"/>
    </row>
    <row r="128" spans="1:17" s="152" customFormat="1" x14ac:dyDescent="0.25">
      <c r="A128" s="149">
        <f>'B) D RI'!A129</f>
        <v>5610</v>
      </c>
      <c r="B128" s="150" t="str">
        <f>'B) D RI'!B129</f>
        <v>St-Saphorin (Lavaux)</v>
      </c>
      <c r="C128" s="307">
        <f>'B) D RI'!S129</f>
        <v>72</v>
      </c>
      <c r="D128" s="151">
        <f>'B) D RI'!AA129</f>
        <v>396</v>
      </c>
      <c r="E128" s="305">
        <f>'D) Ecrêtage'!C128</f>
        <v>23448.462152777778</v>
      </c>
      <c r="F128" s="309">
        <f>'E) PCS'!G134</f>
        <v>640813.7634036307</v>
      </c>
      <c r="G128" s="306">
        <f>'H) Péréquation directe'!I138</f>
        <v>388012.10981496383</v>
      </c>
      <c r="H128" s="309">
        <f>+'I) Dépenses thématiques'!T128</f>
        <v>-4046.4770833333314</v>
      </c>
      <c r="I128" s="306">
        <f>'K) Plafonnement aide'!J128</f>
        <v>0</v>
      </c>
      <c r="J128" s="309">
        <f>'J) Plafonnement effort'!J128</f>
        <v>0</v>
      </c>
      <c r="K128" s="306">
        <f>'L) Plafonnement taux'!Q129</f>
        <v>0</v>
      </c>
      <c r="L128" s="304">
        <f t="shared" si="6"/>
        <v>1024779.3961352613</v>
      </c>
      <c r="M128" s="229">
        <f>'M) Police'!N128</f>
        <v>27409.502372211184</v>
      </c>
      <c r="N128" s="229">
        <f t="shared" si="4"/>
        <v>1052188.8985074724</v>
      </c>
      <c r="O128" s="309">
        <f t="shared" si="5"/>
        <v>383965.63273163047</v>
      </c>
      <c r="P128" s="311"/>
    </row>
    <row r="129" spans="1:16" s="152" customFormat="1" x14ac:dyDescent="0.25">
      <c r="A129" s="149">
        <f>'B) D RI'!A130</f>
        <v>5611</v>
      </c>
      <c r="B129" s="150" t="str">
        <f>'B) D RI'!B130</f>
        <v>Savigny</v>
      </c>
      <c r="C129" s="307">
        <f>'B) D RI'!S130</f>
        <v>69</v>
      </c>
      <c r="D129" s="151">
        <f>'B) D RI'!AA130</f>
        <v>3370</v>
      </c>
      <c r="E129" s="305">
        <f>'D) Ecrêtage'!C129</f>
        <v>140983.13330917869</v>
      </c>
      <c r="F129" s="309">
        <f>'E) PCS'!G135</f>
        <v>2164249.333491792</v>
      </c>
      <c r="G129" s="306">
        <f>'H) Péréquation directe'!I139</f>
        <v>1202018.9903406543</v>
      </c>
      <c r="H129" s="309">
        <f>+'I) Dépenses thématiques'!T129</f>
        <v>-640986.70014492783</v>
      </c>
      <c r="I129" s="306">
        <f>'K) Plafonnement aide'!J129</f>
        <v>0</v>
      </c>
      <c r="J129" s="309">
        <f>'J) Plafonnement effort'!J129</f>
        <v>0</v>
      </c>
      <c r="K129" s="306">
        <f>'L) Plafonnement taux'!Q130</f>
        <v>0</v>
      </c>
      <c r="L129" s="304">
        <f t="shared" si="6"/>
        <v>2725281.6236875183</v>
      </c>
      <c r="M129" s="229">
        <f>'M) Police'!N129</f>
        <v>164798.76171418451</v>
      </c>
      <c r="N129" s="229">
        <f t="shared" si="4"/>
        <v>2890080.385401703</v>
      </c>
      <c r="O129" s="309">
        <f t="shared" si="5"/>
        <v>561032.29019572644</v>
      </c>
      <c r="P129" s="311"/>
    </row>
    <row r="130" spans="1:16" s="152" customFormat="1" x14ac:dyDescent="0.25">
      <c r="A130" s="149">
        <f>'B) D RI'!A131</f>
        <v>5613</v>
      </c>
      <c r="B130" s="150" t="str">
        <f>'B) D RI'!B131</f>
        <v>Bourg-en-Lavaux</v>
      </c>
      <c r="C130" s="307">
        <f>'B) D RI'!S131</f>
        <v>62.5</v>
      </c>
      <c r="D130" s="151">
        <f>'B) D RI'!AA131</f>
        <v>5367</v>
      </c>
      <c r="E130" s="305">
        <f>'D) Ecrêtage'!C130</f>
        <v>357210.57141333341</v>
      </c>
      <c r="F130" s="309">
        <f>'E) PCS'!G136</f>
        <v>6881149.6288820738</v>
      </c>
      <c r="G130" s="306">
        <f>'H) Péréquation directe'!I140</f>
        <v>4622395.7238910682</v>
      </c>
      <c r="H130" s="309">
        <f>+'I) Dépenses thématiques'!T130</f>
        <v>0</v>
      </c>
      <c r="I130" s="306">
        <f>'K) Plafonnement aide'!J130</f>
        <v>0</v>
      </c>
      <c r="J130" s="309">
        <f>'J) Plafonnement effort'!J130</f>
        <v>0</v>
      </c>
      <c r="K130" s="306">
        <f>'L) Plafonnement taux'!Q131</f>
        <v>0</v>
      </c>
      <c r="L130" s="304">
        <f t="shared" si="6"/>
        <v>11503545.352773141</v>
      </c>
      <c r="M130" s="229">
        <f>'M) Police'!N130</f>
        <v>417552.50048979465</v>
      </c>
      <c r="N130" s="229">
        <f t="shared" si="4"/>
        <v>11921097.853262935</v>
      </c>
      <c r="O130" s="309">
        <f t="shared" si="5"/>
        <v>4622395.7238910682</v>
      </c>
      <c r="P130" s="311"/>
    </row>
    <row r="131" spans="1:16" s="152" customFormat="1" x14ac:dyDescent="0.25">
      <c r="A131" s="149">
        <f>'B) D RI'!A132</f>
        <v>5621</v>
      </c>
      <c r="B131" s="150" t="str">
        <f>'B) D RI'!B132</f>
        <v>Aclens</v>
      </c>
      <c r="C131" s="307">
        <f>'B) D RI'!S132</f>
        <v>62</v>
      </c>
      <c r="D131" s="151">
        <f>'B) D RI'!AA132</f>
        <v>517</v>
      </c>
      <c r="E131" s="305">
        <f>'D) Ecrêtage'!C131</f>
        <v>32271.293782991204</v>
      </c>
      <c r="F131" s="309">
        <f>'E) PCS'!G137</f>
        <v>712745.39251743141</v>
      </c>
      <c r="G131" s="306">
        <f>'H) Péréquation directe'!I141</f>
        <v>537500.48704905971</v>
      </c>
      <c r="H131" s="309">
        <f>+'I) Dépenses thématiques'!T131</f>
        <v>-35989.237302052774</v>
      </c>
      <c r="I131" s="306">
        <f>'K) Plafonnement aide'!J131</f>
        <v>0</v>
      </c>
      <c r="J131" s="309">
        <f>'J) Plafonnement effort'!J131</f>
        <v>0</v>
      </c>
      <c r="K131" s="306">
        <f>'L) Plafonnement taux'!Q132</f>
        <v>0</v>
      </c>
      <c r="L131" s="304">
        <f t="shared" si="6"/>
        <v>1214256.6422644383</v>
      </c>
      <c r="M131" s="229">
        <f>'M) Police'!N131</f>
        <v>83928.398175448441</v>
      </c>
      <c r="N131" s="229">
        <f t="shared" si="4"/>
        <v>1298185.0404398867</v>
      </c>
      <c r="O131" s="309">
        <f t="shared" si="5"/>
        <v>501511.24974700692</v>
      </c>
      <c r="P131" s="311"/>
    </row>
    <row r="132" spans="1:16" s="152" customFormat="1" x14ac:dyDescent="0.25">
      <c r="A132" s="149">
        <f>'B) D RI'!A133</f>
        <v>5622</v>
      </c>
      <c r="B132" s="150" t="str">
        <f>'B) D RI'!B133</f>
        <v>Bremblens</v>
      </c>
      <c r="C132" s="307">
        <f>'B) D RI'!S133</f>
        <v>68</v>
      </c>
      <c r="D132" s="151">
        <f>'B) D RI'!AA133</f>
        <v>607</v>
      </c>
      <c r="E132" s="305">
        <f>'D) Ecrêtage'!C132</f>
        <v>28643.938676470589</v>
      </c>
      <c r="F132" s="309">
        <f>'E) PCS'!G138</f>
        <v>463185.80967027962</v>
      </c>
      <c r="G132" s="306">
        <f>'H) Péréquation directe'!I142</f>
        <v>445171.15854825475</v>
      </c>
      <c r="H132" s="309">
        <f>+'I) Dépenses thématiques'!T132</f>
        <v>-10053.367941176468</v>
      </c>
      <c r="I132" s="306">
        <f>'K) Plafonnement aide'!J132</f>
        <v>0</v>
      </c>
      <c r="J132" s="309">
        <f>'J) Plafonnement effort'!J132</f>
        <v>0</v>
      </c>
      <c r="K132" s="306">
        <f>'L) Plafonnement taux'!Q133</f>
        <v>0</v>
      </c>
      <c r="L132" s="304">
        <f t="shared" si="6"/>
        <v>898303.60027735785</v>
      </c>
      <c r="M132" s="229">
        <f>'M) Police'!N132</f>
        <v>86100.239353526442</v>
      </c>
      <c r="N132" s="229">
        <f t="shared" si="4"/>
        <v>984403.83963088435</v>
      </c>
      <c r="O132" s="309">
        <f t="shared" si="5"/>
        <v>435117.79060707829</v>
      </c>
      <c r="P132" s="311"/>
    </row>
    <row r="133" spans="1:16" s="152" customFormat="1" x14ac:dyDescent="0.25">
      <c r="A133" s="149">
        <f>'B) D RI'!A134</f>
        <v>5623</v>
      </c>
      <c r="B133" s="150" t="str">
        <f>'B) D RI'!B134</f>
        <v>Buchillon</v>
      </c>
      <c r="C133" s="307">
        <f>'B) D RI'!S134</f>
        <v>52</v>
      </c>
      <c r="D133" s="151">
        <f>'B) D RI'!AA134</f>
        <v>669</v>
      </c>
      <c r="E133" s="305">
        <f>'D) Ecrêtage'!C133</f>
        <v>89231.951153846152</v>
      </c>
      <c r="F133" s="309">
        <f>'E) PCS'!G139</f>
        <v>2393273.2589549259</v>
      </c>
      <c r="G133" s="306">
        <f>'H) Péréquation directe'!I143</f>
        <v>1581094.7201620101</v>
      </c>
      <c r="H133" s="309">
        <f>+'I) Dépenses thématiques'!T133</f>
        <v>0</v>
      </c>
      <c r="I133" s="306">
        <f>'K) Plafonnement aide'!J133</f>
        <v>0</v>
      </c>
      <c r="J133" s="309">
        <f>'J) Plafonnement effort'!J133</f>
        <v>0</v>
      </c>
      <c r="K133" s="306">
        <f>'L) Plafonnement taux'!Q134</f>
        <v>0</v>
      </c>
      <c r="L133" s="304">
        <f t="shared" si="6"/>
        <v>3974367.9791169362</v>
      </c>
      <c r="M133" s="229">
        <f>'M) Police'!N133</f>
        <v>104305.49180124553</v>
      </c>
      <c r="N133" s="229">
        <f t="shared" si="4"/>
        <v>4078673.4709181818</v>
      </c>
      <c r="O133" s="309">
        <f t="shared" si="5"/>
        <v>1581094.7201620101</v>
      </c>
      <c r="P133" s="311"/>
    </row>
    <row r="134" spans="1:16" s="152" customFormat="1" x14ac:dyDescent="0.25">
      <c r="A134" s="149">
        <f>'B) D RI'!A135</f>
        <v>5624</v>
      </c>
      <c r="B134" s="150" t="str">
        <f>'B) D RI'!B135</f>
        <v>Bussigny</v>
      </c>
      <c r="C134" s="307">
        <f>'B) D RI'!S135</f>
        <v>62.5</v>
      </c>
      <c r="D134" s="151">
        <f>'B) D RI'!AA135</f>
        <v>10253</v>
      </c>
      <c r="E134" s="305">
        <f>'D) Ecrêtage'!C134</f>
        <v>441979.60352000006</v>
      </c>
      <c r="F134" s="309">
        <f>'E) PCS'!G140</f>
        <v>7704212.849905828</v>
      </c>
      <c r="G134" s="306">
        <f>'H) Péréquation directe'!I144</f>
        <v>2120672.7671593074</v>
      </c>
      <c r="H134" s="309">
        <f>+'I) Dépenses thématiques'!T134</f>
        <v>-1388446.5538799991</v>
      </c>
      <c r="I134" s="306">
        <f>'K) Plafonnement aide'!J134</f>
        <v>0</v>
      </c>
      <c r="J134" s="309">
        <f>'J) Plafonnement effort'!J134</f>
        <v>0</v>
      </c>
      <c r="K134" s="306">
        <f>'L) Plafonnement taux'!Q135</f>
        <v>0</v>
      </c>
      <c r="L134" s="304">
        <f t="shared" si="6"/>
        <v>8436439.0631851368</v>
      </c>
      <c r="M134" s="229">
        <f>'M) Police'!N134</f>
        <v>516641.17297838593</v>
      </c>
      <c r="N134" s="229">
        <f t="shared" ref="N134:N192" si="7">L134+M134</f>
        <v>8953080.236163523</v>
      </c>
      <c r="O134" s="309">
        <f t="shared" ref="O134:O197" si="8">SUM(G134:K134)</f>
        <v>732226.21327930829</v>
      </c>
      <c r="P134" s="311"/>
    </row>
    <row r="135" spans="1:16" s="152" customFormat="1" x14ac:dyDescent="0.25">
      <c r="A135" s="149">
        <f>'B) D RI'!A136</f>
        <v>5625</v>
      </c>
      <c r="B135" s="150" t="str">
        <f>'B) D RI'!B136</f>
        <v>Bussy-Chardonney</v>
      </c>
      <c r="C135" s="307">
        <f>'B) D RI'!S136</f>
        <v>72</v>
      </c>
      <c r="D135" s="151">
        <f>'B) D RI'!AA136</f>
        <v>412</v>
      </c>
      <c r="E135" s="305">
        <f>'D) Ecrêtage'!C135</f>
        <v>21108.495740740738</v>
      </c>
      <c r="F135" s="309">
        <f>'E) PCS'!G141</f>
        <v>286957.49340049829</v>
      </c>
      <c r="G135" s="306">
        <f>'H) Péréquation directe'!I145</f>
        <v>342365.91160610801</v>
      </c>
      <c r="H135" s="309">
        <f>+'I) Dépenses thématiques'!T135</f>
        <v>-244483.52555555559</v>
      </c>
      <c r="I135" s="306">
        <f>'K) Plafonnement aide'!J135</f>
        <v>0</v>
      </c>
      <c r="J135" s="309">
        <f>'J) Plafonnement effort'!J135</f>
        <v>0</v>
      </c>
      <c r="K135" s="306">
        <f>'L) Plafonnement taux'!Q136</f>
        <v>0</v>
      </c>
      <c r="L135" s="304">
        <f t="shared" si="6"/>
        <v>384839.87945105077</v>
      </c>
      <c r="M135" s="229">
        <f>'M) Police'!N135</f>
        <v>61495.791246418259</v>
      </c>
      <c r="N135" s="229">
        <f t="shared" si="7"/>
        <v>446335.67069746903</v>
      </c>
      <c r="O135" s="309">
        <f t="shared" si="8"/>
        <v>97882.386050552421</v>
      </c>
      <c r="P135" s="311"/>
    </row>
    <row r="136" spans="1:16" s="152" customFormat="1" x14ac:dyDescent="0.25">
      <c r="A136" s="149">
        <f>'B) D RI'!A137</f>
        <v>5627</v>
      </c>
      <c r="B136" s="150" t="str">
        <f>'B) D RI'!B137</f>
        <v>Chavannes-près-Renens</v>
      </c>
      <c r="C136" s="307">
        <f>'B) D RI'!S137</f>
        <v>77.5</v>
      </c>
      <c r="D136" s="151">
        <f>'B) D RI'!AA137</f>
        <v>8767</v>
      </c>
      <c r="E136" s="305">
        <f>'D) Ecrêtage'!C136</f>
        <v>194072.91458064516</v>
      </c>
      <c r="F136" s="309">
        <f>'E) PCS'!G142</f>
        <v>3431819.5311185285</v>
      </c>
      <c r="G136" s="306">
        <f>'H) Péréquation directe'!I146</f>
        <v>-5977629.3722829139</v>
      </c>
      <c r="H136" s="309">
        <f>+'I) Dépenses thématiques'!T136</f>
        <v>-1896308.7625161291</v>
      </c>
      <c r="I136" s="306">
        <f>'K) Plafonnement aide'!J136</f>
        <v>993226.52451922465</v>
      </c>
      <c r="J136" s="309">
        <f>'J) Plafonnement effort'!J136</f>
        <v>0</v>
      </c>
      <c r="K136" s="306">
        <f>'L) Plafonnement taux'!Q137</f>
        <v>0</v>
      </c>
      <c r="L136" s="304">
        <f t="shared" si="6"/>
        <v>-3448892.0791612901</v>
      </c>
      <c r="M136" s="229">
        <f>'M) Police'!N136</f>
        <v>226856.75409847609</v>
      </c>
      <c r="N136" s="229">
        <f t="shared" si="7"/>
        <v>-3222035.3250628142</v>
      </c>
      <c r="O136" s="309">
        <f t="shared" si="8"/>
        <v>-6880711.6102798181</v>
      </c>
      <c r="P136" s="311"/>
    </row>
    <row r="137" spans="1:16" s="152" customFormat="1" x14ac:dyDescent="0.25">
      <c r="A137" s="149">
        <f>'B) D RI'!A138</f>
        <v>5628</v>
      </c>
      <c r="B137" s="150" t="str">
        <f>'B) D RI'!B138</f>
        <v>Chigny</v>
      </c>
      <c r="C137" s="307">
        <f>'B) D RI'!S138</f>
        <v>62</v>
      </c>
      <c r="D137" s="151">
        <f>'B) D RI'!AA138</f>
        <v>405</v>
      </c>
      <c r="E137" s="305">
        <f>'D) Ecrêtage'!C137</f>
        <v>25790.901129032256</v>
      </c>
      <c r="F137" s="309">
        <f>'E) PCS'!G143</f>
        <v>432653.84263132524</v>
      </c>
      <c r="G137" s="306">
        <f>'H) Péréquation directe'!I147</f>
        <v>430585.71947969787</v>
      </c>
      <c r="H137" s="309">
        <f>+'I) Dépenses thématiques'!T137</f>
        <v>0</v>
      </c>
      <c r="I137" s="306">
        <f>'K) Plafonnement aide'!J137</f>
        <v>0</v>
      </c>
      <c r="J137" s="309">
        <f>'J) Plafonnement effort'!J137</f>
        <v>0</v>
      </c>
      <c r="K137" s="306">
        <f>'L) Plafonnement taux'!Q138</f>
        <v>0</v>
      </c>
      <c r="L137" s="304">
        <f t="shared" si="6"/>
        <v>863239.56211102311</v>
      </c>
      <c r="M137" s="229">
        <f>'M) Police'!N137</f>
        <v>66343.565108138355</v>
      </c>
      <c r="N137" s="229">
        <f t="shared" si="7"/>
        <v>929583.12721916148</v>
      </c>
      <c r="O137" s="309">
        <f t="shared" si="8"/>
        <v>430585.71947969787</v>
      </c>
      <c r="P137" s="311"/>
    </row>
    <row r="138" spans="1:16" s="152" customFormat="1" x14ac:dyDescent="0.25">
      <c r="A138" s="149">
        <f>'B) D RI'!A139</f>
        <v>5629</v>
      </c>
      <c r="B138" s="150" t="str">
        <f>'B) D RI'!B139</f>
        <v>Clarmont</v>
      </c>
      <c r="C138" s="307">
        <f>'B) D RI'!S139</f>
        <v>73.5</v>
      </c>
      <c r="D138" s="151">
        <f>'B) D RI'!AA139</f>
        <v>211</v>
      </c>
      <c r="E138" s="305">
        <f>'D) Ecrêtage'!C138</f>
        <v>9948.0614965986406</v>
      </c>
      <c r="F138" s="309">
        <f>'E) PCS'!G144</f>
        <v>134867.26760375686</v>
      </c>
      <c r="G138" s="306">
        <f>'H) Péréquation directe'!I148</f>
        <v>153602.6226835796</v>
      </c>
      <c r="H138" s="309">
        <f>+'I) Dépenses thématiques'!T138</f>
        <v>-48848.631020408153</v>
      </c>
      <c r="I138" s="306">
        <f>'K) Plafonnement aide'!J138</f>
        <v>0</v>
      </c>
      <c r="J138" s="309">
        <f>'J) Plafonnement effort'!J138</f>
        <v>0</v>
      </c>
      <c r="K138" s="306">
        <f>'L) Plafonnement taux'!Q139</f>
        <v>0</v>
      </c>
      <c r="L138" s="304">
        <f t="shared" si="6"/>
        <v>239621.25926692827</v>
      </c>
      <c r="M138" s="229">
        <f>'M) Police'!N138</f>
        <v>30486.172278697355</v>
      </c>
      <c r="N138" s="229">
        <f t="shared" si="7"/>
        <v>270107.43154562562</v>
      </c>
      <c r="O138" s="309">
        <f t="shared" si="8"/>
        <v>104753.99166317144</v>
      </c>
      <c r="P138" s="311"/>
    </row>
    <row r="139" spans="1:16" s="152" customFormat="1" x14ac:dyDescent="0.25">
      <c r="A139" s="149">
        <f>'B) D RI'!A140</f>
        <v>5631</v>
      </c>
      <c r="B139" s="150" t="str">
        <f>'B) D RI'!B140</f>
        <v>Denens</v>
      </c>
      <c r="C139" s="307">
        <f>'B) D RI'!S140</f>
        <v>68</v>
      </c>
      <c r="D139" s="151">
        <f>'B) D RI'!AA140</f>
        <v>733</v>
      </c>
      <c r="E139" s="305">
        <f>'D) Ecrêtage'!C139</f>
        <v>43290.229264705871</v>
      </c>
      <c r="F139" s="309">
        <f>'E) PCS'!G145</f>
        <v>909741.96952861873</v>
      </c>
      <c r="G139" s="306">
        <f>'H) Péréquation directe'!I149</f>
        <v>716104.3377347166</v>
      </c>
      <c r="H139" s="309">
        <f>+'I) Dépenses thématiques'!T139</f>
        <v>0</v>
      </c>
      <c r="I139" s="306">
        <f>'K) Plafonnement aide'!J139</f>
        <v>0</v>
      </c>
      <c r="J139" s="309">
        <f>'J) Plafonnement effort'!J139</f>
        <v>0</v>
      </c>
      <c r="K139" s="306">
        <f>'L) Plafonnement taux'!Q140</f>
        <v>0</v>
      </c>
      <c r="L139" s="304">
        <f t="shared" si="6"/>
        <v>1625846.3072633352</v>
      </c>
      <c r="M139" s="229">
        <f>'M) Police'!N139</f>
        <v>116113.20551547641</v>
      </c>
      <c r="N139" s="229">
        <f t="shared" si="7"/>
        <v>1741959.5127788116</v>
      </c>
      <c r="O139" s="309">
        <f t="shared" si="8"/>
        <v>716104.3377347166</v>
      </c>
      <c r="P139" s="311"/>
    </row>
    <row r="140" spans="1:16" s="152" customFormat="1" x14ac:dyDescent="0.25">
      <c r="A140" s="149">
        <f>'B) D RI'!A141</f>
        <v>5632</v>
      </c>
      <c r="B140" s="150" t="str">
        <f>'B) D RI'!B141</f>
        <v>Denges</v>
      </c>
      <c r="C140" s="307">
        <f>'B) D RI'!S141</f>
        <v>62</v>
      </c>
      <c r="D140" s="151">
        <f>'B) D RI'!AA141</f>
        <v>1744</v>
      </c>
      <c r="E140" s="305">
        <f>'D) Ecrêtage'!C140</f>
        <v>80521.21435483871</v>
      </c>
      <c r="F140" s="309">
        <f>'E) PCS'!G146</f>
        <v>1220326.1281087229</v>
      </c>
      <c r="G140" s="306">
        <f>'H) Péréquation directe'!I150</f>
        <v>1058059.4953740458</v>
      </c>
      <c r="H140" s="309">
        <f>+'I) Dépenses thématiques'!T140</f>
        <v>-105313.71387096774</v>
      </c>
      <c r="I140" s="306">
        <f>'K) Plafonnement aide'!J140</f>
        <v>0</v>
      </c>
      <c r="J140" s="309">
        <f>'J) Plafonnement effort'!J140</f>
        <v>0</v>
      </c>
      <c r="K140" s="306">
        <f>'L) Plafonnement taux'!Q141</f>
        <v>0</v>
      </c>
      <c r="L140" s="304">
        <f t="shared" si="6"/>
        <v>2173071.9096118007</v>
      </c>
      <c r="M140" s="229">
        <f>'M) Police'!N140</f>
        <v>241555.47731206889</v>
      </c>
      <c r="N140" s="229">
        <f t="shared" si="7"/>
        <v>2414627.3869238696</v>
      </c>
      <c r="O140" s="309">
        <f t="shared" si="8"/>
        <v>952745.78150307806</v>
      </c>
      <c r="P140" s="311"/>
    </row>
    <row r="141" spans="1:16" s="152" customFormat="1" x14ac:dyDescent="0.25">
      <c r="A141" s="149">
        <f>'B) D RI'!A142</f>
        <v>5633</v>
      </c>
      <c r="B141" s="150" t="str">
        <f>'B) D RI'!B142</f>
        <v>Echandens</v>
      </c>
      <c r="C141" s="307">
        <f>'B) D RI'!S142</f>
        <v>60.5</v>
      </c>
      <c r="D141" s="151">
        <f>'B) D RI'!AA142</f>
        <v>2775</v>
      </c>
      <c r="E141" s="305">
        <f>'D) Ecrêtage'!C141</f>
        <v>168845.50793388431</v>
      </c>
      <c r="F141" s="309">
        <f>'E) PCS'!G147</f>
        <v>2849151.1865453268</v>
      </c>
      <c r="G141" s="306">
        <f>'H) Péréquation directe'!I151</f>
        <v>2404930.8919843012</v>
      </c>
      <c r="H141" s="309">
        <f>+'I) Dépenses thématiques'!T141</f>
        <v>-603522.70239669411</v>
      </c>
      <c r="I141" s="306">
        <f>'K) Plafonnement aide'!J141</f>
        <v>0</v>
      </c>
      <c r="J141" s="309">
        <f>'J) Plafonnement effort'!J141</f>
        <v>0</v>
      </c>
      <c r="K141" s="306">
        <f>'L) Plafonnement taux'!Q142</f>
        <v>0</v>
      </c>
      <c r="L141" s="304">
        <f t="shared" si="6"/>
        <v>4650559.3761329334</v>
      </c>
      <c r="M141" s="229">
        <f>'M) Police'!N141</f>
        <v>445376.92357622087</v>
      </c>
      <c r="N141" s="229">
        <f t="shared" si="7"/>
        <v>5095936.2997091543</v>
      </c>
      <c r="O141" s="309">
        <f t="shared" si="8"/>
        <v>1801408.189587607</v>
      </c>
      <c r="P141" s="311"/>
    </row>
    <row r="142" spans="1:16" s="152" customFormat="1" x14ac:dyDescent="0.25">
      <c r="A142" s="149">
        <f>'B) D RI'!A143</f>
        <v>5634</v>
      </c>
      <c r="B142" s="150" t="str">
        <f>'B) D RI'!B143</f>
        <v>Echichens</v>
      </c>
      <c r="C142" s="307">
        <f>'B) D RI'!S143</f>
        <v>66</v>
      </c>
      <c r="D142" s="151">
        <f>'B) D RI'!AA143</f>
        <v>3142</v>
      </c>
      <c r="E142" s="305">
        <f>'D) Ecrêtage'!C142</f>
        <v>152568.89227272727</v>
      </c>
      <c r="F142" s="309">
        <f>'E) PCS'!G148</f>
        <v>2409315.6124873441</v>
      </c>
      <c r="G142" s="306">
        <f>'H) Péréquation directe'!I152</f>
        <v>1951854.8105146601</v>
      </c>
      <c r="H142" s="309">
        <f>+'I) Dépenses thématiques'!T142</f>
        <v>-125407.39636363636</v>
      </c>
      <c r="I142" s="306">
        <f>'K) Plafonnement aide'!J142</f>
        <v>0</v>
      </c>
      <c r="J142" s="309">
        <f>'J) Plafonnement effort'!J142</f>
        <v>0</v>
      </c>
      <c r="K142" s="306">
        <f>'L) Plafonnement taux'!Q143</f>
        <v>0</v>
      </c>
      <c r="L142" s="304">
        <f t="shared" si="6"/>
        <v>4235763.0266383681</v>
      </c>
      <c r="M142" s="229">
        <f>'M) Police'!N142</f>
        <v>459150.53992821125</v>
      </c>
      <c r="N142" s="229">
        <f t="shared" si="7"/>
        <v>4694913.566566579</v>
      </c>
      <c r="O142" s="309">
        <f t="shared" si="8"/>
        <v>1826447.4141510236</v>
      </c>
      <c r="P142" s="311"/>
    </row>
    <row r="143" spans="1:16" s="152" customFormat="1" x14ac:dyDescent="0.25">
      <c r="A143" s="149">
        <f>'B) D RI'!A144</f>
        <v>5635</v>
      </c>
      <c r="B143" s="150" t="str">
        <f>'B) D RI'!B144</f>
        <v>Ecublens</v>
      </c>
      <c r="C143" s="307">
        <f>'B) D RI'!S144</f>
        <v>62.5</v>
      </c>
      <c r="D143" s="151">
        <f>'B) D RI'!AA144</f>
        <v>13214</v>
      </c>
      <c r="E143" s="305">
        <f>'D) Ecrêtage'!C143</f>
        <v>872367.07997333352</v>
      </c>
      <c r="F143" s="309">
        <f>'E) PCS'!G149</f>
        <v>16323522.66591152</v>
      </c>
      <c r="G143" s="306">
        <f>'H) Péréquation directe'!I153</f>
        <v>8300392.2255264996</v>
      </c>
      <c r="H143" s="309">
        <f>+'I) Dépenses thématiques'!T143</f>
        <v>-1261773.2701599989</v>
      </c>
      <c r="I143" s="306">
        <f>'K) Plafonnement aide'!J143</f>
        <v>0</v>
      </c>
      <c r="J143" s="309">
        <f>'J) Plafonnement effort'!J143</f>
        <v>0</v>
      </c>
      <c r="K143" s="306">
        <f>'L) Plafonnement taux'!Q144</f>
        <v>0</v>
      </c>
      <c r="L143" s="304">
        <f t="shared" si="6"/>
        <v>23362141.621278018</v>
      </c>
      <c r="M143" s="229">
        <f>'M) Police'!N143</f>
        <v>1019732.0144995282</v>
      </c>
      <c r="N143" s="229">
        <f t="shared" si="7"/>
        <v>24381873.635777544</v>
      </c>
      <c r="O143" s="309">
        <f t="shared" si="8"/>
        <v>7038618.9553665007</v>
      </c>
      <c r="P143" s="311"/>
    </row>
    <row r="144" spans="1:16" s="152" customFormat="1" x14ac:dyDescent="0.25">
      <c r="A144" s="149">
        <f>'B) D RI'!A145</f>
        <v>5636</v>
      </c>
      <c r="B144" s="150" t="str">
        <f>'B) D RI'!B145</f>
        <v>Etoy</v>
      </c>
      <c r="C144" s="307">
        <f>'B) D RI'!S145</f>
        <v>60</v>
      </c>
      <c r="D144" s="151">
        <f>'B) D RI'!AA145</f>
        <v>2918</v>
      </c>
      <c r="E144" s="305">
        <f>'D) Ecrêtage'!C144</f>
        <v>187063.54000000004</v>
      </c>
      <c r="F144" s="309">
        <f>'E) PCS'!G150</f>
        <v>4047511.5769384122</v>
      </c>
      <c r="G144" s="306">
        <f>'H) Péréquation directe'!I154</f>
        <v>2694824.5727765565</v>
      </c>
      <c r="H144" s="309">
        <f>+'I) Dépenses thématiques'!T144</f>
        <v>0</v>
      </c>
      <c r="I144" s="306">
        <f>'K) Plafonnement aide'!J144</f>
        <v>0</v>
      </c>
      <c r="J144" s="309">
        <f>'J) Plafonnement effort'!J144</f>
        <v>0</v>
      </c>
      <c r="K144" s="306">
        <f>'L) Plafonnement taux'!Q145</f>
        <v>0</v>
      </c>
      <c r="L144" s="304">
        <f t="shared" si="6"/>
        <v>6742336.1497149691</v>
      </c>
      <c r="M144" s="229">
        <f>'M) Police'!N144</f>
        <v>479452.73356322118</v>
      </c>
      <c r="N144" s="229">
        <f t="shared" si="7"/>
        <v>7221788.8832781902</v>
      </c>
      <c r="O144" s="309">
        <f t="shared" si="8"/>
        <v>2694824.5727765565</v>
      </c>
      <c r="P144" s="311"/>
    </row>
    <row r="145" spans="1:16" s="152" customFormat="1" x14ac:dyDescent="0.25">
      <c r="A145" s="149">
        <f>'B) D RI'!A146</f>
        <v>5637</v>
      </c>
      <c r="B145" s="150" t="str">
        <f>'B) D RI'!B146</f>
        <v>Lavigny</v>
      </c>
      <c r="C145" s="307">
        <f>'B) D RI'!S146</f>
        <v>73</v>
      </c>
      <c r="D145" s="151">
        <f>'B) D RI'!AA146</f>
        <v>1026</v>
      </c>
      <c r="E145" s="305">
        <f>'D) Ecrêtage'!C145</f>
        <v>37900.997397260275</v>
      </c>
      <c r="F145" s="309">
        <f>'E) PCS'!G151</f>
        <v>705992.69202365412</v>
      </c>
      <c r="G145" s="306">
        <f>'H) Péréquation directe'!I155</f>
        <v>323201.04357581504</v>
      </c>
      <c r="H145" s="309">
        <f>+'I) Dépenses thématiques'!T145</f>
        <v>-114591.01561643835</v>
      </c>
      <c r="I145" s="306">
        <f>'K) Plafonnement aide'!J145</f>
        <v>0</v>
      </c>
      <c r="J145" s="309">
        <f>'J) Plafonnement effort'!J145</f>
        <v>0</v>
      </c>
      <c r="K145" s="306">
        <f>'L) Plafonnement taux'!Q146</f>
        <v>0</v>
      </c>
      <c r="L145" s="304">
        <f t="shared" si="6"/>
        <v>914602.71998303081</v>
      </c>
      <c r="M145" s="229">
        <f>'M) Police'!N145</f>
        <v>114491.88848503245</v>
      </c>
      <c r="N145" s="229">
        <f t="shared" si="7"/>
        <v>1029094.6084680633</v>
      </c>
      <c r="O145" s="309">
        <f t="shared" si="8"/>
        <v>208610.02795937669</v>
      </c>
      <c r="P145" s="311"/>
    </row>
    <row r="146" spans="1:16" s="152" customFormat="1" x14ac:dyDescent="0.25">
      <c r="A146" s="149">
        <f>'B) D RI'!A147</f>
        <v>5638</v>
      </c>
      <c r="B146" s="150" t="str">
        <f>'B) D RI'!B147</f>
        <v>Lonay</v>
      </c>
      <c r="C146" s="307">
        <f>'B) D RI'!S147</f>
        <v>55</v>
      </c>
      <c r="D146" s="151">
        <f>'B) D RI'!AA147</f>
        <v>2751</v>
      </c>
      <c r="E146" s="305">
        <f>'D) Ecrêtage'!C146</f>
        <v>174162.36418181815</v>
      </c>
      <c r="F146" s="309">
        <f>'E) PCS'!G152</f>
        <v>6879880.4571783328</v>
      </c>
      <c r="G146" s="306">
        <f>'H) Péréquation directe'!I156</f>
        <v>2512495.7379083121</v>
      </c>
      <c r="H146" s="309">
        <f>+'I) Dépenses thématiques'!T146</f>
        <v>-368865.0649090911</v>
      </c>
      <c r="I146" s="306">
        <f>'K) Plafonnement aide'!J146</f>
        <v>0</v>
      </c>
      <c r="J146" s="309">
        <f>'J) Plafonnement effort'!J146</f>
        <v>0</v>
      </c>
      <c r="K146" s="306">
        <f>'L) Plafonnement taux'!Q147</f>
        <v>0</v>
      </c>
      <c r="L146" s="304">
        <f t="shared" si="6"/>
        <v>9023511.1301775537</v>
      </c>
      <c r="M146" s="229">
        <f>'M) Police'!N146</f>
        <v>449446.98796436196</v>
      </c>
      <c r="N146" s="229">
        <f t="shared" si="7"/>
        <v>9472958.1181419156</v>
      </c>
      <c r="O146" s="309">
        <f t="shared" si="8"/>
        <v>2143630.6729992209</v>
      </c>
      <c r="P146" s="311"/>
    </row>
    <row r="147" spans="1:16" s="152" customFormat="1" x14ac:dyDescent="0.25">
      <c r="A147" s="149">
        <f>'B) D RI'!A148</f>
        <v>5639</v>
      </c>
      <c r="B147" s="150" t="str">
        <f>'B) D RI'!B148</f>
        <v>Lully</v>
      </c>
      <c r="C147" s="307">
        <f>'B) D RI'!S148</f>
        <v>61</v>
      </c>
      <c r="D147" s="151">
        <f>'B) D RI'!AA148</f>
        <v>828</v>
      </c>
      <c r="E147" s="305">
        <f>'D) Ecrêtage'!C147</f>
        <v>53711.269344262299</v>
      </c>
      <c r="F147" s="309">
        <f>'E) PCS'!G153</f>
        <v>952551.26723350445</v>
      </c>
      <c r="G147" s="306">
        <f>'H) Péréquation directe'!I157</f>
        <v>898649.49007097341</v>
      </c>
      <c r="H147" s="309">
        <f>+'I) Dépenses thématiques'!T147</f>
        <v>0</v>
      </c>
      <c r="I147" s="306">
        <f>'K) Plafonnement aide'!J147</f>
        <v>0</v>
      </c>
      <c r="J147" s="309">
        <f>'J) Plafonnement effort'!J147</f>
        <v>0</v>
      </c>
      <c r="K147" s="306">
        <f>'L) Plafonnement taux'!Q148</f>
        <v>0</v>
      </c>
      <c r="L147" s="304">
        <f t="shared" si="6"/>
        <v>1851200.757304478</v>
      </c>
      <c r="M147" s="229">
        <f>'M) Police'!N147</f>
        <v>136785.02616384174</v>
      </c>
      <c r="N147" s="229">
        <f t="shared" si="7"/>
        <v>1987985.7834683198</v>
      </c>
      <c r="O147" s="309">
        <f t="shared" si="8"/>
        <v>898649.49007097341</v>
      </c>
      <c r="P147" s="311"/>
    </row>
    <row r="148" spans="1:16" s="152" customFormat="1" x14ac:dyDescent="0.25">
      <c r="A148" s="149">
        <f>'B) D RI'!A149</f>
        <v>5640</v>
      </c>
      <c r="B148" s="150" t="str">
        <f>'B) D RI'!B149</f>
        <v>Lussy-sur-Morges</v>
      </c>
      <c r="C148" s="307">
        <f>'B) D RI'!S149</f>
        <v>64.5</v>
      </c>
      <c r="D148" s="151">
        <f>'B) D RI'!AA149</f>
        <v>740</v>
      </c>
      <c r="E148" s="305">
        <f>'D) Ecrêtage'!C148</f>
        <v>70527.814108527149</v>
      </c>
      <c r="F148" s="309">
        <f>'E) PCS'!G154</f>
        <v>1969206.825828623</v>
      </c>
      <c r="G148" s="306">
        <f>'H) Péréquation directe'!I158</f>
        <v>1223326.6968910007</v>
      </c>
      <c r="H148" s="309">
        <f>+'I) Dépenses thématiques'!T148</f>
        <v>0</v>
      </c>
      <c r="I148" s="306">
        <f>'K) Plafonnement aide'!J148</f>
        <v>0</v>
      </c>
      <c r="J148" s="309">
        <f>'J) Plafonnement effort'!J148</f>
        <v>0</v>
      </c>
      <c r="K148" s="306">
        <f>'L) Plafonnement taux'!Q149</f>
        <v>0</v>
      </c>
      <c r="L148" s="304">
        <f t="shared" si="6"/>
        <v>3192533.5227196235</v>
      </c>
      <c r="M148" s="229">
        <f>'M) Police'!N148</f>
        <v>82441.751425712981</v>
      </c>
      <c r="N148" s="229">
        <f t="shared" si="7"/>
        <v>3274975.2741453364</v>
      </c>
      <c r="O148" s="309">
        <f t="shared" si="8"/>
        <v>1223326.6968910007</v>
      </c>
      <c r="P148" s="311"/>
    </row>
    <row r="149" spans="1:16" s="152" customFormat="1" x14ac:dyDescent="0.25">
      <c r="A149" s="149">
        <f>'B) D RI'!A150</f>
        <v>5642</v>
      </c>
      <c r="B149" s="150" t="str">
        <f>'B) D RI'!B150</f>
        <v>Morges</v>
      </c>
      <c r="C149" s="307">
        <f>'B) D RI'!S150</f>
        <v>67</v>
      </c>
      <c r="D149" s="151">
        <f>'B) D RI'!AA150</f>
        <v>16885</v>
      </c>
      <c r="E149" s="305">
        <f>'D) Ecrêtage'!C149</f>
        <v>999726.82119402988</v>
      </c>
      <c r="F149" s="309">
        <f>'E) PCS'!G155</f>
        <v>17898233.853240363</v>
      </c>
      <c r="G149" s="306">
        <f>'H) Péréquation directe'!I159</f>
        <v>6918513.4040464703</v>
      </c>
      <c r="H149" s="309">
        <f>+'I) Dépenses thématiques'!T149</f>
        <v>0</v>
      </c>
      <c r="I149" s="306">
        <f>'K) Plafonnement aide'!J149</f>
        <v>0</v>
      </c>
      <c r="J149" s="309">
        <f>'J) Plafonnement effort'!J149</f>
        <v>0</v>
      </c>
      <c r="K149" s="306">
        <f>'L) Plafonnement taux'!Q150</f>
        <v>0</v>
      </c>
      <c r="L149" s="304">
        <f t="shared" si="6"/>
        <v>24816747.257286832</v>
      </c>
      <c r="M149" s="229">
        <f>'M) Police'!N149</f>
        <v>1168606.0475328348</v>
      </c>
      <c r="N149" s="229">
        <f t="shared" si="7"/>
        <v>25985353.304819666</v>
      </c>
      <c r="O149" s="309">
        <f t="shared" si="8"/>
        <v>6918513.4040464703</v>
      </c>
      <c r="P149" s="311"/>
    </row>
    <row r="150" spans="1:16" s="152" customFormat="1" x14ac:dyDescent="0.25">
      <c r="A150" s="149">
        <f>'B) D RI'!A151</f>
        <v>5643</v>
      </c>
      <c r="B150" s="150" t="str">
        <f>'B) D RI'!B151</f>
        <v>Préverenges</v>
      </c>
      <c r="C150" s="307">
        <f>'B) D RI'!S151</f>
        <v>62.5</v>
      </c>
      <c r="D150" s="151">
        <f>'B) D RI'!AA151</f>
        <v>5208</v>
      </c>
      <c r="E150" s="305">
        <f>'D) Ecrêtage'!C150</f>
        <v>257752.82112000001</v>
      </c>
      <c r="F150" s="309">
        <f>'E) PCS'!G156</f>
        <v>3716633.7061044676</v>
      </c>
      <c r="G150" s="306">
        <f>'H) Péréquation directe'!I160</f>
        <v>2862298.1178889871</v>
      </c>
      <c r="H150" s="309">
        <f>+'I) Dépenses thématiques'!T150</f>
        <v>0</v>
      </c>
      <c r="I150" s="306">
        <f>'K) Plafonnement aide'!J150</f>
        <v>0</v>
      </c>
      <c r="J150" s="309">
        <f>'J) Plafonnement effort'!J150</f>
        <v>0</v>
      </c>
      <c r="K150" s="306">
        <f>'L) Plafonnement taux'!Q151</f>
        <v>0</v>
      </c>
      <c r="L150" s="304">
        <f t="shared" si="6"/>
        <v>6578931.8239934547</v>
      </c>
      <c r="M150" s="229">
        <f>'M) Police'!N150</f>
        <v>301293.81261345692</v>
      </c>
      <c r="N150" s="229">
        <f t="shared" si="7"/>
        <v>6880225.6366069112</v>
      </c>
      <c r="O150" s="309">
        <f t="shared" si="8"/>
        <v>2862298.1178889871</v>
      </c>
      <c r="P150" s="311"/>
    </row>
    <row r="151" spans="1:16" s="152" customFormat="1" x14ac:dyDescent="0.25">
      <c r="A151" s="149">
        <f>'B) D RI'!A152</f>
        <v>5644</v>
      </c>
      <c r="B151" s="150" t="str">
        <f>'B) D RI'!B152</f>
        <v>Reverolle</v>
      </c>
      <c r="C151" s="307">
        <f>'B) D RI'!S152</f>
        <v>74</v>
      </c>
      <c r="D151" s="151">
        <f>'B) D RI'!AA152</f>
        <v>403</v>
      </c>
      <c r="E151" s="305">
        <f>'D) Ecrêtage'!C151</f>
        <v>16363.457972972968</v>
      </c>
      <c r="F151" s="309">
        <f>'E) PCS'!G157</f>
        <v>221183.93407147075</v>
      </c>
      <c r="G151" s="306">
        <f>'H) Péréquation directe'!I161</f>
        <v>186366.393115268</v>
      </c>
      <c r="H151" s="309">
        <f>+'I) Dépenses thématiques'!T151</f>
        <v>-323203.75216216221</v>
      </c>
      <c r="I151" s="306">
        <f>'K) Plafonnement aide'!J151</f>
        <v>0</v>
      </c>
      <c r="J151" s="309">
        <f>'J) Plafonnement effort'!J151</f>
        <v>0</v>
      </c>
      <c r="K151" s="306">
        <f>'L) Plafonnement taux'!Q152</f>
        <v>0</v>
      </c>
      <c r="L151" s="304">
        <f t="shared" si="6"/>
        <v>84346.575024576508</v>
      </c>
      <c r="M151" s="229">
        <f>'M) Police'!N151</f>
        <v>49536.992028228779</v>
      </c>
      <c r="N151" s="229">
        <f t="shared" si="7"/>
        <v>133883.56705280527</v>
      </c>
      <c r="O151" s="309">
        <f t="shared" si="8"/>
        <v>-136837.35904689421</v>
      </c>
      <c r="P151" s="311"/>
    </row>
    <row r="152" spans="1:16" s="152" customFormat="1" x14ac:dyDescent="0.25">
      <c r="A152" s="149">
        <f>'B) D RI'!A153</f>
        <v>5645</v>
      </c>
      <c r="B152" s="150" t="str">
        <f>'B) D RI'!B153</f>
        <v>Romanel-sur-Morges</v>
      </c>
      <c r="C152" s="307">
        <f>'B) D RI'!S153</f>
        <v>56</v>
      </c>
      <c r="D152" s="151">
        <f>'B) D RI'!AA153</f>
        <v>466</v>
      </c>
      <c r="E152" s="305">
        <f>'D) Ecrêtage'!C152</f>
        <v>26586.021785714285</v>
      </c>
      <c r="F152" s="309">
        <f>'E) PCS'!G158</f>
        <v>482852.94624947279</v>
      </c>
      <c r="G152" s="306">
        <f>'H) Péréquation directe'!I162</f>
        <v>437808.40839121153</v>
      </c>
      <c r="H152" s="309">
        <f>+'I) Dépenses thématiques'!T152</f>
        <v>-234.61928571428871</v>
      </c>
      <c r="I152" s="306">
        <f>'K) Plafonnement aide'!J152</f>
        <v>0</v>
      </c>
      <c r="J152" s="309">
        <f>'J) Plafonnement effort'!J152</f>
        <v>0</v>
      </c>
      <c r="K152" s="306">
        <f>'L) Plafonnement taux'!Q153</f>
        <v>0</v>
      </c>
      <c r="L152" s="304">
        <f t="shared" si="6"/>
        <v>920426.73535496998</v>
      </c>
      <c r="M152" s="229">
        <f>'M) Police'!N152</f>
        <v>72724.733940120976</v>
      </c>
      <c r="N152" s="229">
        <f t="shared" si="7"/>
        <v>993151.469295091</v>
      </c>
      <c r="O152" s="309">
        <f t="shared" si="8"/>
        <v>437573.78910549724</v>
      </c>
      <c r="P152" s="311"/>
    </row>
    <row r="153" spans="1:16" s="152" customFormat="1" x14ac:dyDescent="0.25">
      <c r="A153" s="149">
        <f>'B) D RI'!A154</f>
        <v>5646</v>
      </c>
      <c r="B153" s="150" t="str">
        <f>'B) D RI'!B154</f>
        <v>Saint-Prex</v>
      </c>
      <c r="C153" s="307">
        <f>'B) D RI'!S154</f>
        <v>59</v>
      </c>
      <c r="D153" s="151">
        <f>'B) D RI'!AA154</f>
        <v>5866</v>
      </c>
      <c r="E153" s="305">
        <f>'D) Ecrêtage'!C153</f>
        <v>527982.74983050849</v>
      </c>
      <c r="F153" s="309">
        <f>'E) PCS'!G159</f>
        <v>12947974.735530883</v>
      </c>
      <c r="G153" s="306">
        <f>'H) Péréquation directe'!I163</f>
        <v>7509218.035054395</v>
      </c>
      <c r="H153" s="309">
        <f>+'I) Dépenses thématiques'!T153</f>
        <v>0</v>
      </c>
      <c r="I153" s="306">
        <f>'K) Plafonnement aide'!J153</f>
        <v>0</v>
      </c>
      <c r="J153" s="309">
        <f>'J) Plafonnement effort'!J153</f>
        <v>0</v>
      </c>
      <c r="K153" s="306">
        <f>'L) Plafonnement taux'!Q154</f>
        <v>0</v>
      </c>
      <c r="L153" s="304">
        <f t="shared" si="6"/>
        <v>20457192.770585276</v>
      </c>
      <c r="M153" s="229">
        <f>'M) Police'!N153</f>
        <v>617172.43287323811</v>
      </c>
      <c r="N153" s="229">
        <f t="shared" si="7"/>
        <v>21074365.203458514</v>
      </c>
      <c r="O153" s="309">
        <f t="shared" si="8"/>
        <v>7509218.035054395</v>
      </c>
      <c r="P153" s="311"/>
    </row>
    <row r="154" spans="1:16" s="152" customFormat="1" x14ac:dyDescent="0.25">
      <c r="A154" s="149">
        <f>'B) D RI'!A155</f>
        <v>5648</v>
      </c>
      <c r="B154" s="150" t="str">
        <f>'B) D RI'!B155</f>
        <v>Saint-Sulpice</v>
      </c>
      <c r="C154" s="307">
        <f>'B) D RI'!S155</f>
        <v>55</v>
      </c>
      <c r="D154" s="151">
        <f>'B) D RI'!AA155</f>
        <v>4932</v>
      </c>
      <c r="E154" s="305">
        <f>'D) Ecrêtage'!C154</f>
        <v>394426.68886363629</v>
      </c>
      <c r="F154" s="309">
        <f>'E) PCS'!G160</f>
        <v>8822026.6657247785</v>
      </c>
      <c r="G154" s="306">
        <f>'H) Péréquation directe'!I164</f>
        <v>5570321.4857886424</v>
      </c>
      <c r="H154" s="309">
        <f>+'I) Dépenses thématiques'!T154</f>
        <v>0</v>
      </c>
      <c r="I154" s="306">
        <f>'K) Plafonnement aide'!J154</f>
        <v>0</v>
      </c>
      <c r="J154" s="309">
        <f>'J) Plafonnement effort'!J154</f>
        <v>0</v>
      </c>
      <c r="K154" s="306">
        <f>'L) Plafonnement taux'!Q155</f>
        <v>0</v>
      </c>
      <c r="L154" s="304">
        <f t="shared" si="6"/>
        <v>14392348.15151342</v>
      </c>
      <c r="M154" s="229">
        <f>'M) Police'!N154</f>
        <v>461055.36446834879</v>
      </c>
      <c r="N154" s="229">
        <f t="shared" si="7"/>
        <v>14853403.515981769</v>
      </c>
      <c r="O154" s="309">
        <f t="shared" si="8"/>
        <v>5570321.4857886424</v>
      </c>
      <c r="P154" s="311"/>
    </row>
    <row r="155" spans="1:16" s="152" customFormat="1" x14ac:dyDescent="0.25">
      <c r="A155" s="149">
        <f>'B) D RI'!A156</f>
        <v>5649</v>
      </c>
      <c r="B155" s="150" t="str">
        <f>'B) D RI'!B156</f>
        <v>Tolochenaz</v>
      </c>
      <c r="C155" s="307">
        <f>'B) D RI'!S156</f>
        <v>64</v>
      </c>
      <c r="D155" s="151">
        <f>'B) D RI'!AA156</f>
        <v>1886</v>
      </c>
      <c r="E155" s="305">
        <f>'D) Ecrêtage'!C155</f>
        <v>155778.42171874997</v>
      </c>
      <c r="F155" s="309">
        <f>'E) PCS'!G161</f>
        <v>3487949.4753231332</v>
      </c>
      <c r="G155" s="306">
        <f>'H) Péréquation directe'!I165</f>
        <v>2471698.6792024001</v>
      </c>
      <c r="H155" s="309">
        <f>+'I) Dépenses thématiques'!T155</f>
        <v>-200284.96968750015</v>
      </c>
      <c r="I155" s="306">
        <f>'K) Plafonnement aide'!J155</f>
        <v>0</v>
      </c>
      <c r="J155" s="309">
        <f>'J) Plafonnement effort'!J155</f>
        <v>0</v>
      </c>
      <c r="K155" s="306">
        <f>'L) Plafonnement taux'!Q156</f>
        <v>0</v>
      </c>
      <c r="L155" s="304">
        <f t="shared" si="6"/>
        <v>5759363.1848380333</v>
      </c>
      <c r="M155" s="229">
        <f>'M) Police'!N155</f>
        <v>182093.34973950847</v>
      </c>
      <c r="N155" s="229">
        <f t="shared" si="7"/>
        <v>5941456.534577542</v>
      </c>
      <c r="O155" s="309">
        <f t="shared" si="8"/>
        <v>2271413.7095149001</v>
      </c>
      <c r="P155" s="311"/>
    </row>
    <row r="156" spans="1:16" s="152" customFormat="1" x14ac:dyDescent="0.25">
      <c r="A156" s="149">
        <f>'B) D RI'!A157</f>
        <v>5650</v>
      </c>
      <c r="B156" s="150" t="str">
        <f>'B) D RI'!B157</f>
        <v>Vaux-sur-Morges</v>
      </c>
      <c r="C156" s="307">
        <f>'B) D RI'!S157</f>
        <v>56</v>
      </c>
      <c r="D156" s="151">
        <f>'B) D RI'!AA157</f>
        <v>196</v>
      </c>
      <c r="E156" s="305">
        <f>'D) Ecrêtage'!C156</f>
        <v>83125.71642857141</v>
      </c>
      <c r="F156" s="309">
        <f>'E) PCS'!G162</f>
        <v>3923623.8684406704</v>
      </c>
      <c r="G156" s="306">
        <f>'H) Péréquation directe'!I166</f>
        <v>1526193.7780008309</v>
      </c>
      <c r="H156" s="309">
        <f>+'I) Dépenses thématiques'!T156</f>
        <v>0</v>
      </c>
      <c r="I156" s="306">
        <f>'K) Plafonnement aide'!J156</f>
        <v>0</v>
      </c>
      <c r="J156" s="309">
        <f>'J) Plafonnement effort'!J156</f>
        <v>-827850.89787007368</v>
      </c>
      <c r="K156" s="306">
        <f>'L) Plafonnement taux'!Q157</f>
        <v>0</v>
      </c>
      <c r="L156" s="304">
        <f t="shared" si="6"/>
        <v>4621966.7485714275</v>
      </c>
      <c r="M156" s="229">
        <f>'M) Police'!N156</f>
        <v>114684.80001181833</v>
      </c>
      <c r="N156" s="229">
        <f t="shared" si="7"/>
        <v>4736651.5485832458</v>
      </c>
      <c r="O156" s="309">
        <f t="shared" si="8"/>
        <v>698342.88013075723</v>
      </c>
      <c r="P156" s="311"/>
    </row>
    <row r="157" spans="1:16" s="152" customFormat="1" x14ac:dyDescent="0.25">
      <c r="A157" s="149">
        <f>'B) D RI'!A158</f>
        <v>5651</v>
      </c>
      <c r="B157" s="150" t="str">
        <f>'B) D RI'!B158</f>
        <v>Villars-Sainte-Croix</v>
      </c>
      <c r="C157" s="307">
        <f>'B) D RI'!S158</f>
        <v>60.5</v>
      </c>
      <c r="D157" s="151">
        <f>'B) D RI'!AA158</f>
        <v>958</v>
      </c>
      <c r="E157" s="305">
        <f>'D) Ecrêtage'!C157</f>
        <v>57697.031735537188</v>
      </c>
      <c r="F157" s="309">
        <f>'E) PCS'!G163</f>
        <v>999191.37947674608</v>
      </c>
      <c r="G157" s="306">
        <f>'H) Péréquation directe'!I167</f>
        <v>956783.43066474819</v>
      </c>
      <c r="H157" s="309">
        <f>+'I) Dépenses thématiques'!T157</f>
        <v>0</v>
      </c>
      <c r="I157" s="306">
        <f>'K) Plafonnement aide'!J157</f>
        <v>0</v>
      </c>
      <c r="J157" s="309">
        <f>'J) Plafonnement effort'!J157</f>
        <v>0</v>
      </c>
      <c r="K157" s="306">
        <f>'L) Plafonnement taux'!Q158</f>
        <v>0</v>
      </c>
      <c r="L157" s="304">
        <f t="shared" si="6"/>
        <v>1955974.8101414943</v>
      </c>
      <c r="M157" s="229">
        <f>'M) Police'!N157</f>
        <v>67443.52435229563</v>
      </c>
      <c r="N157" s="229">
        <f t="shared" si="7"/>
        <v>2023418.3344937898</v>
      </c>
      <c r="O157" s="309">
        <f t="shared" si="8"/>
        <v>956783.43066474819</v>
      </c>
      <c r="P157" s="311"/>
    </row>
    <row r="158" spans="1:16" s="152" customFormat="1" x14ac:dyDescent="0.25">
      <c r="A158" s="149">
        <f>'B) D RI'!A159</f>
        <v>5652</v>
      </c>
      <c r="B158" s="150" t="str">
        <f>'B) D RI'!B159</f>
        <v>Villars-sous-Yens</v>
      </c>
      <c r="C158" s="307">
        <f>'B) D RI'!S159</f>
        <v>76</v>
      </c>
      <c r="D158" s="151">
        <f>'B) D RI'!AA159</f>
        <v>626</v>
      </c>
      <c r="E158" s="305">
        <f>'D) Ecrêtage'!C158</f>
        <v>25902.630833333329</v>
      </c>
      <c r="F158" s="309">
        <f>'E) PCS'!G164</f>
        <v>346405.00831998943</v>
      </c>
      <c r="G158" s="306">
        <f>'H) Péréquation directe'!I168</f>
        <v>303866.9732085038</v>
      </c>
      <c r="H158" s="309">
        <f>+'I) Dépenses thématiques'!T158</f>
        <v>-26180.215000000026</v>
      </c>
      <c r="I158" s="306">
        <f>'K) Plafonnement aide'!J158</f>
        <v>0</v>
      </c>
      <c r="J158" s="309">
        <f>'J) Plafonnement effort'!J158</f>
        <v>0</v>
      </c>
      <c r="K158" s="306">
        <f>'L) Plafonnement taux'!Q159</f>
        <v>0</v>
      </c>
      <c r="L158" s="304">
        <f t="shared" si="6"/>
        <v>624091.76652849326</v>
      </c>
      <c r="M158" s="229">
        <f>'M) Police'!N158</f>
        <v>78989.550570847787</v>
      </c>
      <c r="N158" s="229">
        <f t="shared" si="7"/>
        <v>703081.31709934107</v>
      </c>
      <c r="O158" s="309">
        <f t="shared" si="8"/>
        <v>277686.75820850377</v>
      </c>
      <c r="P158" s="311"/>
    </row>
    <row r="159" spans="1:16" s="152" customFormat="1" x14ac:dyDescent="0.25">
      <c r="A159" s="149">
        <f>'B) D RI'!A160</f>
        <v>5653</v>
      </c>
      <c r="B159" s="150" t="str">
        <f>'B) D RI'!B160</f>
        <v>Vufflens-le-Château</v>
      </c>
      <c r="C159" s="307">
        <f>'B) D RI'!S160</f>
        <v>58.5</v>
      </c>
      <c r="D159" s="151">
        <f>'B) D RI'!AA160</f>
        <v>894</v>
      </c>
      <c r="E159" s="305">
        <f>'D) Ecrêtage'!C159</f>
        <v>67687.367350427332</v>
      </c>
      <c r="F159" s="309">
        <f>'E) PCS'!G165</f>
        <v>1386658.6630526036</v>
      </c>
      <c r="G159" s="306">
        <f>'H) Péréquation directe'!I169</f>
        <v>1151129.1419877473</v>
      </c>
      <c r="H159" s="309">
        <f>+'I) Dépenses thématiques'!T159</f>
        <v>0</v>
      </c>
      <c r="I159" s="306">
        <f>'K) Plafonnement aide'!J159</f>
        <v>0</v>
      </c>
      <c r="J159" s="309">
        <f>'J) Plafonnement effort'!J159</f>
        <v>0</v>
      </c>
      <c r="K159" s="306">
        <f>'L) Plafonnement taux'!Q160</f>
        <v>0</v>
      </c>
      <c r="L159" s="304">
        <f t="shared" si="6"/>
        <v>2537787.8050403511</v>
      </c>
      <c r="M159" s="229">
        <f>'M) Police'!N159</f>
        <v>159020.63715148153</v>
      </c>
      <c r="N159" s="229">
        <f t="shared" si="7"/>
        <v>2696808.4421918327</v>
      </c>
      <c r="O159" s="309">
        <f t="shared" si="8"/>
        <v>1151129.1419877473</v>
      </c>
      <c r="P159" s="311"/>
    </row>
    <row r="160" spans="1:16" s="152" customFormat="1" x14ac:dyDescent="0.25">
      <c r="A160" s="149">
        <f>'B) D RI'!A161</f>
        <v>5654</v>
      </c>
      <c r="B160" s="150" t="str">
        <f>'B) D RI'!B161</f>
        <v>Vullierens</v>
      </c>
      <c r="C160" s="307">
        <f>'B) D RI'!S161</f>
        <v>76</v>
      </c>
      <c r="D160" s="151">
        <f>'B) D RI'!AA161</f>
        <v>560</v>
      </c>
      <c r="E160" s="305">
        <f>'D) Ecrêtage'!C160</f>
        <v>20665.692500000001</v>
      </c>
      <c r="F160" s="309">
        <f>'E) PCS'!G166</f>
        <v>338534.38230655732</v>
      </c>
      <c r="G160" s="306">
        <f>'H) Péréquation directe'!I170</f>
        <v>167271.02665517872</v>
      </c>
      <c r="H160" s="309">
        <f>+'I) Dépenses thématiques'!T160</f>
        <v>-102282.345</v>
      </c>
      <c r="I160" s="306">
        <f>'K) Plafonnement aide'!J160</f>
        <v>0</v>
      </c>
      <c r="J160" s="309">
        <f>'J) Plafonnement effort'!J160</f>
        <v>0</v>
      </c>
      <c r="K160" s="306">
        <f>'L) Plafonnement taux'!Q161</f>
        <v>0</v>
      </c>
      <c r="L160" s="304">
        <f t="shared" si="6"/>
        <v>403523.06396173604</v>
      </c>
      <c r="M160" s="229">
        <f>'M) Police'!N160</f>
        <v>62489.225475284984</v>
      </c>
      <c r="N160" s="229">
        <f t="shared" si="7"/>
        <v>466012.28943702101</v>
      </c>
      <c r="O160" s="309">
        <f t="shared" si="8"/>
        <v>64988.68165517872</v>
      </c>
      <c r="P160" s="311"/>
    </row>
    <row r="161" spans="1:16" s="152" customFormat="1" x14ac:dyDescent="0.25">
      <c r="A161" s="149">
        <f>'B) D RI'!A162</f>
        <v>5655</v>
      </c>
      <c r="B161" s="150" t="str">
        <f>'B) D RI'!B162</f>
        <v>Yens</v>
      </c>
      <c r="C161" s="307">
        <f>'B) D RI'!S162</f>
        <v>71.5</v>
      </c>
      <c r="D161" s="151">
        <f>'B) D RI'!AA162</f>
        <v>1499</v>
      </c>
      <c r="E161" s="305">
        <f>'D) Ecrêtage'!C161</f>
        <v>73454.856083916078</v>
      </c>
      <c r="F161" s="309">
        <f>'E) PCS'!G167</f>
        <v>987704.15655039693</v>
      </c>
      <c r="G161" s="306">
        <f>'H) Péréquation directe'!I171</f>
        <v>1071195.1502696322</v>
      </c>
      <c r="H161" s="309">
        <f>+'I) Dépenses thématiques'!T161</f>
        <v>0</v>
      </c>
      <c r="I161" s="306">
        <f>'K) Plafonnement aide'!J161</f>
        <v>0</v>
      </c>
      <c r="J161" s="309">
        <f>'J) Plafonnement effort'!J161</f>
        <v>0</v>
      </c>
      <c r="K161" s="306">
        <f>'L) Plafonnement taux'!Q162</f>
        <v>0</v>
      </c>
      <c r="L161" s="304">
        <f t="shared" si="6"/>
        <v>2058899.3068200292</v>
      </c>
      <c r="M161" s="229">
        <f>'M) Police'!N161</f>
        <v>219832.85899942118</v>
      </c>
      <c r="N161" s="229">
        <f t="shared" si="7"/>
        <v>2278732.1658194503</v>
      </c>
      <c r="O161" s="309">
        <f t="shared" si="8"/>
        <v>1071195.1502696322</v>
      </c>
      <c r="P161" s="311"/>
    </row>
    <row r="162" spans="1:16" s="152" customFormat="1" x14ac:dyDescent="0.25">
      <c r="A162" s="149">
        <f>'B) D RI'!A163</f>
        <v>5661</v>
      </c>
      <c r="B162" s="150" t="str">
        <f>'B) D RI'!B163</f>
        <v>Boulens</v>
      </c>
      <c r="C162" s="307">
        <f>'B) D RI'!S163</f>
        <v>71.5</v>
      </c>
      <c r="D162" s="151">
        <f>'B) D RI'!AA163</f>
        <v>371</v>
      </c>
      <c r="E162" s="305">
        <f>'D) Ecrêtage'!C162</f>
        <v>11226.588951048951</v>
      </c>
      <c r="F162" s="309">
        <f>'E) PCS'!G168</f>
        <v>166623.12550311908</v>
      </c>
      <c r="G162" s="306">
        <f>'H) Péréquation directe'!I172</f>
        <v>25821.146017897438</v>
      </c>
      <c r="H162" s="309">
        <f>+'I) Dépenses thématiques'!T162</f>
        <v>-17354.774580419584</v>
      </c>
      <c r="I162" s="306">
        <f>'K) Plafonnement aide'!J162</f>
        <v>0</v>
      </c>
      <c r="J162" s="309">
        <f>'J) Plafonnement effort'!J162</f>
        <v>0</v>
      </c>
      <c r="K162" s="306">
        <f>'L) Plafonnement taux'!Q163</f>
        <v>0</v>
      </c>
      <c r="L162" s="304">
        <f t="shared" si="6"/>
        <v>175089.49694059693</v>
      </c>
      <c r="M162" s="229">
        <f>'M) Police'!N162</f>
        <v>33863.782021694562</v>
      </c>
      <c r="N162" s="229">
        <f t="shared" si="7"/>
        <v>208953.27896229149</v>
      </c>
      <c r="O162" s="309">
        <f t="shared" si="8"/>
        <v>8466.3714374778538</v>
      </c>
      <c r="P162" s="311"/>
    </row>
    <row r="163" spans="1:16" s="152" customFormat="1" x14ac:dyDescent="0.25">
      <c r="A163" s="149">
        <f>'B) D RI'!A164</f>
        <v>5663</v>
      </c>
      <c r="B163" s="150" t="str">
        <f>'B) D RI'!B164</f>
        <v>Bussy-sur-Moudon</v>
      </c>
      <c r="C163" s="307">
        <f>'B) D RI'!S164</f>
        <v>78.5</v>
      </c>
      <c r="D163" s="151">
        <f>'B) D RI'!AA164</f>
        <v>236</v>
      </c>
      <c r="E163" s="305">
        <f>'D) Ecrêtage'!C163</f>
        <v>5263.6754140127387</v>
      </c>
      <c r="F163" s="309">
        <f>'E) PCS'!G169</f>
        <v>76810.439040021403</v>
      </c>
      <c r="G163" s="306">
        <f>'H) Péréquation directe'!I173</f>
        <v>-82759.758395908822</v>
      </c>
      <c r="H163" s="309">
        <f>+'I) Dépenses thématiques'!T163</f>
        <v>-10936.947515923568</v>
      </c>
      <c r="I163" s="306">
        <f>'K) Plafonnement aide'!J163</f>
        <v>0</v>
      </c>
      <c r="J163" s="309">
        <f>'J) Plafonnement effort'!J163</f>
        <v>0</v>
      </c>
      <c r="K163" s="306">
        <f>'L) Plafonnement taux'!Q164</f>
        <v>0</v>
      </c>
      <c r="L163" s="304">
        <f t="shared" si="6"/>
        <v>-16886.266871810985</v>
      </c>
      <c r="M163" s="229">
        <f>'M) Police'!N163</f>
        <v>15806.914320821874</v>
      </c>
      <c r="N163" s="229">
        <f t="shared" si="7"/>
        <v>-1079.3525509891115</v>
      </c>
      <c r="O163" s="309">
        <f t="shared" si="8"/>
        <v>-93696.705911832396</v>
      </c>
      <c r="P163" s="311"/>
    </row>
    <row r="164" spans="1:16" s="152" customFormat="1" x14ac:dyDescent="0.25">
      <c r="A164" s="149">
        <f>'B) D RI'!A165</f>
        <v>5665</v>
      </c>
      <c r="B164" s="150" t="str">
        <f>'B) D RI'!B165</f>
        <v>Chavannes-sur-Moudon</v>
      </c>
      <c r="C164" s="307">
        <f>'B) D RI'!S165</f>
        <v>70</v>
      </c>
      <c r="D164" s="151">
        <f>'B) D RI'!AA165</f>
        <v>222</v>
      </c>
      <c r="E164" s="305">
        <f>'D) Ecrêtage'!C164</f>
        <v>4920.86942857143</v>
      </c>
      <c r="F164" s="309">
        <f>'E) PCS'!G170</f>
        <v>65355.940812549336</v>
      </c>
      <c r="G164" s="306">
        <f>'H) Péréquation directe'!I174</f>
        <v>-49824.786925347915</v>
      </c>
      <c r="H164" s="309">
        <f>+'I) Dépenses thématiques'!T164</f>
        <v>-2566.5334285714198</v>
      </c>
      <c r="I164" s="306">
        <f>'K) Plafonnement aide'!J164</f>
        <v>0</v>
      </c>
      <c r="J164" s="309">
        <f>'J) Plafonnement effort'!J164</f>
        <v>0</v>
      </c>
      <c r="K164" s="306">
        <f>'L) Plafonnement taux'!Q165</f>
        <v>0</v>
      </c>
      <c r="L164" s="304">
        <f t="shared" si="6"/>
        <v>12964.620458630001</v>
      </c>
      <c r="M164" s="229">
        <f>'M) Police'!N164</f>
        <v>14776.442275973535</v>
      </c>
      <c r="N164" s="229">
        <f t="shared" si="7"/>
        <v>27741.062734603536</v>
      </c>
      <c r="O164" s="309">
        <f t="shared" si="8"/>
        <v>-52391.320353919335</v>
      </c>
      <c r="P164" s="311"/>
    </row>
    <row r="165" spans="1:16" s="152" customFormat="1" x14ac:dyDescent="0.25">
      <c r="A165" s="149">
        <f>'B) D RI'!A166</f>
        <v>5669</v>
      </c>
      <c r="B165" s="150" t="str">
        <f>'B) D RI'!B166</f>
        <v>Curtilles</v>
      </c>
      <c r="C165" s="307">
        <f>'B) D RI'!S166</f>
        <v>73</v>
      </c>
      <c r="D165" s="151">
        <f>'B) D RI'!AA166</f>
        <v>296</v>
      </c>
      <c r="E165" s="305">
        <f>'D) Ecrêtage'!C165</f>
        <v>9338.3773972602739</v>
      </c>
      <c r="F165" s="309">
        <f>'E) PCS'!G171</f>
        <v>158714.82322497573</v>
      </c>
      <c r="G165" s="306">
        <f>'H) Péréquation directe'!I175</f>
        <v>31185.12474887498</v>
      </c>
      <c r="H165" s="309">
        <f>+'I) Dépenses thématiques'!T165</f>
        <v>-55.485616438356374</v>
      </c>
      <c r="I165" s="306">
        <f>'K) Plafonnement aide'!J165</f>
        <v>0</v>
      </c>
      <c r="J165" s="309">
        <f>'J) Plafonnement effort'!J165</f>
        <v>0</v>
      </c>
      <c r="K165" s="306">
        <f>'L) Plafonnement taux'!Q166</f>
        <v>0</v>
      </c>
      <c r="L165" s="304">
        <f t="shared" si="6"/>
        <v>189844.46235741235</v>
      </c>
      <c r="M165" s="229">
        <f>'M) Police'!N165</f>
        <v>28299.35258526972</v>
      </c>
      <c r="N165" s="229">
        <f t="shared" si="7"/>
        <v>218143.81494268207</v>
      </c>
      <c r="O165" s="309">
        <f t="shared" si="8"/>
        <v>31129.639132436623</v>
      </c>
      <c r="P165" s="311"/>
    </row>
    <row r="166" spans="1:16" s="152" customFormat="1" x14ac:dyDescent="0.25">
      <c r="A166" s="149">
        <f>'B) D RI'!A167</f>
        <v>5671</v>
      </c>
      <c r="B166" s="150" t="str">
        <f>'B) D RI'!B167</f>
        <v>Dompierre</v>
      </c>
      <c r="C166" s="307">
        <f>'B) D RI'!S167</f>
        <v>78</v>
      </c>
      <c r="D166" s="151">
        <f>'B) D RI'!AA167</f>
        <v>246</v>
      </c>
      <c r="E166" s="305">
        <f>'D) Ecrêtage'!C166</f>
        <v>6463.9784615384606</v>
      </c>
      <c r="F166" s="309">
        <f>'E) PCS'!G172</f>
        <v>132231.02023627216</v>
      </c>
      <c r="G166" s="306">
        <f>'H) Péréquation directe'!I176</f>
        <v>-42283.892419603217</v>
      </c>
      <c r="H166" s="309">
        <f>+'I) Dépenses thématiques'!T166</f>
        <v>0</v>
      </c>
      <c r="I166" s="306">
        <f>'K) Plafonnement aide'!J166</f>
        <v>0</v>
      </c>
      <c r="J166" s="309">
        <f>'J) Plafonnement effort'!J166</f>
        <v>0</v>
      </c>
      <c r="K166" s="306">
        <f>'L) Plafonnement taux'!Q167</f>
        <v>0</v>
      </c>
      <c r="L166" s="304">
        <f t="shared" si="6"/>
        <v>89947.127816668944</v>
      </c>
      <c r="M166" s="229">
        <f>'M) Police'!N166</f>
        <v>19536.651255833036</v>
      </c>
      <c r="N166" s="229">
        <f t="shared" si="7"/>
        <v>109483.77907250199</v>
      </c>
      <c r="O166" s="309">
        <f t="shared" si="8"/>
        <v>-42283.892419603217</v>
      </c>
      <c r="P166" s="311"/>
    </row>
    <row r="167" spans="1:16" s="152" customFormat="1" x14ac:dyDescent="0.25">
      <c r="A167" s="149">
        <f>'B) D RI'!A168</f>
        <v>5673</v>
      </c>
      <c r="B167" s="150" t="str">
        <f>'B) D RI'!B168</f>
        <v>Hermenches</v>
      </c>
      <c r="C167" s="307">
        <f>'B) D RI'!S168</f>
        <v>73.5</v>
      </c>
      <c r="D167" s="151">
        <f>'B) D RI'!AA168</f>
        <v>371</v>
      </c>
      <c r="E167" s="305">
        <f>'D) Ecrêtage'!C167</f>
        <v>10227.295238095237</v>
      </c>
      <c r="F167" s="309">
        <f>'E) PCS'!G173</f>
        <v>130001.1938075959</v>
      </c>
      <c r="G167" s="306">
        <f>'H) Péréquation directe'!I177</f>
        <v>-22170.950611848762</v>
      </c>
      <c r="H167" s="309">
        <f>+'I) Dépenses thématiques'!T167</f>
        <v>-218477.50714285712</v>
      </c>
      <c r="I167" s="306">
        <f>'K) Plafonnement aide'!J167</f>
        <v>0</v>
      </c>
      <c r="J167" s="309">
        <f>'J) Plafonnement effort'!J167</f>
        <v>0</v>
      </c>
      <c r="K167" s="306">
        <f>'L) Plafonnement taux'!Q168</f>
        <v>0</v>
      </c>
      <c r="L167" s="304">
        <f t="shared" ref="L167:L219" si="9">F167+G167+H167+I167+J167+K167</f>
        <v>-110647.26394710998</v>
      </c>
      <c r="M167" s="229">
        <f>'M) Police'!N167</f>
        <v>31039.297283668202</v>
      </c>
      <c r="N167" s="229">
        <f t="shared" si="7"/>
        <v>-79607.966663441781</v>
      </c>
      <c r="O167" s="309">
        <f t="shared" si="8"/>
        <v>-240648.45775470589</v>
      </c>
      <c r="P167" s="311"/>
    </row>
    <row r="168" spans="1:16" s="152" customFormat="1" x14ac:dyDescent="0.25">
      <c r="A168" s="149">
        <f>'B) D RI'!A169</f>
        <v>5674</v>
      </c>
      <c r="B168" s="150" t="str">
        <f>'B) D RI'!B169</f>
        <v>Lovatens</v>
      </c>
      <c r="C168" s="307">
        <f>'B) D RI'!S169</f>
        <v>75</v>
      </c>
      <c r="D168" s="151">
        <f>'B) D RI'!AA169</f>
        <v>146</v>
      </c>
      <c r="E168" s="305">
        <f>'D) Ecrêtage'!C168</f>
        <v>4222.7234666666664</v>
      </c>
      <c r="F168" s="309">
        <f>'E) PCS'!G174</f>
        <v>70504.273900780914</v>
      </c>
      <c r="G168" s="306">
        <f>'H) Péréquation directe'!I178</f>
        <v>-3288.9843718369521</v>
      </c>
      <c r="H168" s="309">
        <f>+'I) Dépenses thématiques'!T168</f>
        <v>-25704.909200000002</v>
      </c>
      <c r="I168" s="306">
        <f>'K) Plafonnement aide'!J168</f>
        <v>0</v>
      </c>
      <c r="J168" s="309">
        <f>'J) Plafonnement effort'!J168</f>
        <v>0</v>
      </c>
      <c r="K168" s="306">
        <f>'L) Plafonnement taux'!Q169</f>
        <v>0</v>
      </c>
      <c r="L168" s="304">
        <f t="shared" si="9"/>
        <v>41510.38032894396</v>
      </c>
      <c r="M168" s="229">
        <f>'M) Police'!N168</f>
        <v>12696.892870736021</v>
      </c>
      <c r="N168" s="229">
        <f t="shared" si="7"/>
        <v>54207.273199679985</v>
      </c>
      <c r="O168" s="309">
        <f t="shared" si="8"/>
        <v>-28993.893571836954</v>
      </c>
      <c r="P168" s="311"/>
    </row>
    <row r="169" spans="1:16" s="152" customFormat="1" x14ac:dyDescent="0.25">
      <c r="A169" s="149">
        <f>'B) D RI'!A170</f>
        <v>5675</v>
      </c>
      <c r="B169" s="150" t="str">
        <f>'B) D RI'!B170</f>
        <v>Lucens</v>
      </c>
      <c r="C169" s="307">
        <f>'B) D RI'!S170</f>
        <v>67.5</v>
      </c>
      <c r="D169" s="151">
        <f>'B) D RI'!AA170</f>
        <v>4373</v>
      </c>
      <c r="E169" s="305">
        <f>'D) Ecrêtage'!C169</f>
        <v>105170.58216835017</v>
      </c>
      <c r="F169" s="309">
        <f>'E) PCS'!G175</f>
        <v>1809950.6354712255</v>
      </c>
      <c r="G169" s="306">
        <f>'H) Péréquation directe'!I179</f>
        <v>-1483362.0189162623</v>
      </c>
      <c r="H169" s="309">
        <f>+'I) Dépenses thématiques'!T169</f>
        <v>-527562.25698989898</v>
      </c>
      <c r="I169" s="306">
        <f>'K) Plafonnement aide'!J169</f>
        <v>0</v>
      </c>
      <c r="J169" s="309">
        <f>'J) Plafonnement effort'!J169</f>
        <v>0</v>
      </c>
      <c r="K169" s="306">
        <f>'L) Plafonnement taux'!Q170</f>
        <v>0</v>
      </c>
      <c r="L169" s="304">
        <f t="shared" ref="L169" si="10">F169+G169+H169+I169+J169+K169</f>
        <v>-200973.64043493581</v>
      </c>
      <c r="M169" s="229">
        <f>'M) Police'!N169</f>
        <v>311508.26897066529</v>
      </c>
      <c r="N169" s="229">
        <f t="shared" ref="N169" si="11">L169+M169</f>
        <v>110534.62853572948</v>
      </c>
      <c r="O169" s="309">
        <f t="shared" si="8"/>
        <v>-2010924.2759061614</v>
      </c>
      <c r="P169" s="311"/>
    </row>
    <row r="170" spans="1:16" s="152" customFormat="1" x14ac:dyDescent="0.25">
      <c r="A170" s="149">
        <f>'B) D RI'!A171</f>
        <v>5678</v>
      </c>
      <c r="B170" s="150" t="str">
        <f>'B) D RI'!B171</f>
        <v>Moudon</v>
      </c>
      <c r="C170" s="307">
        <f>'B) D RI'!S171</f>
        <v>72.5</v>
      </c>
      <c r="D170" s="151">
        <f>'B) D RI'!AA171</f>
        <v>6120</v>
      </c>
      <c r="E170" s="305">
        <f>'D) Ecrêtage'!C170</f>
        <v>124836.852</v>
      </c>
      <c r="F170" s="309">
        <f>'E) PCS'!G176</f>
        <v>2457953.0282815187</v>
      </c>
      <c r="G170" s="306">
        <f>'H) Péréquation directe'!I180</f>
        <v>-3759371.4450187078</v>
      </c>
      <c r="H170" s="309">
        <f>+'I) Dépenses thématiques'!T170</f>
        <v>-1335147.8879999998</v>
      </c>
      <c r="I170" s="306">
        <f>'K) Plafonnement aide'!J170</f>
        <v>302723.60073718906</v>
      </c>
      <c r="J170" s="309">
        <f>'J) Plafonnement effort'!J170</f>
        <v>0</v>
      </c>
      <c r="K170" s="306">
        <f>'L) Plafonnement taux'!Q171</f>
        <v>0</v>
      </c>
      <c r="L170" s="304">
        <f t="shared" si="9"/>
        <v>-2333842.7039999999</v>
      </c>
      <c r="M170" s="229">
        <f>'M) Police'!N170</f>
        <v>369357.92436126038</v>
      </c>
      <c r="N170" s="229">
        <f t="shared" si="7"/>
        <v>-1964484.7796387395</v>
      </c>
      <c r="O170" s="309">
        <f t="shared" si="8"/>
        <v>-4791795.7322815182</v>
      </c>
      <c r="P170" s="311"/>
    </row>
    <row r="171" spans="1:16" s="152" customFormat="1" x14ac:dyDescent="0.25">
      <c r="A171" s="149">
        <f>'B) D RI'!A172</f>
        <v>5680</v>
      </c>
      <c r="B171" s="150" t="str">
        <f>'B) D RI'!B172</f>
        <v>Ogens</v>
      </c>
      <c r="C171" s="307">
        <f>'B) D RI'!S172</f>
        <v>78</v>
      </c>
      <c r="D171" s="151">
        <f>'B) D RI'!AA172</f>
        <v>321</v>
      </c>
      <c r="E171" s="305">
        <f>'D) Ecrêtage'!C171</f>
        <v>8501.5391880341886</v>
      </c>
      <c r="F171" s="309">
        <f>'E) PCS'!G177</f>
        <v>128782.35035401295</v>
      </c>
      <c r="G171" s="306">
        <f>'H) Péréquation directe'!I181</f>
        <v>-52304.485721549689</v>
      </c>
      <c r="H171" s="309">
        <f>+'I) Dépenses thématiques'!T171</f>
        <v>-18397.610480769228</v>
      </c>
      <c r="I171" s="306">
        <f>'K) Plafonnement aide'!J171</f>
        <v>0</v>
      </c>
      <c r="J171" s="309">
        <f>'J) Plafonnement effort'!J171</f>
        <v>0</v>
      </c>
      <c r="K171" s="306">
        <f>'L) Plafonnement taux'!Q172</f>
        <v>0</v>
      </c>
      <c r="L171" s="304">
        <f t="shared" si="9"/>
        <v>58080.254151694025</v>
      </c>
      <c r="M171" s="229">
        <f>'M) Police'!N171</f>
        <v>25616.554355076372</v>
      </c>
      <c r="N171" s="229">
        <f t="shared" si="7"/>
        <v>83696.808506770394</v>
      </c>
      <c r="O171" s="309">
        <f t="shared" si="8"/>
        <v>-70702.09620231892</v>
      </c>
      <c r="P171" s="311"/>
    </row>
    <row r="172" spans="1:16" s="152" customFormat="1" x14ac:dyDescent="0.25">
      <c r="A172" s="149">
        <f>'B) D RI'!A173</f>
        <v>5683</v>
      </c>
      <c r="B172" s="150" t="str">
        <f>'B) D RI'!B173</f>
        <v>Prévonloup</v>
      </c>
      <c r="C172" s="307">
        <f>'B) D RI'!S173</f>
        <v>72.5</v>
      </c>
      <c r="D172" s="151">
        <f>'B) D RI'!AA173</f>
        <v>215</v>
      </c>
      <c r="E172" s="305">
        <f>'D) Ecrêtage'!C172</f>
        <v>5386.44</v>
      </c>
      <c r="F172" s="309">
        <f>'E) PCS'!G178</f>
        <v>87139.608741171265</v>
      </c>
      <c r="G172" s="306">
        <f>'H) Péréquation directe'!I182</f>
        <v>-31664.78331241844</v>
      </c>
      <c r="H172" s="309">
        <f>+'I) Dépenses thématiques'!T172</f>
        <v>0</v>
      </c>
      <c r="I172" s="306">
        <f>'K) Plafonnement aide'!J172</f>
        <v>0</v>
      </c>
      <c r="J172" s="309">
        <f>'J) Plafonnement effort'!J172</f>
        <v>0</v>
      </c>
      <c r="K172" s="306">
        <f>'L) Plafonnement taux'!Q173</f>
        <v>0</v>
      </c>
      <c r="L172" s="304">
        <f t="shared" si="9"/>
        <v>55474.825428752825</v>
      </c>
      <c r="M172" s="229">
        <f>'M) Police'!N172</f>
        <v>16205.081559474545</v>
      </c>
      <c r="N172" s="229">
        <f t="shared" si="7"/>
        <v>71679.906988227376</v>
      </c>
      <c r="O172" s="309">
        <f t="shared" si="8"/>
        <v>-31664.78331241844</v>
      </c>
      <c r="P172" s="311"/>
    </row>
    <row r="173" spans="1:16" s="152" customFormat="1" x14ac:dyDescent="0.25">
      <c r="A173" s="149">
        <f>'B) D RI'!A174</f>
        <v>5684</v>
      </c>
      <c r="B173" s="150" t="str">
        <f>'B) D RI'!B174</f>
        <v>Rossenges</v>
      </c>
      <c r="C173" s="307">
        <f>'B) D RI'!S174</f>
        <v>75</v>
      </c>
      <c r="D173" s="151">
        <f>'B) D RI'!AA174</f>
        <v>93</v>
      </c>
      <c r="E173" s="305">
        <f>'D) Ecrêtage'!C173</f>
        <v>3253.4816666666666</v>
      </c>
      <c r="F173" s="309">
        <f>'E) PCS'!G179</f>
        <v>39680.994487235315</v>
      </c>
      <c r="G173" s="306">
        <f>'H) Péréquation directe'!I183</f>
        <v>21083.121679207208</v>
      </c>
      <c r="H173" s="309">
        <f>+'I) Dépenses thématiques'!T173</f>
        <v>0</v>
      </c>
      <c r="I173" s="306">
        <f>'K) Plafonnement aide'!J173</f>
        <v>0</v>
      </c>
      <c r="J173" s="309">
        <f>'J) Plafonnement effort'!J173</f>
        <v>0</v>
      </c>
      <c r="K173" s="306">
        <f>'L) Plafonnement taux'!Q174</f>
        <v>0</v>
      </c>
      <c r="L173" s="304">
        <f t="shared" si="9"/>
        <v>60764.116166442524</v>
      </c>
      <c r="M173" s="229">
        <f>'M) Police'!N173</f>
        <v>10094.64393797853</v>
      </c>
      <c r="N173" s="229">
        <f t="shared" si="7"/>
        <v>70858.760104421061</v>
      </c>
      <c r="O173" s="309">
        <f t="shared" si="8"/>
        <v>21083.121679207208</v>
      </c>
      <c r="P173" s="311"/>
    </row>
    <row r="174" spans="1:16" s="152" customFormat="1" x14ac:dyDescent="0.25">
      <c r="A174" s="149">
        <f>'B) D RI'!A175</f>
        <v>5688</v>
      </c>
      <c r="B174" s="150" t="str">
        <f>'B) D RI'!B175</f>
        <v>Syens</v>
      </c>
      <c r="C174" s="307">
        <f>'B) D RI'!S175</f>
        <v>65</v>
      </c>
      <c r="D174" s="151">
        <f>'B) D RI'!AA175</f>
        <v>161</v>
      </c>
      <c r="E174" s="305">
        <f>'D) Ecrêtage'!C174</f>
        <v>6154.6576923076918</v>
      </c>
      <c r="F174" s="309">
        <f>'E) PCS'!G180</f>
        <v>88055.203474057373</v>
      </c>
      <c r="G174" s="306">
        <f>'H) Péréquation directe'!I184</f>
        <v>67122.153556638223</v>
      </c>
      <c r="H174" s="309">
        <f>+'I) Dépenses thématiques'!T174</f>
        <v>-24513.060576923079</v>
      </c>
      <c r="I174" s="306">
        <f>'K) Plafonnement aide'!J174</f>
        <v>0</v>
      </c>
      <c r="J174" s="309">
        <f>'J) Plafonnement effort'!J174</f>
        <v>0</v>
      </c>
      <c r="K174" s="306">
        <f>'L) Plafonnement taux'!Q175</f>
        <v>0</v>
      </c>
      <c r="L174" s="304">
        <f t="shared" si="9"/>
        <v>130664.29645377252</v>
      </c>
      <c r="M174" s="229">
        <f>'M) Police'!N174</f>
        <v>18740.266308948507</v>
      </c>
      <c r="N174" s="229">
        <f t="shared" si="7"/>
        <v>149404.56276272103</v>
      </c>
      <c r="O174" s="309">
        <f t="shared" si="8"/>
        <v>42609.092979715148</v>
      </c>
      <c r="P174" s="311"/>
    </row>
    <row r="175" spans="1:16" s="152" customFormat="1" x14ac:dyDescent="0.25">
      <c r="A175" s="149">
        <f>'B) D RI'!A176</f>
        <v>5690</v>
      </c>
      <c r="B175" s="150" t="str">
        <f>'B) D RI'!B176</f>
        <v>Villars-le-Comte</v>
      </c>
      <c r="C175" s="307">
        <f>'B) D RI'!S176</f>
        <v>70</v>
      </c>
      <c r="D175" s="151">
        <f>'B) D RI'!AA176</f>
        <v>133</v>
      </c>
      <c r="E175" s="305">
        <f>'D) Ecrêtage'!C175</f>
        <v>3510.0358095238093</v>
      </c>
      <c r="F175" s="309">
        <f>'E) PCS'!G181</f>
        <v>52517.29962613267</v>
      </c>
      <c r="G175" s="306">
        <f>'H) Péréquation directe'!I185</f>
        <v>-8369.6454957254391</v>
      </c>
      <c r="H175" s="309">
        <f>+'I) Dépenses thématiques'!T175</f>
        <v>-20979.535142857145</v>
      </c>
      <c r="I175" s="306">
        <f>'K) Plafonnement aide'!J175</f>
        <v>0</v>
      </c>
      <c r="J175" s="309">
        <f>'J) Plafonnement effort'!J175</f>
        <v>0</v>
      </c>
      <c r="K175" s="306">
        <f>'L) Plafonnement taux'!Q176</f>
        <v>0</v>
      </c>
      <c r="L175" s="304">
        <f t="shared" si="9"/>
        <v>23168.118987550086</v>
      </c>
      <c r="M175" s="229">
        <f>'M) Police'!N175</f>
        <v>10497.669632775312</v>
      </c>
      <c r="N175" s="229">
        <f t="shared" si="7"/>
        <v>33665.788620325402</v>
      </c>
      <c r="O175" s="309">
        <f t="shared" si="8"/>
        <v>-29349.180638582584</v>
      </c>
      <c r="P175" s="311"/>
    </row>
    <row r="176" spans="1:16" s="152" customFormat="1" x14ac:dyDescent="0.25">
      <c r="A176" s="149">
        <f>'B) D RI'!A177</f>
        <v>5692</v>
      </c>
      <c r="B176" s="150" t="str">
        <f>'B) D RI'!B177</f>
        <v>Vucherens</v>
      </c>
      <c r="C176" s="307">
        <f>'B) D RI'!S177</f>
        <v>77</v>
      </c>
      <c r="D176" s="151">
        <f>'B) D RI'!AA177</f>
        <v>623</v>
      </c>
      <c r="E176" s="305">
        <f>'D) Ecrêtage'!C176</f>
        <v>18793.189090909087</v>
      </c>
      <c r="F176" s="309">
        <f>'E) PCS'!G182</f>
        <v>329508.19395819074</v>
      </c>
      <c r="G176" s="306">
        <f>'H) Péréquation directe'!I186</f>
        <v>4021.4417808454018</v>
      </c>
      <c r="H176" s="309">
        <f>+'I) Dépenses thématiques'!T176</f>
        <v>-80128.115454545477</v>
      </c>
      <c r="I176" s="306">
        <f>'K) Plafonnement aide'!J176</f>
        <v>0</v>
      </c>
      <c r="J176" s="309">
        <f>'J) Plafonnement effort'!J176</f>
        <v>0</v>
      </c>
      <c r="K176" s="306">
        <f>'L) Plafonnement taux'!Q177</f>
        <v>0</v>
      </c>
      <c r="L176" s="304">
        <f t="shared" si="9"/>
        <v>253401.52028449066</v>
      </c>
      <c r="M176" s="229">
        <f>'M) Police'!N176</f>
        <v>56915.009856869816</v>
      </c>
      <c r="N176" s="229">
        <f t="shared" si="7"/>
        <v>310316.53014136048</v>
      </c>
      <c r="O176" s="309">
        <f t="shared" si="8"/>
        <v>-76106.673673700076</v>
      </c>
      <c r="P176" s="311"/>
    </row>
    <row r="177" spans="1:16" s="152" customFormat="1" x14ac:dyDescent="0.25">
      <c r="A177" s="149">
        <f>'B) D RI'!A178</f>
        <v>5693</v>
      </c>
      <c r="B177" s="150" t="str">
        <f>'B) D RI'!B178</f>
        <v>Montanaire</v>
      </c>
      <c r="C177" s="307">
        <f>'B) D RI'!S178</f>
        <v>70</v>
      </c>
      <c r="D177" s="151">
        <f>'B) D RI'!AA178</f>
        <v>2768</v>
      </c>
      <c r="E177" s="305">
        <f>'D) Ecrêtage'!C177</f>
        <v>75692.909285714297</v>
      </c>
      <c r="F177" s="309">
        <f>'E) PCS'!G183</f>
        <v>1184916.830813003</v>
      </c>
      <c r="G177" s="306">
        <f>'H) Péréquation directe'!I187</f>
        <v>-470201.27793661458</v>
      </c>
      <c r="H177" s="309">
        <f>+'I) Dépenses thématiques'!T177</f>
        <v>-493622.11232142849</v>
      </c>
      <c r="I177" s="306">
        <f>'K) Plafonnement aide'!J177</f>
        <v>0</v>
      </c>
      <c r="J177" s="309">
        <f>'J) Plafonnement effort'!J177</f>
        <v>0</v>
      </c>
      <c r="K177" s="306">
        <f>'L) Plafonnement taux'!Q178</f>
        <v>0</v>
      </c>
      <c r="L177" s="304">
        <f>F177+G177+H177+I177+J177+K177</f>
        <v>221093.44055495993</v>
      </c>
      <c r="M177" s="229">
        <f>'M) Police'!N177</f>
        <v>227331.55937602499</v>
      </c>
      <c r="N177" s="229">
        <f t="shared" si="7"/>
        <v>448424.99993098492</v>
      </c>
      <c r="O177" s="309">
        <f t="shared" si="8"/>
        <v>-963823.39025804307</v>
      </c>
      <c r="P177" s="311"/>
    </row>
    <row r="178" spans="1:16" s="152" customFormat="1" x14ac:dyDescent="0.25">
      <c r="A178" s="149">
        <f>'B) D RI'!A179</f>
        <v>5701</v>
      </c>
      <c r="B178" s="150" t="str">
        <f>'B) D RI'!B179</f>
        <v>Arnex-sur-Nyon</v>
      </c>
      <c r="C178" s="307">
        <f>'B) D RI'!S179</f>
        <v>70</v>
      </c>
      <c r="D178" s="151">
        <f>'B) D RI'!AA179</f>
        <v>226</v>
      </c>
      <c r="E178" s="305">
        <f>'D) Ecrêtage'!C178</f>
        <v>14488.714857142857</v>
      </c>
      <c r="F178" s="309">
        <f>'E) PCS'!G184</f>
        <v>317710.44268583407</v>
      </c>
      <c r="G178" s="306">
        <f>'H) Péréquation directe'!I188</f>
        <v>242082.35520780057</v>
      </c>
      <c r="H178" s="309">
        <f>+'I) Dépenses thématiques'!T178</f>
        <v>0</v>
      </c>
      <c r="I178" s="306">
        <f>'K) Plafonnement aide'!J178</f>
        <v>0</v>
      </c>
      <c r="J178" s="309">
        <f>'J) Plafonnement effort'!J178</f>
        <v>0</v>
      </c>
      <c r="K178" s="306">
        <f>'L) Plafonnement taux'!Q179</f>
        <v>0</v>
      </c>
      <c r="L178" s="304">
        <f>F178+G178+H178+I178+J178+K178</f>
        <v>559792.79789363465</v>
      </c>
      <c r="M178" s="229">
        <f>'M) Police'!N178</f>
        <v>37134.447068590329</v>
      </c>
      <c r="N178" s="229">
        <f t="shared" si="7"/>
        <v>596927.24496222497</v>
      </c>
      <c r="O178" s="309">
        <f t="shared" si="8"/>
        <v>242082.35520780057</v>
      </c>
      <c r="P178" s="311"/>
    </row>
    <row r="179" spans="1:16" s="152" customFormat="1" x14ac:dyDescent="0.25">
      <c r="A179" s="149">
        <f>'B) D RI'!A180</f>
        <v>5702</v>
      </c>
      <c r="B179" s="150" t="str">
        <f>'B) D RI'!B180</f>
        <v>Arzier-Le Muids</v>
      </c>
      <c r="C179" s="307">
        <f>'B) D RI'!S180</f>
        <v>64</v>
      </c>
      <c r="D179" s="151">
        <f>'B) D RI'!AA180</f>
        <v>2947</v>
      </c>
      <c r="E179" s="305">
        <f>'D) Ecrêtage'!C179</f>
        <v>174862.96255208339</v>
      </c>
      <c r="F179" s="309">
        <f>'E) PCS'!G185</f>
        <v>3326033.7989395461</v>
      </c>
      <c r="G179" s="306">
        <f>'H) Péréquation directe'!I189</f>
        <v>2457102.874456584</v>
      </c>
      <c r="H179" s="309">
        <f>+'I) Dépenses thématiques'!T179</f>
        <v>-468289.52808593743</v>
      </c>
      <c r="I179" s="306">
        <f>'K) Plafonnement aide'!J179</f>
        <v>0</v>
      </c>
      <c r="J179" s="309">
        <f>'J) Plafonnement effort'!J179</f>
        <v>0</v>
      </c>
      <c r="K179" s="306">
        <f>'L) Plafonnement taux'!Q180</f>
        <v>0</v>
      </c>
      <c r="L179" s="304">
        <f t="shared" si="9"/>
        <v>5314847.1453101924</v>
      </c>
      <c r="M179" s="229">
        <f>'M) Police'!N179</f>
        <v>467782.97609124845</v>
      </c>
      <c r="N179" s="229">
        <f t="shared" si="7"/>
        <v>5782630.1214014404</v>
      </c>
      <c r="O179" s="309">
        <f t="shared" si="8"/>
        <v>1988813.3463706465</v>
      </c>
      <c r="P179" s="311"/>
    </row>
    <row r="180" spans="1:16" s="152" customFormat="1" x14ac:dyDescent="0.25">
      <c r="A180" s="149">
        <f>'B) D RI'!A181</f>
        <v>5703</v>
      </c>
      <c r="B180" s="150" t="str">
        <f>'B) D RI'!B181</f>
        <v>Bassins</v>
      </c>
      <c r="C180" s="307">
        <f>'B) D RI'!S181</f>
        <v>72.5</v>
      </c>
      <c r="D180" s="151">
        <f>'B) D RI'!AA181</f>
        <v>1487</v>
      </c>
      <c r="E180" s="305">
        <f>'D) Ecrêtage'!C180</f>
        <v>66800.247822660094</v>
      </c>
      <c r="F180" s="309">
        <f>'E) PCS'!G186</f>
        <v>1063615.5090114367</v>
      </c>
      <c r="G180" s="306">
        <f>'H) Péréquation directe'!I190</f>
        <v>843078.56432174612</v>
      </c>
      <c r="H180" s="309">
        <f>+'I) Dépenses thématiques'!T180</f>
        <v>0</v>
      </c>
      <c r="I180" s="306">
        <f>'K) Plafonnement aide'!J180</f>
        <v>0</v>
      </c>
      <c r="J180" s="309">
        <f>'J) Plafonnement effort'!J180</f>
        <v>0</v>
      </c>
      <c r="K180" s="306">
        <f>'L) Plafonnement taux'!Q181</f>
        <v>0</v>
      </c>
      <c r="L180" s="304">
        <f t="shared" si="9"/>
        <v>1906694.0733331828</v>
      </c>
      <c r="M180" s="229">
        <f>'M) Police'!N180</f>
        <v>202312.88006226375</v>
      </c>
      <c r="N180" s="229">
        <f t="shared" si="7"/>
        <v>2109006.9533954468</v>
      </c>
      <c r="O180" s="309">
        <f t="shared" si="8"/>
        <v>843078.56432174612</v>
      </c>
      <c r="P180" s="311"/>
    </row>
    <row r="181" spans="1:16" s="152" customFormat="1" x14ac:dyDescent="0.25">
      <c r="A181" s="149">
        <f>'B) D RI'!A182</f>
        <v>5704</v>
      </c>
      <c r="B181" s="150" t="str">
        <f>'B) D RI'!B182</f>
        <v>Begnins</v>
      </c>
      <c r="C181" s="307">
        <f>'B) D RI'!S182</f>
        <v>62.5</v>
      </c>
      <c r="D181" s="151">
        <f>'B) D RI'!AA182</f>
        <v>1941</v>
      </c>
      <c r="E181" s="305">
        <f>'D) Ecrêtage'!C181</f>
        <v>202343.35360000003</v>
      </c>
      <c r="F181" s="309">
        <f>'E) PCS'!G187</f>
        <v>5177997.7296839673</v>
      </c>
      <c r="G181" s="306">
        <f>'H) Péréquation directe'!I191</f>
        <v>3321119.3800074523</v>
      </c>
      <c r="H181" s="309">
        <f>+'I) Dépenses thématiques'!T181</f>
        <v>0</v>
      </c>
      <c r="I181" s="306">
        <f>'K) Plafonnement aide'!J181</f>
        <v>0</v>
      </c>
      <c r="J181" s="309">
        <f>'J) Plafonnement effort'!J181</f>
        <v>0</v>
      </c>
      <c r="K181" s="306">
        <f>'L) Plafonnement taux'!Q182</f>
        <v>0</v>
      </c>
      <c r="L181" s="304">
        <f t="shared" si="9"/>
        <v>8499117.1096914187</v>
      </c>
      <c r="M181" s="229">
        <f>'M) Police'!N181</f>
        <v>409996.60877336608</v>
      </c>
      <c r="N181" s="229">
        <f t="shared" si="7"/>
        <v>8909113.7184647843</v>
      </c>
      <c r="O181" s="309">
        <f t="shared" si="8"/>
        <v>3321119.3800074523</v>
      </c>
      <c r="P181" s="311"/>
    </row>
    <row r="182" spans="1:16" s="152" customFormat="1" x14ac:dyDescent="0.25">
      <c r="A182" s="149">
        <f>'B) D RI'!A183</f>
        <v>5705</v>
      </c>
      <c r="B182" s="150" t="str">
        <f>'B) D RI'!B183</f>
        <v>Bogis-Bossey</v>
      </c>
      <c r="C182" s="307">
        <f>'B) D RI'!S183</f>
        <v>74.5</v>
      </c>
      <c r="D182" s="151">
        <f>'B) D RI'!AA183</f>
        <v>888</v>
      </c>
      <c r="E182" s="305">
        <f>'D) Ecrêtage'!C182</f>
        <v>51953.338389261742</v>
      </c>
      <c r="F182" s="309">
        <f>'E) PCS'!G188</f>
        <v>1056659.3216871815</v>
      </c>
      <c r="G182" s="306">
        <f>'H) Péréquation directe'!I192</f>
        <v>858371.76928431727</v>
      </c>
      <c r="H182" s="309">
        <f>+'I) Dépenses thématiques'!T182</f>
        <v>0</v>
      </c>
      <c r="I182" s="306">
        <f>'K) Plafonnement aide'!J182</f>
        <v>0</v>
      </c>
      <c r="J182" s="309">
        <f>'J) Plafonnement effort'!J182</f>
        <v>0</v>
      </c>
      <c r="K182" s="306">
        <f>'L) Plafonnement taux'!Q183</f>
        <v>0</v>
      </c>
      <c r="L182" s="304">
        <f t="shared" si="9"/>
        <v>1915031.0909714988</v>
      </c>
      <c r="M182" s="229">
        <f>'M) Police'!N182</f>
        <v>140092.49553018255</v>
      </c>
      <c r="N182" s="229">
        <f t="shared" si="7"/>
        <v>2055123.5865016812</v>
      </c>
      <c r="O182" s="309">
        <f t="shared" si="8"/>
        <v>858371.76928431727</v>
      </c>
      <c r="P182" s="311"/>
    </row>
    <row r="183" spans="1:16" s="152" customFormat="1" x14ac:dyDescent="0.25">
      <c r="A183" s="149">
        <f>'B) D RI'!A184</f>
        <v>5706</v>
      </c>
      <c r="B183" s="150" t="str">
        <f>'B) D RI'!B184</f>
        <v>Borex</v>
      </c>
      <c r="C183" s="307">
        <f>'B) D RI'!S184</f>
        <v>57</v>
      </c>
      <c r="D183" s="151">
        <f>'B) D RI'!AA184</f>
        <v>1165</v>
      </c>
      <c r="E183" s="305">
        <f>'D) Ecrêtage'!C183</f>
        <v>71207.99596491229</v>
      </c>
      <c r="F183" s="309">
        <f>'E) PCS'!G189</f>
        <v>1220962.4638088506</v>
      </c>
      <c r="G183" s="306">
        <f>'H) Péréquation directe'!I193</f>
        <v>1145946.5408918147</v>
      </c>
      <c r="H183" s="309">
        <f>+'I) Dépenses thématiques'!T183</f>
        <v>0</v>
      </c>
      <c r="I183" s="306">
        <f>'K) Plafonnement aide'!J183</f>
        <v>0</v>
      </c>
      <c r="J183" s="309">
        <f>'J) Plafonnement effort'!J183</f>
        <v>0</v>
      </c>
      <c r="K183" s="306">
        <f>'L) Plafonnement taux'!Q184</f>
        <v>0</v>
      </c>
      <c r="L183" s="304">
        <f t="shared" si="9"/>
        <v>2366909.0047006654</v>
      </c>
      <c r="M183" s="229">
        <f>'M) Police'!N183</f>
        <v>187355.97951384843</v>
      </c>
      <c r="N183" s="229">
        <f t="shared" si="7"/>
        <v>2554264.9842145136</v>
      </c>
      <c r="O183" s="309">
        <f t="shared" si="8"/>
        <v>1145946.5408918147</v>
      </c>
      <c r="P183" s="311"/>
    </row>
    <row r="184" spans="1:16" s="152" customFormat="1" x14ac:dyDescent="0.25">
      <c r="A184" s="149">
        <f>'B) D RI'!A185</f>
        <v>5707</v>
      </c>
      <c r="B184" s="150" t="str">
        <f>'B) D RI'!B185</f>
        <v>Chavannes-de-Bogis</v>
      </c>
      <c r="C184" s="307">
        <f>'B) D RI'!S185</f>
        <v>58</v>
      </c>
      <c r="D184" s="151">
        <f>'B) D RI'!AA185</f>
        <v>1330</v>
      </c>
      <c r="E184" s="305">
        <f>'D) Ecrêtage'!C184</f>
        <v>88021.415574712664</v>
      </c>
      <c r="F184" s="309">
        <f>'E) PCS'!G190</f>
        <v>2047014.2291470587</v>
      </c>
      <c r="G184" s="306">
        <f>'H) Péréquation directe'!I194</f>
        <v>1401953.7804073831</v>
      </c>
      <c r="H184" s="309">
        <f>+'I) Dépenses thématiques'!T184</f>
        <v>0</v>
      </c>
      <c r="I184" s="306">
        <f>'K) Plafonnement aide'!J184</f>
        <v>0</v>
      </c>
      <c r="J184" s="309">
        <f>'J) Plafonnement effort'!J184</f>
        <v>0</v>
      </c>
      <c r="K184" s="306">
        <f>'L) Plafonnement taux'!Q185</f>
        <v>0</v>
      </c>
      <c r="L184" s="304">
        <f t="shared" si="9"/>
        <v>3448968.009554442</v>
      </c>
      <c r="M184" s="229">
        <f>'M) Police'!N184</f>
        <v>221756.10083129531</v>
      </c>
      <c r="N184" s="229">
        <f t="shared" si="7"/>
        <v>3670724.1103857374</v>
      </c>
      <c r="O184" s="309">
        <f t="shared" si="8"/>
        <v>1401953.7804073831</v>
      </c>
      <c r="P184" s="311"/>
    </row>
    <row r="185" spans="1:16" s="152" customFormat="1" x14ac:dyDescent="0.25">
      <c r="A185" s="149">
        <f>'B) D RI'!A186</f>
        <v>5708</v>
      </c>
      <c r="B185" s="150" t="str">
        <f>'B) D RI'!B186</f>
        <v>Chavannes-des-Bois</v>
      </c>
      <c r="C185" s="307">
        <f>'B) D RI'!S186</f>
        <v>68</v>
      </c>
      <c r="D185" s="151">
        <f>'B) D RI'!AA186</f>
        <v>1005</v>
      </c>
      <c r="E185" s="305">
        <f>'D) Ecrêtage'!C185</f>
        <v>67001.640000000014</v>
      </c>
      <c r="F185" s="309">
        <f>'E) PCS'!G191</f>
        <v>1270802.4525848525</v>
      </c>
      <c r="G185" s="306">
        <f>'H) Péréquation directe'!I195</f>
        <v>1123367.6218061591</v>
      </c>
      <c r="H185" s="309">
        <f>+'I) Dépenses thématiques'!T185</f>
        <v>0</v>
      </c>
      <c r="I185" s="306">
        <f>'K) Plafonnement aide'!J185</f>
        <v>0</v>
      </c>
      <c r="J185" s="309">
        <f>'J) Plafonnement effort'!J185</f>
        <v>0</v>
      </c>
      <c r="K185" s="306">
        <f>'L) Plafonnement taux'!Q186</f>
        <v>0</v>
      </c>
      <c r="L185" s="304">
        <f t="shared" si="9"/>
        <v>2394170.0743910116</v>
      </c>
      <c r="M185" s="229">
        <f>'M) Police'!N185</f>
        <v>168139.4380607474</v>
      </c>
      <c r="N185" s="229">
        <f t="shared" si="7"/>
        <v>2562309.5124517591</v>
      </c>
      <c r="O185" s="309">
        <f t="shared" si="8"/>
        <v>1123367.6218061591</v>
      </c>
      <c r="P185" s="311"/>
    </row>
    <row r="186" spans="1:16" s="152" customFormat="1" x14ac:dyDescent="0.25">
      <c r="A186" s="149">
        <f>'B) D RI'!A187</f>
        <v>5709</v>
      </c>
      <c r="B186" s="150" t="str">
        <f>'B) D RI'!B187</f>
        <v>Chéserex</v>
      </c>
      <c r="C186" s="307">
        <f>'B) D RI'!S187</f>
        <v>57</v>
      </c>
      <c r="D186" s="151">
        <f>'B) D RI'!AA187</f>
        <v>1263</v>
      </c>
      <c r="E186" s="305">
        <f>'D) Ecrêtage'!C186</f>
        <v>88342.385614035084</v>
      </c>
      <c r="F186" s="309">
        <f>'E) PCS'!G192</f>
        <v>2405237.9398645842</v>
      </c>
      <c r="G186" s="306">
        <f>'H) Péréquation directe'!I196</f>
        <v>1431344.0394845579</v>
      </c>
      <c r="H186" s="309">
        <f>+'I) Dépenses thématiques'!T186</f>
        <v>0</v>
      </c>
      <c r="I186" s="306">
        <f>'K) Plafonnement aide'!J186</f>
        <v>0</v>
      </c>
      <c r="J186" s="309">
        <f>'J) Plafonnement effort'!J186</f>
        <v>0</v>
      </c>
      <c r="K186" s="306">
        <f>'L) Plafonnement taux'!Q187</f>
        <v>0</v>
      </c>
      <c r="L186" s="304">
        <f t="shared" si="9"/>
        <v>3836581.9793491419</v>
      </c>
      <c r="M186" s="229">
        <f>'M) Police'!N186</f>
        <v>216143.32278623959</v>
      </c>
      <c r="N186" s="229">
        <f t="shared" si="7"/>
        <v>4052725.3021353814</v>
      </c>
      <c r="O186" s="309">
        <f t="shared" si="8"/>
        <v>1431344.0394845579</v>
      </c>
      <c r="P186" s="311"/>
    </row>
    <row r="187" spans="1:16" s="152" customFormat="1" x14ac:dyDescent="0.25">
      <c r="A187" s="149">
        <f>'B) D RI'!A188</f>
        <v>5710</v>
      </c>
      <c r="B187" s="150" t="str">
        <f>'B) D RI'!B188</f>
        <v>Coinsins</v>
      </c>
      <c r="C187" s="307">
        <f>'B) D RI'!S188</f>
        <v>51</v>
      </c>
      <c r="D187" s="151">
        <f>'B) D RI'!AA188</f>
        <v>508</v>
      </c>
      <c r="E187" s="305">
        <f>'D) Ecrêtage'!C187</f>
        <v>43412.265098039228</v>
      </c>
      <c r="F187" s="309">
        <f>'E) PCS'!G193</f>
        <v>918982.05311377486</v>
      </c>
      <c r="G187" s="306">
        <f>'H) Péréquation directe'!I197</f>
        <v>746449.23013019154</v>
      </c>
      <c r="H187" s="309">
        <f>+'I) Dépenses thématiques'!T187</f>
        <v>0</v>
      </c>
      <c r="I187" s="306">
        <f>'K) Plafonnement aide'!J187</f>
        <v>0</v>
      </c>
      <c r="J187" s="309">
        <f>'J) Plafonnement effort'!J187</f>
        <v>0</v>
      </c>
      <c r="K187" s="306">
        <f>'L) Plafonnement taux'!Q188</f>
        <v>0</v>
      </c>
      <c r="L187" s="304">
        <f t="shared" si="9"/>
        <v>1665431.2832439663</v>
      </c>
      <c r="M187" s="229">
        <f>'M) Police'!N187</f>
        <v>96147.008307784854</v>
      </c>
      <c r="N187" s="229">
        <f t="shared" si="7"/>
        <v>1761578.2915517511</v>
      </c>
      <c r="O187" s="309">
        <f t="shared" si="8"/>
        <v>746449.23013019154</v>
      </c>
      <c r="P187" s="311"/>
    </row>
    <row r="188" spans="1:16" s="152" customFormat="1" x14ac:dyDescent="0.25">
      <c r="A188" s="149">
        <f>'B) D RI'!A189</f>
        <v>5711</v>
      </c>
      <c r="B188" s="150" t="str">
        <f>'B) D RI'!B189</f>
        <v>Commugny</v>
      </c>
      <c r="C188" s="307">
        <f>'B) D RI'!S189</f>
        <v>55.5</v>
      </c>
      <c r="D188" s="151">
        <f>'B) D RI'!AA189</f>
        <v>3001</v>
      </c>
      <c r="E188" s="305">
        <f>'D) Ecrêtage'!C188</f>
        <v>286273.03470547468</v>
      </c>
      <c r="F188" s="309">
        <f>'E) PCS'!G194</f>
        <v>7162134.5277130771</v>
      </c>
      <c r="G188" s="306">
        <f>'H) Péréquation directe'!I198</f>
        <v>4516357.967977982</v>
      </c>
      <c r="H188" s="309">
        <f>+'I) Dépenses thématiques'!T188</f>
        <v>0</v>
      </c>
      <c r="I188" s="306">
        <f>'K) Plafonnement aide'!J188</f>
        <v>0</v>
      </c>
      <c r="J188" s="309">
        <f>'J) Plafonnement effort'!J188</f>
        <v>0</v>
      </c>
      <c r="K188" s="306">
        <f>'L) Plafonnement taux'!Q189</f>
        <v>0</v>
      </c>
      <c r="L188" s="304">
        <f t="shared" si="9"/>
        <v>11678492.495691059</v>
      </c>
      <c r="M188" s="229">
        <f>'M) Police'!N188</f>
        <v>602839.15977563942</v>
      </c>
      <c r="N188" s="229">
        <f t="shared" si="7"/>
        <v>12281331.655466698</v>
      </c>
      <c r="O188" s="309">
        <f t="shared" si="8"/>
        <v>4516357.967977982</v>
      </c>
      <c r="P188" s="311"/>
    </row>
    <row r="189" spans="1:16" s="152" customFormat="1" x14ac:dyDescent="0.25">
      <c r="A189" s="149">
        <f>'B) D RI'!A190</f>
        <v>5712</v>
      </c>
      <c r="B189" s="150" t="str">
        <f>'B) D RI'!B190</f>
        <v>Coppet</v>
      </c>
      <c r="C189" s="307">
        <f>'B) D RI'!S190</f>
        <v>53</v>
      </c>
      <c r="D189" s="151">
        <f>'B) D RI'!AA190</f>
        <v>3211</v>
      </c>
      <c r="E189" s="305">
        <f>'D) Ecrêtage'!C189</f>
        <v>333754.3945283019</v>
      </c>
      <c r="F189" s="309">
        <f>'E) PCS'!G195</f>
        <v>8465648.4184337948</v>
      </c>
      <c r="G189" s="306">
        <f>'H) Péréquation directe'!I199</f>
        <v>5297296.4422914125</v>
      </c>
      <c r="H189" s="309">
        <f>+'I) Dépenses thématiques'!T189</f>
        <v>0</v>
      </c>
      <c r="I189" s="306">
        <f>'K) Plafonnement aide'!J189</f>
        <v>0</v>
      </c>
      <c r="J189" s="309">
        <f>'J) Plafonnement effort'!J189</f>
        <v>0</v>
      </c>
      <c r="K189" s="306">
        <f>'L) Plafonnement taux'!Q190</f>
        <v>0</v>
      </c>
      <c r="L189" s="304">
        <f t="shared" si="9"/>
        <v>13762944.860725207</v>
      </c>
      <c r="M189" s="229">
        <f>'M) Police'!N189</f>
        <v>677109.58414891292</v>
      </c>
      <c r="N189" s="229">
        <f t="shared" si="7"/>
        <v>14440054.444874121</v>
      </c>
      <c r="O189" s="309">
        <f t="shared" si="8"/>
        <v>5297296.4422914125</v>
      </c>
      <c r="P189" s="311"/>
    </row>
    <row r="190" spans="1:16" s="152" customFormat="1" x14ac:dyDescent="0.25">
      <c r="A190" s="149">
        <f>'B) D RI'!A191</f>
        <v>5713</v>
      </c>
      <c r="B190" s="150" t="str">
        <f>'B) D RI'!B191</f>
        <v>Crans</v>
      </c>
      <c r="C190" s="307">
        <f>'B) D RI'!S191</f>
        <v>56</v>
      </c>
      <c r="D190" s="151">
        <f>'B) D RI'!AA191</f>
        <v>2373</v>
      </c>
      <c r="E190" s="305">
        <f>'D) Ecrêtage'!C190</f>
        <v>302504.79982142855</v>
      </c>
      <c r="F190" s="309">
        <f>'E) PCS'!G196</f>
        <v>9506511.7821061034</v>
      </c>
      <c r="G190" s="306">
        <f>'H) Péréquation directe'!I200</f>
        <v>5038656.1505215932</v>
      </c>
      <c r="H190" s="309">
        <f>+'I) Dépenses thématiques'!T190</f>
        <v>0</v>
      </c>
      <c r="I190" s="306">
        <f>'K) Plafonnement aide'!J190</f>
        <v>0</v>
      </c>
      <c r="J190" s="309">
        <f>'J) Plafonnement effort'!J190</f>
        <v>0</v>
      </c>
      <c r="K190" s="306">
        <f>'L) Plafonnement taux'!Q191</f>
        <v>0</v>
      </c>
      <c r="L190" s="304">
        <f t="shared" si="9"/>
        <v>14545167.932627697</v>
      </c>
      <c r="M190" s="229">
        <f>'M) Police'!N190</f>
        <v>353605.53601714462</v>
      </c>
      <c r="N190" s="229">
        <f t="shared" si="7"/>
        <v>14898773.468644841</v>
      </c>
      <c r="O190" s="309">
        <f t="shared" si="8"/>
        <v>5038656.1505215932</v>
      </c>
      <c r="P190" s="311"/>
    </row>
    <row r="191" spans="1:16" s="152" customFormat="1" x14ac:dyDescent="0.25">
      <c r="A191" s="149">
        <f>'B) D RI'!A192</f>
        <v>5714</v>
      </c>
      <c r="B191" s="150" t="str">
        <f>'B) D RI'!B192</f>
        <v>Crassier</v>
      </c>
      <c r="C191" s="307">
        <f>'B) D RI'!S192</f>
        <v>68</v>
      </c>
      <c r="D191" s="151">
        <f>'B) D RI'!AA192</f>
        <v>1228</v>
      </c>
      <c r="E191" s="305">
        <f>'D) Ecrêtage'!C191</f>
        <v>62136.029852941167</v>
      </c>
      <c r="F191" s="309">
        <f>'E) PCS'!G197</f>
        <v>1145788.0709355515</v>
      </c>
      <c r="G191" s="306">
        <f>'H) Péréquation directe'!I201</f>
        <v>954710.55577456625</v>
      </c>
      <c r="H191" s="309">
        <f>+'I) Dépenses thématiques'!T191</f>
        <v>0</v>
      </c>
      <c r="I191" s="306">
        <f>'K) Plafonnement aide'!J191</f>
        <v>0</v>
      </c>
      <c r="J191" s="309">
        <f>'J) Plafonnement effort'!J191</f>
        <v>0</v>
      </c>
      <c r="K191" s="306">
        <f>'L) Plafonnement taux'!Q192</f>
        <v>0</v>
      </c>
      <c r="L191" s="304">
        <f t="shared" si="9"/>
        <v>2100498.6267101178</v>
      </c>
      <c r="M191" s="229">
        <f>'M) Police'!N191</f>
        <v>182382.00557814111</v>
      </c>
      <c r="N191" s="229">
        <f t="shared" si="7"/>
        <v>2282880.632288259</v>
      </c>
      <c r="O191" s="309">
        <f t="shared" si="8"/>
        <v>954710.55577456625</v>
      </c>
      <c r="P191" s="311"/>
    </row>
    <row r="192" spans="1:16" s="152" customFormat="1" x14ac:dyDescent="0.25">
      <c r="A192" s="149">
        <f>'B) D RI'!A193</f>
        <v>5715</v>
      </c>
      <c r="B192" s="150" t="str">
        <f>'B) D RI'!B193</f>
        <v>Duillier</v>
      </c>
      <c r="C192" s="307">
        <f>'B) D RI'!S193</f>
        <v>66</v>
      </c>
      <c r="D192" s="151">
        <f>'B) D RI'!AA193</f>
        <v>1146</v>
      </c>
      <c r="E192" s="305">
        <f>'D) Ecrêtage'!C192</f>
        <v>70395.129393939395</v>
      </c>
      <c r="F192" s="309">
        <f>'E) PCS'!G198</f>
        <v>1544223.8857236276</v>
      </c>
      <c r="G192" s="306">
        <f>'H) Péréquation directe'!I202</f>
        <v>1137419.7777579797</v>
      </c>
      <c r="H192" s="309">
        <f>+'I) Dépenses thématiques'!T192</f>
        <v>0</v>
      </c>
      <c r="I192" s="306">
        <f>'K) Plafonnement aide'!J192</f>
        <v>0</v>
      </c>
      <c r="J192" s="309">
        <f>'J) Plafonnement effort'!J192</f>
        <v>0</v>
      </c>
      <c r="K192" s="306">
        <f>'L) Plafonnement taux'!Q193</f>
        <v>0</v>
      </c>
      <c r="L192" s="304">
        <f t="shared" si="9"/>
        <v>2681643.6634816071</v>
      </c>
      <c r="M192" s="229">
        <f>'M) Police'!N192</f>
        <v>184707.71865712714</v>
      </c>
      <c r="N192" s="229">
        <f t="shared" si="7"/>
        <v>2866351.3821387342</v>
      </c>
      <c r="O192" s="309">
        <f t="shared" si="8"/>
        <v>1137419.7777579797</v>
      </c>
      <c r="P192" s="311"/>
    </row>
    <row r="193" spans="1:16" s="152" customFormat="1" x14ac:dyDescent="0.25">
      <c r="A193" s="149">
        <f>'B) D RI'!A194</f>
        <v>5716</v>
      </c>
      <c r="B193" s="150" t="str">
        <f>'B) D RI'!B194</f>
        <v>Eysins</v>
      </c>
      <c r="C193" s="307">
        <f>'B) D RI'!S194</f>
        <v>59.5</v>
      </c>
      <c r="D193" s="151">
        <f>'B) D RI'!AA194</f>
        <v>1736</v>
      </c>
      <c r="E193" s="305">
        <f>'D) Ecrêtage'!C193</f>
        <v>203854.36605042018</v>
      </c>
      <c r="F193" s="309">
        <f>'E) PCS'!G199</f>
        <v>5425156.3086883072</v>
      </c>
      <c r="G193" s="306">
        <f>'H) Péréquation directe'!I203</f>
        <v>3420911.7557655387</v>
      </c>
      <c r="H193" s="309">
        <f>+'I) Dépenses thématiques'!T193</f>
        <v>0</v>
      </c>
      <c r="I193" s="306">
        <f>'K) Plafonnement aide'!J193</f>
        <v>0</v>
      </c>
      <c r="J193" s="309">
        <f>'J) Plafonnement effort'!J193</f>
        <v>0</v>
      </c>
      <c r="K193" s="306">
        <f>'L) Plafonnement taux'!Q194</f>
        <v>0</v>
      </c>
      <c r="L193" s="304">
        <f t="shared" si="9"/>
        <v>8846068.0644538458</v>
      </c>
      <c r="M193" s="229">
        <f>'M) Police'!N193</f>
        <v>393441.47473076882</v>
      </c>
      <c r="N193" s="229">
        <f t="shared" ref="N193:N253" si="12">L193+M193</f>
        <v>9239509.539184615</v>
      </c>
      <c r="O193" s="309">
        <f t="shared" si="8"/>
        <v>3420911.7557655387</v>
      </c>
      <c r="P193" s="311"/>
    </row>
    <row r="194" spans="1:16" s="152" customFormat="1" x14ac:dyDescent="0.25">
      <c r="A194" s="149">
        <f>'B) D RI'!A195</f>
        <v>5717</v>
      </c>
      <c r="B194" s="150" t="str">
        <f>'B) D RI'!B195</f>
        <v>Founex</v>
      </c>
      <c r="C194" s="307">
        <f>'B) D RI'!S195</f>
        <v>57</v>
      </c>
      <c r="D194" s="151">
        <f>'B) D RI'!AA195</f>
        <v>3822</v>
      </c>
      <c r="E194" s="305">
        <f>'D) Ecrêtage'!C194</f>
        <v>390728.72</v>
      </c>
      <c r="F194" s="309">
        <f>'E) PCS'!G200</f>
        <v>9732103.0489710346</v>
      </c>
      <c r="G194" s="306">
        <f>'H) Péréquation directe'!I204</f>
        <v>6055222.1017657667</v>
      </c>
      <c r="H194" s="309">
        <f>+'I) Dépenses thématiques'!T194</f>
        <v>0</v>
      </c>
      <c r="I194" s="306">
        <f>'K) Plafonnement aide'!J194</f>
        <v>0</v>
      </c>
      <c r="J194" s="309">
        <f>'J) Plafonnement effort'!J194</f>
        <v>0</v>
      </c>
      <c r="K194" s="306">
        <f>'L) Plafonnement taux'!Q195</f>
        <v>0</v>
      </c>
      <c r="L194" s="304">
        <f t="shared" si="9"/>
        <v>15787325.150736801</v>
      </c>
      <c r="M194" s="229">
        <f>'M) Police'!N194</f>
        <v>798315.01268633944</v>
      </c>
      <c r="N194" s="229">
        <f t="shared" si="12"/>
        <v>16585640.163423141</v>
      </c>
      <c r="O194" s="309">
        <f t="shared" si="8"/>
        <v>6055222.1017657667</v>
      </c>
      <c r="P194" s="311"/>
    </row>
    <row r="195" spans="1:16" s="152" customFormat="1" x14ac:dyDescent="0.25">
      <c r="A195" s="149">
        <f>'B) D RI'!A196</f>
        <v>5718</v>
      </c>
      <c r="B195" s="150" t="str">
        <f>'B) D RI'!B196</f>
        <v>Genolier</v>
      </c>
      <c r="C195" s="307">
        <f>'B) D RI'!S196</f>
        <v>55</v>
      </c>
      <c r="D195" s="151">
        <f>'B) D RI'!AA196</f>
        <v>2022</v>
      </c>
      <c r="E195" s="305">
        <f>'D) Ecrêtage'!C195</f>
        <v>192274.57272727272</v>
      </c>
      <c r="F195" s="309">
        <f>'E) PCS'!G201</f>
        <v>4729833.3719515884</v>
      </c>
      <c r="G195" s="306">
        <f>'H) Péréquation directe'!I205</f>
        <v>3105001.2801287523</v>
      </c>
      <c r="H195" s="309">
        <f>+'I) Dépenses thématiques'!T195</f>
        <v>0</v>
      </c>
      <c r="I195" s="306">
        <f>'K) Plafonnement aide'!J195</f>
        <v>0</v>
      </c>
      <c r="J195" s="309">
        <f>'J) Plafonnement effort'!J195</f>
        <v>0</v>
      </c>
      <c r="K195" s="306">
        <f>'L) Plafonnement taux'!Q196</f>
        <v>0</v>
      </c>
      <c r="L195" s="304">
        <f t="shared" si="9"/>
        <v>7834834.6520803403</v>
      </c>
      <c r="M195" s="229">
        <f>'M) Police'!N195</f>
        <v>405466.14061063679</v>
      </c>
      <c r="N195" s="229">
        <f t="shared" si="12"/>
        <v>8240300.7926909775</v>
      </c>
      <c r="O195" s="309">
        <f t="shared" si="8"/>
        <v>3105001.2801287523</v>
      </c>
      <c r="P195" s="311"/>
    </row>
    <row r="196" spans="1:16" s="152" customFormat="1" x14ac:dyDescent="0.25">
      <c r="A196" s="149">
        <f>'B) D RI'!A197</f>
        <v>5719</v>
      </c>
      <c r="B196" s="150" t="str">
        <f>'B) D RI'!B197</f>
        <v>Gingins</v>
      </c>
      <c r="C196" s="307">
        <f>'B) D RI'!S197</f>
        <v>60</v>
      </c>
      <c r="D196" s="151">
        <f>'B) D RI'!AA197</f>
        <v>1265</v>
      </c>
      <c r="E196" s="305">
        <f>'D) Ecrêtage'!C196</f>
        <v>151294.23883333337</v>
      </c>
      <c r="F196" s="309">
        <f>'E) PCS'!G202</f>
        <v>4325007.8614792582</v>
      </c>
      <c r="G196" s="306">
        <f>'H) Péréquation directe'!I206</f>
        <v>2604962.4708062443</v>
      </c>
      <c r="H196" s="309">
        <f>+'I) Dépenses thématiques'!T196</f>
        <v>0</v>
      </c>
      <c r="I196" s="306">
        <f>'K) Plafonnement aide'!J196</f>
        <v>0</v>
      </c>
      <c r="J196" s="309">
        <f>'J) Plafonnement effort'!J196</f>
        <v>0</v>
      </c>
      <c r="K196" s="306">
        <f>'L) Plafonnement taux'!Q197</f>
        <v>0</v>
      </c>
      <c r="L196" s="304">
        <f t="shared" si="9"/>
        <v>6929970.3322855029</v>
      </c>
      <c r="M196" s="229">
        <f>'M) Police'!N196</f>
        <v>289908.08661784936</v>
      </c>
      <c r="N196" s="229">
        <f t="shared" si="12"/>
        <v>7219878.4189033527</v>
      </c>
      <c r="O196" s="309">
        <f t="shared" si="8"/>
        <v>2604962.4708062443</v>
      </c>
      <c r="P196" s="311"/>
    </row>
    <row r="197" spans="1:16" s="152" customFormat="1" x14ac:dyDescent="0.25">
      <c r="A197" s="149">
        <f>'B) D RI'!A198</f>
        <v>5720</v>
      </c>
      <c r="B197" s="150" t="str">
        <f>'B) D RI'!B198</f>
        <v>Givrins</v>
      </c>
      <c r="C197" s="307">
        <f>'B) D RI'!S198</f>
        <v>67</v>
      </c>
      <c r="D197" s="151">
        <f>'B) D RI'!AA198</f>
        <v>1010</v>
      </c>
      <c r="E197" s="305">
        <f>'D) Ecrêtage'!C197</f>
        <v>74789.829883913771</v>
      </c>
      <c r="F197" s="309">
        <f>'E) PCS'!G203</f>
        <v>1648844.0977516116</v>
      </c>
      <c r="G197" s="306">
        <f>'H) Péréquation directe'!I207</f>
        <v>1266903.6642618992</v>
      </c>
      <c r="H197" s="309">
        <f>+'I) Dépenses thématiques'!T197</f>
        <v>-45797.377587064671</v>
      </c>
      <c r="I197" s="306">
        <f>'K) Plafonnement aide'!J197</f>
        <v>0</v>
      </c>
      <c r="J197" s="309">
        <f>'J) Plafonnement effort'!J197</f>
        <v>0</v>
      </c>
      <c r="K197" s="306">
        <f>'L) Plafonnement taux'!Q198</f>
        <v>0</v>
      </c>
      <c r="L197" s="304">
        <f t="shared" si="9"/>
        <v>2869950.3844264462</v>
      </c>
      <c r="M197" s="229">
        <f>'M) Police'!N197</f>
        <v>177690.11411578464</v>
      </c>
      <c r="N197" s="229">
        <f t="shared" si="12"/>
        <v>3047640.4985422306</v>
      </c>
      <c r="O197" s="309">
        <f t="shared" si="8"/>
        <v>1221106.2866748346</v>
      </c>
      <c r="P197" s="311"/>
    </row>
    <row r="198" spans="1:16" s="152" customFormat="1" x14ac:dyDescent="0.25">
      <c r="A198" s="149">
        <f>'B) D RI'!A199</f>
        <v>5721</v>
      </c>
      <c r="B198" s="150" t="str">
        <f>'B) D RI'!B199</f>
        <v>Gland</v>
      </c>
      <c r="C198" s="307">
        <f>'B) D RI'!S199</f>
        <v>61</v>
      </c>
      <c r="D198" s="151">
        <f>'B) D RI'!AA199</f>
        <v>13306</v>
      </c>
      <c r="E198" s="305">
        <f>'D) Ecrêtage'!C198</f>
        <v>723023.81196721317</v>
      </c>
      <c r="F198" s="309">
        <f>'E) PCS'!G204</f>
        <v>12309981.643541388</v>
      </c>
      <c r="G198" s="306">
        <f>'H) Péréquation directe'!I208</f>
        <v>5422696.8115960499</v>
      </c>
      <c r="H198" s="309">
        <f>+'I) Dépenses thématiques'!T198</f>
        <v>0</v>
      </c>
      <c r="I198" s="306">
        <f>'K) Plafonnement aide'!J198</f>
        <v>0</v>
      </c>
      <c r="J198" s="309">
        <f>'J) Plafonnement effort'!J198</f>
        <v>0</v>
      </c>
      <c r="K198" s="306">
        <f>'L) Plafonnement taux'!Q199</f>
        <v>0</v>
      </c>
      <c r="L198" s="304">
        <f t="shared" si="9"/>
        <v>17732678.455137439</v>
      </c>
      <c r="M198" s="229">
        <f>'M) Police'!N198</f>
        <v>2034353.4629976037</v>
      </c>
      <c r="N198" s="229">
        <f t="shared" si="12"/>
        <v>19767031.918135043</v>
      </c>
      <c r="O198" s="309">
        <f t="shared" ref="O198:O261" si="13">SUM(G198:K198)</f>
        <v>5422696.8115960499</v>
      </c>
      <c r="P198" s="311"/>
    </row>
    <row r="199" spans="1:16" s="152" customFormat="1" x14ac:dyDescent="0.25">
      <c r="A199" s="149">
        <f>'B) D RI'!A200</f>
        <v>5722</v>
      </c>
      <c r="B199" s="150" t="str">
        <f>'B) D RI'!B200</f>
        <v>Grens</v>
      </c>
      <c r="C199" s="307">
        <f>'B) D RI'!S200</f>
        <v>62</v>
      </c>
      <c r="D199" s="151">
        <f>'B) D RI'!AA200</f>
        <v>401</v>
      </c>
      <c r="E199" s="305">
        <f>'D) Ecrêtage'!C199</f>
        <v>22316.761129032264</v>
      </c>
      <c r="F199" s="309">
        <f>'E) PCS'!G205</f>
        <v>320684.66270232567</v>
      </c>
      <c r="G199" s="306">
        <f>'H) Péréquation directe'!I209</f>
        <v>366277.38001002558</v>
      </c>
      <c r="H199" s="309">
        <f>+'I) Dépenses thématiques'!T199</f>
        <v>0</v>
      </c>
      <c r="I199" s="306">
        <f>'K) Plafonnement aide'!J199</f>
        <v>0</v>
      </c>
      <c r="J199" s="309">
        <f>'J) Plafonnement effort'!J199</f>
        <v>0</v>
      </c>
      <c r="K199" s="306">
        <f>'L) Plafonnement taux'!Q200</f>
        <v>0</v>
      </c>
      <c r="L199" s="304">
        <f t="shared" si="9"/>
        <v>686962.04271235131</v>
      </c>
      <c r="M199" s="229">
        <f>'M) Police'!N199</f>
        <v>61925.064081263452</v>
      </c>
      <c r="N199" s="229">
        <f t="shared" si="12"/>
        <v>748887.1067936148</v>
      </c>
      <c r="O199" s="309">
        <f t="shared" si="13"/>
        <v>366277.38001002558</v>
      </c>
      <c r="P199" s="311"/>
    </row>
    <row r="200" spans="1:16" s="152" customFormat="1" x14ac:dyDescent="0.25">
      <c r="A200" s="149">
        <f>'B) D RI'!A201</f>
        <v>5723</v>
      </c>
      <c r="B200" s="150" t="str">
        <f>'B) D RI'!B201</f>
        <v>Mies</v>
      </c>
      <c r="C200" s="307">
        <f>'B) D RI'!S201</f>
        <v>52</v>
      </c>
      <c r="D200" s="151">
        <f>'B) D RI'!AA201</f>
        <v>2195</v>
      </c>
      <c r="E200" s="305">
        <f>'D) Ecrêtage'!C200</f>
        <v>245974.84538461536</v>
      </c>
      <c r="F200" s="309">
        <f>'E) PCS'!G206</f>
        <v>7369523.6982656997</v>
      </c>
      <c r="G200" s="306">
        <f>'H) Péréquation directe'!I210</f>
        <v>4046309.2171932547</v>
      </c>
      <c r="H200" s="309">
        <f>+'I) Dépenses thématiques'!T200</f>
        <v>0</v>
      </c>
      <c r="I200" s="306">
        <f>'K) Plafonnement aide'!J200</f>
        <v>0</v>
      </c>
      <c r="J200" s="309">
        <f>'J) Plafonnement effort'!J200</f>
        <v>0</v>
      </c>
      <c r="K200" s="306">
        <f>'L) Plafonnement taux'!Q201</f>
        <v>0</v>
      </c>
      <c r="L200" s="304">
        <f t="shared" si="9"/>
        <v>11415832.915458955</v>
      </c>
      <c r="M200" s="229">
        <f>'M) Police'!N200</f>
        <v>483699.22165362549</v>
      </c>
      <c r="N200" s="229">
        <f t="shared" si="12"/>
        <v>11899532.13711258</v>
      </c>
      <c r="O200" s="309">
        <f t="shared" si="13"/>
        <v>4046309.2171932547</v>
      </c>
      <c r="P200" s="311"/>
    </row>
    <row r="201" spans="1:16" s="152" customFormat="1" x14ac:dyDescent="0.25">
      <c r="A201" s="149">
        <f>'B) D RI'!A202</f>
        <v>5724</v>
      </c>
      <c r="B201" s="150" t="str">
        <f>'B) D RI'!B202</f>
        <v>Nyon</v>
      </c>
      <c r="C201" s="307">
        <f>'B) D RI'!S202</f>
        <v>61</v>
      </c>
      <c r="D201" s="151">
        <f>'B) D RI'!AA202</f>
        <v>22124</v>
      </c>
      <c r="E201" s="305">
        <f>'D) Ecrêtage'!C201</f>
        <v>1461873.0345355188</v>
      </c>
      <c r="F201" s="309">
        <f>'E) PCS'!G207</f>
        <v>30468672.72527476</v>
      </c>
      <c r="G201" s="306">
        <f>'H) Péréquation directe'!I211</f>
        <v>10049603.736630842</v>
      </c>
      <c r="H201" s="309">
        <f>+'I) Dépenses thématiques'!T201</f>
        <v>-811814.79278688692</v>
      </c>
      <c r="I201" s="306">
        <f>'K) Plafonnement aide'!J201</f>
        <v>0</v>
      </c>
      <c r="J201" s="309">
        <f>'J) Plafonnement effort'!J201</f>
        <v>0</v>
      </c>
      <c r="K201" s="306">
        <f>'L) Plafonnement taux'!Q202</f>
        <v>0</v>
      </c>
      <c r="L201" s="304">
        <f t="shared" si="9"/>
        <v>39706461.66911871</v>
      </c>
      <c r="M201" s="229">
        <f>'M) Police'!N201</f>
        <v>1708820.4824223896</v>
      </c>
      <c r="N201" s="229">
        <f t="shared" si="12"/>
        <v>41415282.151541099</v>
      </c>
      <c r="O201" s="309">
        <f t="shared" si="13"/>
        <v>9237788.9438439552</v>
      </c>
      <c r="P201" s="311"/>
    </row>
    <row r="202" spans="1:16" s="152" customFormat="1" x14ac:dyDescent="0.25">
      <c r="A202" s="149">
        <f>'B) D RI'!A203</f>
        <v>5725</v>
      </c>
      <c r="B202" s="150" t="str">
        <f>'B) D RI'!B203</f>
        <v>Prangins</v>
      </c>
      <c r="C202" s="307">
        <f>'B) D RI'!S203</f>
        <v>55</v>
      </c>
      <c r="D202" s="151">
        <f>'B) D RI'!AA203</f>
        <v>4060</v>
      </c>
      <c r="E202" s="305">
        <f>'D) Ecrêtage'!C202</f>
        <v>355082.58820779232</v>
      </c>
      <c r="F202" s="309">
        <f>'E) PCS'!G208</f>
        <v>8114169.7955986392</v>
      </c>
      <c r="G202" s="306">
        <f>'H) Péréquation directe'!I212</f>
        <v>5271511.1481679082</v>
      </c>
      <c r="H202" s="309">
        <f>+'I) Dépenses thématiques'!T202</f>
        <v>0</v>
      </c>
      <c r="I202" s="306">
        <f>'K) Plafonnement aide'!J202</f>
        <v>0</v>
      </c>
      <c r="J202" s="309">
        <f>'J) Plafonnement effort'!J202</f>
        <v>0</v>
      </c>
      <c r="K202" s="306">
        <f>'L) Plafonnement taux'!Q203</f>
        <v>0</v>
      </c>
      <c r="L202" s="304">
        <f t="shared" si="9"/>
        <v>13385680.943766547</v>
      </c>
      <c r="M202" s="229">
        <f>'M) Police'!N202</f>
        <v>415065.04692715686</v>
      </c>
      <c r="N202" s="229">
        <f t="shared" si="12"/>
        <v>13800745.990693703</v>
      </c>
      <c r="O202" s="309">
        <f t="shared" si="13"/>
        <v>5271511.1481679082</v>
      </c>
      <c r="P202" s="311"/>
    </row>
    <row r="203" spans="1:16" s="152" customFormat="1" x14ac:dyDescent="0.25">
      <c r="A203" s="149">
        <f>'B) D RI'!A204</f>
        <v>5726</v>
      </c>
      <c r="B203" s="150" t="str">
        <f>'B) D RI'!B204</f>
        <v>La Rippe</v>
      </c>
      <c r="C203" s="307">
        <f>'B) D RI'!S204</f>
        <v>64</v>
      </c>
      <c r="D203" s="151">
        <f>'B) D RI'!AA204</f>
        <v>1165</v>
      </c>
      <c r="E203" s="305">
        <f>'D) Ecrêtage'!C203</f>
        <v>70366.469687500008</v>
      </c>
      <c r="F203" s="309">
        <f>'E) PCS'!G209</f>
        <v>1301532.1030816915</v>
      </c>
      <c r="G203" s="306">
        <f>'H) Péréquation directe'!I213</f>
        <v>1130248.5338877009</v>
      </c>
      <c r="H203" s="309">
        <f>+'I) Dépenses thématiques'!T203</f>
        <v>0</v>
      </c>
      <c r="I203" s="306">
        <f>'K) Plafonnement aide'!J203</f>
        <v>0</v>
      </c>
      <c r="J203" s="309">
        <f>'J) Plafonnement effort'!J203</f>
        <v>0</v>
      </c>
      <c r="K203" s="306">
        <f>'L) Plafonnement taux'!Q204</f>
        <v>0</v>
      </c>
      <c r="L203" s="304">
        <f t="shared" si="9"/>
        <v>2431780.6369693922</v>
      </c>
      <c r="M203" s="229">
        <f>'M) Police'!N203</f>
        <v>186372.29809599149</v>
      </c>
      <c r="N203" s="229">
        <f t="shared" si="12"/>
        <v>2618152.9350653836</v>
      </c>
      <c r="O203" s="309">
        <f t="shared" si="13"/>
        <v>1130248.5338877009</v>
      </c>
      <c r="P203" s="311"/>
    </row>
    <row r="204" spans="1:16" s="152" customFormat="1" x14ac:dyDescent="0.25">
      <c r="A204" s="149">
        <f>'B) D RI'!A205</f>
        <v>5727</v>
      </c>
      <c r="B204" s="150" t="str">
        <f>'B) D RI'!B205</f>
        <v>Saint-Cergue</v>
      </c>
      <c r="C204" s="307">
        <f>'B) D RI'!S205</f>
        <v>66</v>
      </c>
      <c r="D204" s="151">
        <f>'B) D RI'!AA205</f>
        <v>2755</v>
      </c>
      <c r="E204" s="305">
        <f>'D) Ecrêtage'!C204</f>
        <v>106173.30404040407</v>
      </c>
      <c r="F204" s="309">
        <f>'E) PCS'!G210</f>
        <v>2031500.1236094716</v>
      </c>
      <c r="G204" s="306">
        <f>'H) Péréquation directe'!I214</f>
        <v>770716.3844113918</v>
      </c>
      <c r="H204" s="309">
        <f>+'I) Dépenses thématiques'!T204</f>
        <v>-471341.44772727258</v>
      </c>
      <c r="I204" s="306">
        <f>'K) Plafonnement aide'!J204</f>
        <v>0</v>
      </c>
      <c r="J204" s="309">
        <f>'J) Plafonnement effort'!J204</f>
        <v>0</v>
      </c>
      <c r="K204" s="306">
        <f>'L) Plafonnement taux'!Q205</f>
        <v>0</v>
      </c>
      <c r="L204" s="304">
        <f t="shared" si="9"/>
        <v>2330875.0602935906</v>
      </c>
      <c r="M204" s="229">
        <f>'M) Police'!N204</f>
        <v>319865.67056133068</v>
      </c>
      <c r="N204" s="229">
        <f t="shared" si="12"/>
        <v>2650740.7308549215</v>
      </c>
      <c r="O204" s="309">
        <f t="shared" si="13"/>
        <v>299374.93668411922</v>
      </c>
      <c r="P204" s="311"/>
    </row>
    <row r="205" spans="1:16" s="152" customFormat="1" x14ac:dyDescent="0.25">
      <c r="A205" s="149">
        <f>'B) D RI'!A206</f>
        <v>5728</v>
      </c>
      <c r="B205" s="150" t="str">
        <f>'B) D RI'!B206</f>
        <v>Signy-Avenex</v>
      </c>
      <c r="C205" s="307">
        <f>'B) D RI'!S206</f>
        <v>58</v>
      </c>
      <c r="D205" s="151">
        <f>'B) D RI'!AA206</f>
        <v>584</v>
      </c>
      <c r="E205" s="305">
        <f>'D) Ecrêtage'!C205</f>
        <v>56477.02620689656</v>
      </c>
      <c r="F205" s="309">
        <f>'E) PCS'!G211</f>
        <v>1405493.8273440734</v>
      </c>
      <c r="G205" s="306">
        <f>'H) Péréquation directe'!I215</f>
        <v>980681.12824390316</v>
      </c>
      <c r="H205" s="309">
        <f>+'I) Dépenses thématiques'!T205</f>
        <v>0</v>
      </c>
      <c r="I205" s="306">
        <f>'K) Plafonnement aide'!J205</f>
        <v>0</v>
      </c>
      <c r="J205" s="309">
        <f>'J) Plafonnement effort'!J205</f>
        <v>0</v>
      </c>
      <c r="K205" s="306">
        <f>'L) Plafonnement taux'!Q206</f>
        <v>0</v>
      </c>
      <c r="L205" s="304">
        <f t="shared" si="9"/>
        <v>2386174.9555879766</v>
      </c>
      <c r="M205" s="229">
        <f>'M) Police'!N205</f>
        <v>118211.06104997563</v>
      </c>
      <c r="N205" s="229">
        <f t="shared" si="12"/>
        <v>2504386.0166379521</v>
      </c>
      <c r="O205" s="309">
        <f t="shared" si="13"/>
        <v>980681.12824390316</v>
      </c>
      <c r="P205" s="311"/>
    </row>
    <row r="206" spans="1:16" s="152" customFormat="1" x14ac:dyDescent="0.25">
      <c r="A206" s="149">
        <f>'B) D RI'!A207</f>
        <v>5729</v>
      </c>
      <c r="B206" s="150" t="str">
        <f>'B) D RI'!B207</f>
        <v>Tannay</v>
      </c>
      <c r="C206" s="307">
        <f>'B) D RI'!S207</f>
        <v>60.5</v>
      </c>
      <c r="D206" s="151">
        <f>'B) D RI'!AA207</f>
        <v>1644</v>
      </c>
      <c r="E206" s="305">
        <f>'D) Ecrêtage'!C206</f>
        <v>161688.04044077132</v>
      </c>
      <c r="F206" s="309">
        <f>'E) PCS'!G212</f>
        <v>4270638.6097387467</v>
      </c>
      <c r="G206" s="306">
        <f>'H) Péréquation directe'!I216</f>
        <v>2666467.5190407913</v>
      </c>
      <c r="H206" s="309">
        <f>+'I) Dépenses thématiques'!T206</f>
        <v>0</v>
      </c>
      <c r="I206" s="306">
        <f>'K) Plafonnement aide'!J206</f>
        <v>0</v>
      </c>
      <c r="J206" s="309">
        <f>'J) Plafonnement effort'!J206</f>
        <v>0</v>
      </c>
      <c r="K206" s="306">
        <f>'L) Plafonnement taux'!Q207</f>
        <v>0</v>
      </c>
      <c r="L206" s="304">
        <f t="shared" si="9"/>
        <v>6937106.128779538</v>
      </c>
      <c r="M206" s="229">
        <f>'M) Police'!N206</f>
        <v>335929.90232093079</v>
      </c>
      <c r="N206" s="229">
        <f t="shared" si="12"/>
        <v>7273036.0311004687</v>
      </c>
      <c r="O206" s="309">
        <f t="shared" si="13"/>
        <v>2666467.5190407913</v>
      </c>
      <c r="P206" s="311"/>
    </row>
    <row r="207" spans="1:16" s="152" customFormat="1" x14ac:dyDescent="0.25">
      <c r="A207" s="149">
        <f>'B) D RI'!A208</f>
        <v>5730</v>
      </c>
      <c r="B207" s="150" t="str">
        <f>'B) D RI'!B208</f>
        <v>Trélex</v>
      </c>
      <c r="C207" s="307">
        <f>'B) D RI'!S208</f>
        <v>55.5</v>
      </c>
      <c r="D207" s="151">
        <f>'B) D RI'!AA208</f>
        <v>1439</v>
      </c>
      <c r="E207" s="305">
        <f>'D) Ecrêtage'!C207</f>
        <v>125085.64878878882</v>
      </c>
      <c r="F207" s="309">
        <f>'E) PCS'!G213</f>
        <v>3268461.154601247</v>
      </c>
      <c r="G207" s="306">
        <f>'H) Péréquation directe'!I217</f>
        <v>2055284.4914045334</v>
      </c>
      <c r="H207" s="309">
        <f>+'I) Dépenses thématiques'!T207</f>
        <v>0</v>
      </c>
      <c r="I207" s="306">
        <f>'K) Plafonnement aide'!J207</f>
        <v>0</v>
      </c>
      <c r="J207" s="309">
        <f>'J) Plafonnement effort'!J207</f>
        <v>0</v>
      </c>
      <c r="K207" s="306">
        <f>'L) Plafonnement taux'!Q208</f>
        <v>0</v>
      </c>
      <c r="L207" s="304">
        <f t="shared" si="9"/>
        <v>5323745.6460057804</v>
      </c>
      <c r="M207" s="229">
        <f>'M) Police'!N207</f>
        <v>274823.04316513275</v>
      </c>
      <c r="N207" s="229">
        <f t="shared" si="12"/>
        <v>5598568.6891709128</v>
      </c>
      <c r="O207" s="309">
        <f t="shared" si="13"/>
        <v>2055284.4914045334</v>
      </c>
      <c r="P207" s="311"/>
    </row>
    <row r="208" spans="1:16" s="152" customFormat="1" x14ac:dyDescent="0.25">
      <c r="A208" s="149">
        <f>'B) D RI'!A209</f>
        <v>5731</v>
      </c>
      <c r="B208" s="150" t="str">
        <f>'B) D RI'!B209</f>
        <v>Le Vaud</v>
      </c>
      <c r="C208" s="307">
        <f>'B) D RI'!S209</f>
        <v>74</v>
      </c>
      <c r="D208" s="151">
        <f>'B) D RI'!AA209</f>
        <v>1387</v>
      </c>
      <c r="E208" s="305">
        <f>'D) Ecrêtage'!C208</f>
        <v>69596.613288288281</v>
      </c>
      <c r="F208" s="309">
        <f>'E) PCS'!G214</f>
        <v>1021172.2417928948</v>
      </c>
      <c r="G208" s="306">
        <f>'H) Péréquation directe'!I218</f>
        <v>1038343.809794138</v>
      </c>
      <c r="H208" s="309">
        <f>+'I) Dépenses thématiques'!T208</f>
        <v>-154709.32027027031</v>
      </c>
      <c r="I208" s="306">
        <f>'K) Plafonnement aide'!J208</f>
        <v>0</v>
      </c>
      <c r="J208" s="309">
        <f>'J) Plafonnement effort'!J208</f>
        <v>0</v>
      </c>
      <c r="K208" s="306">
        <f>'L) Plafonnement taux'!Q209</f>
        <v>0</v>
      </c>
      <c r="L208" s="304">
        <f t="shared" si="9"/>
        <v>1904806.7313167623</v>
      </c>
      <c r="M208" s="229">
        <f>'M) Police'!N208</f>
        <v>205313.12343376994</v>
      </c>
      <c r="N208" s="229">
        <f t="shared" si="12"/>
        <v>2110119.8547505322</v>
      </c>
      <c r="O208" s="309">
        <f t="shared" si="13"/>
        <v>883634.48952386761</v>
      </c>
      <c r="P208" s="311"/>
    </row>
    <row r="209" spans="1:16" s="152" customFormat="1" x14ac:dyDescent="0.25">
      <c r="A209" s="149">
        <f>'B) D RI'!A210</f>
        <v>5732</v>
      </c>
      <c r="B209" s="150" t="str">
        <f>'B) D RI'!B210</f>
        <v>Vich</v>
      </c>
      <c r="C209" s="307">
        <f>'B) D RI'!S210</f>
        <v>63</v>
      </c>
      <c r="D209" s="151">
        <f>'B) D RI'!AA210</f>
        <v>1157</v>
      </c>
      <c r="E209" s="305">
        <f>'D) Ecrêtage'!C209</f>
        <v>86538.031587301579</v>
      </c>
      <c r="F209" s="309">
        <f>'E) PCS'!G215</f>
        <v>1710685.9164676215</v>
      </c>
      <c r="G209" s="306">
        <f>'H) Péréquation directe'!I219</f>
        <v>1434710.5945877538</v>
      </c>
      <c r="H209" s="309">
        <f>+'I) Dépenses thématiques'!T209</f>
        <v>0</v>
      </c>
      <c r="I209" s="306">
        <f>'K) Plafonnement aide'!J209</f>
        <v>0</v>
      </c>
      <c r="J209" s="309">
        <f>'J) Plafonnement effort'!J209</f>
        <v>0</v>
      </c>
      <c r="K209" s="306">
        <f>'L) Plafonnement taux'!Q210</f>
        <v>0</v>
      </c>
      <c r="L209" s="304">
        <f t="shared" si="9"/>
        <v>3145396.5110553754</v>
      </c>
      <c r="M209" s="229">
        <f>'M) Police'!N209</f>
        <v>204560.6658626112</v>
      </c>
      <c r="N209" s="229">
        <f t="shared" si="12"/>
        <v>3349957.1769179865</v>
      </c>
      <c r="O209" s="309">
        <f t="shared" si="13"/>
        <v>1434710.5945877538</v>
      </c>
      <c r="P209" s="311"/>
    </row>
    <row r="210" spans="1:16" s="152" customFormat="1" x14ac:dyDescent="0.25">
      <c r="A210" s="149">
        <f>'B) D RI'!A211</f>
        <v>5741</v>
      </c>
      <c r="B210" s="150" t="str">
        <f>'B) D RI'!B211</f>
        <v>L'Abergement</v>
      </c>
      <c r="C210" s="307">
        <f>'B) D RI'!S211</f>
        <v>81</v>
      </c>
      <c r="D210" s="151">
        <f>'B) D RI'!AA211</f>
        <v>254</v>
      </c>
      <c r="E210" s="305">
        <f>'D) Ecrêtage'!C210</f>
        <v>8987.3782921810707</v>
      </c>
      <c r="F210" s="309">
        <f>'E) PCS'!G216</f>
        <v>140947.24285221947</v>
      </c>
      <c r="G210" s="306">
        <f>'H) Péréquation directe'!I220</f>
        <v>49408.128122549853</v>
      </c>
      <c r="H210" s="309">
        <f>+'I) Dépenses thématiques'!T210</f>
        <v>-108745.94652777778</v>
      </c>
      <c r="I210" s="306">
        <f>'K) Plafonnement aide'!J210</f>
        <v>0</v>
      </c>
      <c r="J210" s="309">
        <f>'J) Plafonnement effort'!J210</f>
        <v>0</v>
      </c>
      <c r="K210" s="306">
        <f>'L) Plafonnement taux'!Q211</f>
        <v>0</v>
      </c>
      <c r="L210" s="304">
        <f t="shared" si="9"/>
        <v>81609.424446991543</v>
      </c>
      <c r="M210" s="229">
        <f>'M) Police'!N210</f>
        <v>27421.188104259534</v>
      </c>
      <c r="N210" s="229">
        <f t="shared" si="12"/>
        <v>109030.61255125108</v>
      </c>
      <c r="O210" s="309">
        <f t="shared" si="13"/>
        <v>-59337.818405227925</v>
      </c>
      <c r="P210" s="311"/>
    </row>
    <row r="211" spans="1:16" s="152" customFormat="1" x14ac:dyDescent="0.25">
      <c r="A211" s="149">
        <f>'B) D RI'!A212</f>
        <v>5742</v>
      </c>
      <c r="B211" s="150" t="str">
        <f>'B) D RI'!B212</f>
        <v>Agiez</v>
      </c>
      <c r="C211" s="307">
        <f>'B) D RI'!S212</f>
        <v>76</v>
      </c>
      <c r="D211" s="151">
        <f>'B) D RI'!AA212</f>
        <v>375</v>
      </c>
      <c r="E211" s="305">
        <f>'D) Ecrêtage'!C211</f>
        <v>10160.069605263159</v>
      </c>
      <c r="F211" s="309">
        <f>'E) PCS'!G217</f>
        <v>126178.5533326937</v>
      </c>
      <c r="G211" s="306">
        <f>'H) Péréquation directe'!I221</f>
        <v>-41470.968814464082</v>
      </c>
      <c r="H211" s="309">
        <f>+'I) Dépenses thématiques'!T211</f>
        <v>-51878.530164473676</v>
      </c>
      <c r="I211" s="306">
        <f>'K) Plafonnement aide'!J211</f>
        <v>0</v>
      </c>
      <c r="J211" s="309">
        <f>'J) Plafonnement effort'!J211</f>
        <v>0</v>
      </c>
      <c r="K211" s="306">
        <f>'L) Plafonnement taux'!Q212</f>
        <v>0</v>
      </c>
      <c r="L211" s="304">
        <f t="shared" si="9"/>
        <v>32829.054353755942</v>
      </c>
      <c r="M211" s="229">
        <f>'M) Police'!N211</f>
        <v>30609.154996876219</v>
      </c>
      <c r="N211" s="229">
        <f t="shared" si="12"/>
        <v>63438.209350632162</v>
      </c>
      <c r="O211" s="309">
        <f t="shared" si="13"/>
        <v>-93349.498978937758</v>
      </c>
      <c r="P211" s="311"/>
    </row>
    <row r="212" spans="1:16" s="152" customFormat="1" x14ac:dyDescent="0.25">
      <c r="A212" s="149">
        <f>'B) D RI'!A213</f>
        <v>5743</v>
      </c>
      <c r="B212" s="150" t="str">
        <f>'B) D RI'!B213</f>
        <v>Arnex-sur-Orbe</v>
      </c>
      <c r="C212" s="307">
        <f>'B) D RI'!S213</f>
        <v>71</v>
      </c>
      <c r="D212" s="151">
        <f>'B) D RI'!AA213</f>
        <v>665</v>
      </c>
      <c r="E212" s="305">
        <f>'D) Ecrêtage'!C212</f>
        <v>18533.117816901413</v>
      </c>
      <c r="F212" s="309">
        <f>'E) PCS'!G218</f>
        <v>273238.2022315471</v>
      </c>
      <c r="G212" s="306">
        <f>'H) Péréquation directe'!I222</f>
        <v>-11959.733883392531</v>
      </c>
      <c r="H212" s="309">
        <f>+'I) Dépenses thématiques'!T212</f>
        <v>-100458.04309859153</v>
      </c>
      <c r="I212" s="306">
        <f>'K) Plafonnement aide'!J212</f>
        <v>0</v>
      </c>
      <c r="J212" s="309">
        <f>'J) Plafonnement effort'!J212</f>
        <v>0</v>
      </c>
      <c r="K212" s="306">
        <f>'L) Plafonnement taux'!Q213</f>
        <v>0</v>
      </c>
      <c r="L212" s="304">
        <f t="shared" si="9"/>
        <v>160820.42524956304</v>
      </c>
      <c r="M212" s="229">
        <f>'M) Police'!N212</f>
        <v>56259.437012247858</v>
      </c>
      <c r="N212" s="229">
        <f t="shared" si="12"/>
        <v>217079.86226181089</v>
      </c>
      <c r="O212" s="309">
        <f t="shared" si="13"/>
        <v>-112417.77698198406</v>
      </c>
      <c r="P212" s="311"/>
    </row>
    <row r="213" spans="1:16" s="152" customFormat="1" x14ac:dyDescent="0.25">
      <c r="A213" s="149">
        <f>'B) D RI'!A214</f>
        <v>5744</v>
      </c>
      <c r="B213" s="150" t="str">
        <f>'B) D RI'!B214</f>
        <v>Ballaigues</v>
      </c>
      <c r="C213" s="307">
        <f>'B) D RI'!S214</f>
        <v>65</v>
      </c>
      <c r="D213" s="151">
        <f>'B) D RI'!AA214</f>
        <v>1173</v>
      </c>
      <c r="E213" s="305">
        <f>'D) Ecrêtage'!C213</f>
        <v>49245.2596923077</v>
      </c>
      <c r="F213" s="309">
        <f>'E) PCS'!G219</f>
        <v>1196446.7770431368</v>
      </c>
      <c r="G213" s="306">
        <f>'H) Péréquation directe'!I223</f>
        <v>606661.78049457888</v>
      </c>
      <c r="H213" s="309">
        <f>+'I) Dépenses thématiques'!T213</f>
        <v>-395596.24707692303</v>
      </c>
      <c r="I213" s="306">
        <f>'K) Plafonnement aide'!J213</f>
        <v>0</v>
      </c>
      <c r="J213" s="309">
        <f>'J) Plafonnement effort'!J213</f>
        <v>0</v>
      </c>
      <c r="K213" s="306">
        <f>'L) Plafonnement taux'!Q214</f>
        <v>0</v>
      </c>
      <c r="L213" s="304">
        <f t="shared" si="9"/>
        <v>1407512.3104607926</v>
      </c>
      <c r="M213" s="229">
        <f>'M) Police'!N213</f>
        <v>150179.02371655736</v>
      </c>
      <c r="N213" s="229">
        <f t="shared" si="12"/>
        <v>1557691.3341773499</v>
      </c>
      <c r="O213" s="309">
        <f t="shared" si="13"/>
        <v>211065.53341765585</v>
      </c>
      <c r="P213" s="311"/>
    </row>
    <row r="214" spans="1:16" s="152" customFormat="1" x14ac:dyDescent="0.25">
      <c r="A214" s="149">
        <f>'B) D RI'!A215</f>
        <v>5745</v>
      </c>
      <c r="B214" s="150" t="str">
        <f>'B) D RI'!B215</f>
        <v>Baulmes</v>
      </c>
      <c r="C214" s="307">
        <f>'B) D RI'!S215</f>
        <v>76.5</v>
      </c>
      <c r="D214" s="151">
        <f>'B) D RI'!AA215</f>
        <v>1126</v>
      </c>
      <c r="E214" s="305">
        <f>'D) Ecrêtage'!C214</f>
        <v>28471.572156862745</v>
      </c>
      <c r="F214" s="309">
        <f>'E) PCS'!G220</f>
        <v>517297.23642889794</v>
      </c>
      <c r="G214" s="306">
        <f>'H) Péréquation directe'!I224</f>
        <v>-245676.53541897144</v>
      </c>
      <c r="H214" s="309">
        <f>+'I) Dépenses thématiques'!T214</f>
        <v>-436945.38794117648</v>
      </c>
      <c r="I214" s="306">
        <f>'K) Plafonnement aide'!J214</f>
        <v>0</v>
      </c>
      <c r="J214" s="309">
        <f>'J) Plafonnement effort'!J214</f>
        <v>0</v>
      </c>
      <c r="K214" s="306">
        <f>'L) Plafonnement taux'!Q215</f>
        <v>0</v>
      </c>
      <c r="L214" s="304">
        <f t="shared" si="9"/>
        <v>-165324.68693124998</v>
      </c>
      <c r="M214" s="229">
        <f>'M) Police'!N214</f>
        <v>86414.15408860505</v>
      </c>
      <c r="N214" s="229">
        <f t="shared" si="12"/>
        <v>-78910.532842644927</v>
      </c>
      <c r="O214" s="309">
        <f t="shared" si="13"/>
        <v>-682621.92336014798</v>
      </c>
      <c r="P214" s="311"/>
    </row>
    <row r="215" spans="1:16" s="152" customFormat="1" x14ac:dyDescent="0.25">
      <c r="A215" s="149">
        <f>'B) D RI'!A216</f>
        <v>5746</v>
      </c>
      <c r="B215" s="150" t="str">
        <f>'B) D RI'!B216</f>
        <v>Bavois</v>
      </c>
      <c r="C215" s="307">
        <f>'B) D RI'!S216</f>
        <v>73</v>
      </c>
      <c r="D215" s="151">
        <f>'B) D RI'!AA216</f>
        <v>978</v>
      </c>
      <c r="E215" s="305">
        <f>'D) Ecrêtage'!C215</f>
        <v>27408.124908675796</v>
      </c>
      <c r="F215" s="309">
        <f>'E) PCS'!G221</f>
        <v>504218.24300745397</v>
      </c>
      <c r="G215" s="306">
        <f>'H) Péréquation directe'!I225</f>
        <v>-34605.005843164749</v>
      </c>
      <c r="H215" s="309">
        <f>+'I) Dépenses thématiques'!T215</f>
        <v>-190577.15686643837</v>
      </c>
      <c r="I215" s="306">
        <f>'K) Plafonnement aide'!J215</f>
        <v>0</v>
      </c>
      <c r="J215" s="309">
        <f>'J) Plafonnement effort'!J215</f>
        <v>0</v>
      </c>
      <c r="K215" s="306">
        <f>'L) Plafonnement taux'!Q216</f>
        <v>0</v>
      </c>
      <c r="L215" s="304">
        <f t="shared" si="9"/>
        <v>279036.08029785089</v>
      </c>
      <c r="M215" s="229">
        <f>'M) Police'!N215</f>
        <v>81276.324143628095</v>
      </c>
      <c r="N215" s="229">
        <f t="shared" si="12"/>
        <v>360312.40444147901</v>
      </c>
      <c r="O215" s="309">
        <f t="shared" si="13"/>
        <v>-225182.16270960312</v>
      </c>
      <c r="P215" s="311"/>
    </row>
    <row r="216" spans="1:16" s="152" customFormat="1" x14ac:dyDescent="0.25">
      <c r="A216" s="149">
        <f>'B) D RI'!A217</f>
        <v>5747</v>
      </c>
      <c r="B216" s="150" t="str">
        <f>'B) D RI'!B217</f>
        <v>Bofflens</v>
      </c>
      <c r="C216" s="307">
        <f>'B) D RI'!S217</f>
        <v>69</v>
      </c>
      <c r="D216" s="151">
        <f>'B) D RI'!AA217</f>
        <v>206</v>
      </c>
      <c r="E216" s="305">
        <f>'D) Ecrêtage'!C216</f>
        <v>5808.1759420289845</v>
      </c>
      <c r="F216" s="309">
        <f>'E) PCS'!G222</f>
        <v>71020.028887692592</v>
      </c>
      <c r="G216" s="306">
        <f>'H) Péréquation directe'!I226</f>
        <v>3549.3846193327627</v>
      </c>
      <c r="H216" s="309">
        <f>+'I) Dépenses thématiques'!T216</f>
        <v>-23446.194347826095</v>
      </c>
      <c r="I216" s="306">
        <f>'K) Plafonnement aide'!J216</f>
        <v>0</v>
      </c>
      <c r="J216" s="309">
        <f>'J) Plafonnement effort'!J216</f>
        <v>0</v>
      </c>
      <c r="K216" s="306">
        <f>'L) Plafonnement taux'!Q217</f>
        <v>0</v>
      </c>
      <c r="L216" s="304">
        <f t="shared" si="9"/>
        <v>51123.21915919926</v>
      </c>
      <c r="M216" s="229">
        <f>'M) Police'!N216</f>
        <v>17463.093505838733</v>
      </c>
      <c r="N216" s="229">
        <f t="shared" si="12"/>
        <v>68586.312665037985</v>
      </c>
      <c r="O216" s="309">
        <f t="shared" si="13"/>
        <v>-19896.809728493332</v>
      </c>
      <c r="P216" s="311"/>
    </row>
    <row r="217" spans="1:16" s="152" customFormat="1" x14ac:dyDescent="0.25">
      <c r="A217" s="149">
        <f>'B) D RI'!A218</f>
        <v>5748</v>
      </c>
      <c r="B217" s="150" t="str">
        <f>'B) D RI'!B218</f>
        <v>Bretonnières</v>
      </c>
      <c r="C217" s="307">
        <f>'B) D RI'!S218</f>
        <v>70.5</v>
      </c>
      <c r="D217" s="151">
        <f>'B) D RI'!AA218</f>
        <v>266</v>
      </c>
      <c r="E217" s="305">
        <f>'D) Ecrêtage'!C217</f>
        <v>6643.6153664302601</v>
      </c>
      <c r="F217" s="309">
        <f>'E) PCS'!G223</f>
        <v>97915.821520237339</v>
      </c>
      <c r="G217" s="306">
        <f>'H) Péréquation directe'!I227</f>
        <v>-32876.591321064101</v>
      </c>
      <c r="H217" s="309">
        <f>+'I) Dépenses thématiques'!T217</f>
        <v>-57648.057801418443</v>
      </c>
      <c r="I217" s="306">
        <f>'K) Plafonnement aide'!J217</f>
        <v>0</v>
      </c>
      <c r="J217" s="309">
        <f>'J) Plafonnement effort'!J217</f>
        <v>0</v>
      </c>
      <c r="K217" s="306">
        <f>'L) Plafonnement taux'!Q218</f>
        <v>0</v>
      </c>
      <c r="L217" s="304">
        <f t="shared" si="9"/>
        <v>7391.1723977547954</v>
      </c>
      <c r="M217" s="229">
        <f>'M) Police'!N217</f>
        <v>19944.175677789044</v>
      </c>
      <c r="N217" s="229">
        <f t="shared" si="12"/>
        <v>27335.34807554384</v>
      </c>
      <c r="O217" s="309">
        <f t="shared" si="13"/>
        <v>-90524.649122482544</v>
      </c>
      <c r="P217" s="311"/>
    </row>
    <row r="218" spans="1:16" s="152" customFormat="1" x14ac:dyDescent="0.25">
      <c r="A218" s="149">
        <f>'B) D RI'!A219</f>
        <v>5749</v>
      </c>
      <c r="B218" s="150" t="str">
        <f>'B) D RI'!B219</f>
        <v>Chavornay</v>
      </c>
      <c r="C218" s="307">
        <f>'B) D RI'!S219</f>
        <v>70.5</v>
      </c>
      <c r="D218" s="151">
        <f>'B) D RI'!AA219</f>
        <v>5366</v>
      </c>
      <c r="E218" s="305">
        <f>'D) Ecrêtage'!C218</f>
        <v>153338.61687943264</v>
      </c>
      <c r="F218" s="309">
        <f>'E) PCS'!G224</f>
        <v>2346198.6243727813</v>
      </c>
      <c r="G218" s="306">
        <f>'H) Péréquation directe'!I228</f>
        <v>-1290478.1661141035</v>
      </c>
      <c r="H218" s="309">
        <f>+'I) Dépenses thématiques'!T218</f>
        <v>-633869.58606382972</v>
      </c>
      <c r="I218" s="306">
        <f>'K) Plafonnement aide'!J218</f>
        <v>0</v>
      </c>
      <c r="J218" s="309">
        <f>'J) Plafonnement effort'!J218</f>
        <v>0</v>
      </c>
      <c r="K218" s="306">
        <f>'L) Plafonnement taux'!Q219</f>
        <v>0</v>
      </c>
      <c r="L218" s="304">
        <f t="shared" ref="L218" si="14">F218+G218+H218+I218+J218+K218</f>
        <v>421850.87219484802</v>
      </c>
      <c r="M218" s="229">
        <f>'M) Police'!N218</f>
        <v>458951.86775866459</v>
      </c>
      <c r="N218" s="229">
        <f t="shared" ref="N218" si="15">L218+M218</f>
        <v>880802.73995351256</v>
      </c>
      <c r="O218" s="309">
        <f t="shared" si="13"/>
        <v>-1924347.7521779332</v>
      </c>
      <c r="P218" s="311"/>
    </row>
    <row r="219" spans="1:16" s="152" customFormat="1" x14ac:dyDescent="0.25">
      <c r="A219" s="149">
        <f>'B) D RI'!A220</f>
        <v>5750</v>
      </c>
      <c r="B219" s="150" t="str">
        <f>'B) D RI'!B220</f>
        <v>Les Clées</v>
      </c>
      <c r="C219" s="307">
        <f>'B) D RI'!S220</f>
        <v>80</v>
      </c>
      <c r="D219" s="151">
        <f>'B) D RI'!AA220</f>
        <v>182</v>
      </c>
      <c r="E219" s="305">
        <f>'D) Ecrêtage'!C219</f>
        <v>4819.774166666667</v>
      </c>
      <c r="F219" s="309">
        <f>'E) PCS'!G225</f>
        <v>81341.200392101237</v>
      </c>
      <c r="G219" s="306">
        <f>'H) Péréquation directe'!I229</f>
        <v>-34705.050924681695</v>
      </c>
      <c r="H219" s="309">
        <f>+'I) Dépenses thématiques'!T219</f>
        <v>-45742.524374999994</v>
      </c>
      <c r="I219" s="306">
        <f>'K) Plafonnement aide'!J219</f>
        <v>0</v>
      </c>
      <c r="J219" s="309">
        <f>'J) Plafonnement effort'!J219</f>
        <v>0</v>
      </c>
      <c r="K219" s="306">
        <f>'L) Plafonnement taux'!Q220</f>
        <v>0</v>
      </c>
      <c r="L219" s="304">
        <f t="shared" si="9"/>
        <v>893.62509241954831</v>
      </c>
      <c r="M219" s="229">
        <f>'M) Police'!N219</f>
        <v>14687.748816368588</v>
      </c>
      <c r="N219" s="229">
        <f t="shared" si="12"/>
        <v>15581.373908788137</v>
      </c>
      <c r="O219" s="309">
        <f t="shared" si="13"/>
        <v>-80447.575299681688</v>
      </c>
      <c r="P219" s="311"/>
    </row>
    <row r="220" spans="1:16" s="152" customFormat="1" x14ac:dyDescent="0.25">
      <c r="A220" s="149">
        <f>'B) D RI'!A221</f>
        <v>5752</v>
      </c>
      <c r="B220" s="150" t="str">
        <f>'B) D RI'!B221</f>
        <v>Croy</v>
      </c>
      <c r="C220" s="307">
        <f>'B) D RI'!S221</f>
        <v>74</v>
      </c>
      <c r="D220" s="151">
        <f>'B) D RI'!AA221</f>
        <v>390</v>
      </c>
      <c r="E220" s="305">
        <f>'D) Ecrêtage'!C220</f>
        <v>9670.9952316602321</v>
      </c>
      <c r="F220" s="309">
        <f>'E) PCS'!G226</f>
        <v>137149.7319646969</v>
      </c>
      <c r="G220" s="306">
        <f>'H) Péréquation directe'!I230</f>
        <v>-69468.498422672506</v>
      </c>
      <c r="H220" s="309">
        <f>+'I) Dépenses thématiques'!T220</f>
        <v>0</v>
      </c>
      <c r="I220" s="306">
        <f>'K) Plafonnement aide'!J220</f>
        <v>0</v>
      </c>
      <c r="J220" s="309">
        <f>'J) Plafonnement effort'!J220</f>
        <v>0</v>
      </c>
      <c r="K220" s="306">
        <f>'L) Plafonnement taux'!Q221</f>
        <v>0</v>
      </c>
      <c r="L220" s="304">
        <f t="shared" ref="L220:L264" si="16">F220+G220+H220+I220+J220+K220</f>
        <v>67681.233542024391</v>
      </c>
      <c r="M220" s="229">
        <f>'M) Police'!N220</f>
        <v>28963.303872261167</v>
      </c>
      <c r="N220" s="229">
        <f t="shared" si="12"/>
        <v>96644.537414285558</v>
      </c>
      <c r="O220" s="309">
        <f t="shared" si="13"/>
        <v>-69468.498422672506</v>
      </c>
      <c r="P220" s="311"/>
    </row>
    <row r="221" spans="1:16" s="152" customFormat="1" x14ac:dyDescent="0.25">
      <c r="A221" s="149">
        <f>'B) D RI'!A222</f>
        <v>5754</v>
      </c>
      <c r="B221" s="150" t="str">
        <f>'B) D RI'!B222</f>
        <v>Juriens</v>
      </c>
      <c r="C221" s="307">
        <f>'B) D RI'!S222</f>
        <v>79</v>
      </c>
      <c r="D221" s="151">
        <f>'B) D RI'!AA222</f>
        <v>348</v>
      </c>
      <c r="E221" s="305">
        <f>'D) Ecrêtage'!C221</f>
        <v>9073.6935443037964</v>
      </c>
      <c r="F221" s="309">
        <f>'E) PCS'!G227</f>
        <v>175766.90931338631</v>
      </c>
      <c r="G221" s="306">
        <f>'H) Péréquation directe'!I231</f>
        <v>-67712.539938824717</v>
      </c>
      <c r="H221" s="309">
        <f>+'I) Dépenses thématiques'!T221</f>
        <v>-39154.318575949372</v>
      </c>
      <c r="I221" s="306">
        <f>'K) Plafonnement aide'!J221</f>
        <v>0</v>
      </c>
      <c r="J221" s="309">
        <f>'J) Plafonnement effort'!J221</f>
        <v>0</v>
      </c>
      <c r="K221" s="306">
        <f>'L) Plafonnement taux'!Q222</f>
        <v>0</v>
      </c>
      <c r="L221" s="304">
        <f t="shared" si="16"/>
        <v>68900.05079861221</v>
      </c>
      <c r="M221" s="229">
        <f>'M) Police'!N221</f>
        <v>27598.753903449728</v>
      </c>
      <c r="N221" s="229">
        <f t="shared" si="12"/>
        <v>96498.804702061941</v>
      </c>
      <c r="O221" s="309">
        <f t="shared" si="13"/>
        <v>-106866.8585147741</v>
      </c>
      <c r="P221" s="311"/>
    </row>
    <row r="222" spans="1:16" s="152" customFormat="1" x14ac:dyDescent="0.25">
      <c r="A222" s="149">
        <f>'B) D RI'!A223</f>
        <v>5755</v>
      </c>
      <c r="B222" s="150" t="str">
        <f>'B) D RI'!B223</f>
        <v>Lignerolle</v>
      </c>
      <c r="C222" s="307">
        <f>'B) D RI'!S223</f>
        <v>78.5</v>
      </c>
      <c r="D222" s="151">
        <f>'B) D RI'!AA223</f>
        <v>409</v>
      </c>
      <c r="E222" s="305">
        <f>'D) Ecrêtage'!C222</f>
        <v>10746.718034576888</v>
      </c>
      <c r="F222" s="309">
        <f>'E) PCS'!G228</f>
        <v>167728.63883224368</v>
      </c>
      <c r="G222" s="306">
        <f>'H) Péréquation directe'!I232</f>
        <v>-73140.799540880544</v>
      </c>
      <c r="H222" s="309">
        <f>+'I) Dépenses thématiques'!T222</f>
        <v>-290797.90326660604</v>
      </c>
      <c r="I222" s="306">
        <f>'K) Plafonnement aide'!J222</f>
        <v>0</v>
      </c>
      <c r="J222" s="309">
        <f>'J) Plafonnement effort'!J222</f>
        <v>0</v>
      </c>
      <c r="K222" s="306">
        <f>'L) Plafonnement taux'!Q223</f>
        <v>0</v>
      </c>
      <c r="L222" s="304">
        <f t="shared" si="16"/>
        <v>-196210.0639752429</v>
      </c>
      <c r="M222" s="229">
        <f>'M) Police'!N222</f>
        <v>32309.091771092029</v>
      </c>
      <c r="N222" s="229">
        <f t="shared" si="12"/>
        <v>-163900.97220415086</v>
      </c>
      <c r="O222" s="309">
        <f t="shared" si="13"/>
        <v>-363938.70280748658</v>
      </c>
      <c r="P222" s="311"/>
    </row>
    <row r="223" spans="1:16" s="152" customFormat="1" x14ac:dyDescent="0.25">
      <c r="A223" s="149">
        <f>'B) D RI'!A224</f>
        <v>5756</v>
      </c>
      <c r="B223" s="150" t="str">
        <f>'B) D RI'!B224</f>
        <v>Montcherand</v>
      </c>
      <c r="C223" s="307">
        <f>'B) D RI'!S224</f>
        <v>72</v>
      </c>
      <c r="D223" s="151">
        <f>'B) D RI'!AA224</f>
        <v>502</v>
      </c>
      <c r="E223" s="305">
        <f>'D) Ecrêtage'!C223</f>
        <v>17739.52444444444</v>
      </c>
      <c r="F223" s="309">
        <f>'E) PCS'!G229</f>
        <v>246328.6737540274</v>
      </c>
      <c r="G223" s="306">
        <f>'H) Péréquation directe'!I233</f>
        <v>132650.49274665586</v>
      </c>
      <c r="H223" s="309">
        <f>+'I) Dépenses thématiques'!T223</f>
        <v>-35082.603333333362</v>
      </c>
      <c r="I223" s="306">
        <f>'K) Plafonnement aide'!J223</f>
        <v>0</v>
      </c>
      <c r="J223" s="309">
        <f>'J) Plafonnement effort'!J223</f>
        <v>0</v>
      </c>
      <c r="K223" s="306">
        <f>'L) Plafonnement taux'!Q224</f>
        <v>0</v>
      </c>
      <c r="L223" s="304">
        <f t="shared" si="16"/>
        <v>343896.5631673499</v>
      </c>
      <c r="M223" s="229">
        <f>'M) Police'!N223</f>
        <v>20736.180231090235</v>
      </c>
      <c r="N223" s="229">
        <f t="shared" si="12"/>
        <v>364632.74339844013</v>
      </c>
      <c r="O223" s="309">
        <f t="shared" si="13"/>
        <v>97567.889413322497</v>
      </c>
      <c r="P223" s="311"/>
    </row>
    <row r="224" spans="1:16" s="152" customFormat="1" x14ac:dyDescent="0.25">
      <c r="A224" s="149">
        <f>'B) D RI'!A225</f>
        <v>5757</v>
      </c>
      <c r="B224" s="150" t="str">
        <f>'B) D RI'!B225</f>
        <v>Orbe</v>
      </c>
      <c r="C224" s="307">
        <f>'B) D RI'!S225</f>
        <v>75.5</v>
      </c>
      <c r="D224" s="151">
        <f>'B) D RI'!AA225</f>
        <v>7570</v>
      </c>
      <c r="E224" s="305">
        <f>'D) Ecrêtage'!C224</f>
        <v>216184.82317880794</v>
      </c>
      <c r="F224" s="309">
        <f>'E) PCS'!G230</f>
        <v>4302370.8309885748</v>
      </c>
      <c r="G224" s="306">
        <f>'H) Péréquation directe'!I234</f>
        <v>-2745039.7434829432</v>
      </c>
      <c r="H224" s="309">
        <f>+'I) Dépenses thématiques'!T224</f>
        <v>-1990731.3109271522</v>
      </c>
      <c r="I224" s="306">
        <f>'K) Plafonnement aide'!J224</f>
        <v>0</v>
      </c>
      <c r="J224" s="309">
        <f>'J) Plafonnement effort'!J224</f>
        <v>0</v>
      </c>
      <c r="K224" s="306">
        <f>'L) Plafonnement taux'!Q225</f>
        <v>0</v>
      </c>
      <c r="L224" s="304">
        <f t="shared" si="16"/>
        <v>-433400.22342152055</v>
      </c>
      <c r="M224" s="229">
        <f>'M) Police'!N224</f>
        <v>252703.92510809653</v>
      </c>
      <c r="N224" s="229">
        <f t="shared" si="12"/>
        <v>-180696.29831342402</v>
      </c>
      <c r="O224" s="309">
        <f t="shared" si="13"/>
        <v>-4735771.0544100953</v>
      </c>
      <c r="P224" s="311"/>
    </row>
    <row r="225" spans="1:16" s="152" customFormat="1" x14ac:dyDescent="0.25">
      <c r="A225" s="149">
        <f>'B) D RI'!A226</f>
        <v>5758</v>
      </c>
      <c r="B225" s="150" t="str">
        <f>'B) D RI'!B226</f>
        <v>La Praz</v>
      </c>
      <c r="C225" s="307">
        <f>'B) D RI'!S226</f>
        <v>83</v>
      </c>
      <c r="D225" s="151">
        <f>'B) D RI'!AA226</f>
        <v>182</v>
      </c>
      <c r="E225" s="305">
        <f>'D) Ecrêtage'!C225</f>
        <v>4771.8661445783146</v>
      </c>
      <c r="F225" s="309">
        <f>'E) PCS'!G231</f>
        <v>80086.616594587729</v>
      </c>
      <c r="G225" s="306">
        <f>'H) Péréquation directe'!I235</f>
        <v>-44703.464735566391</v>
      </c>
      <c r="H225" s="309">
        <f>+'I) Dépenses thématiques'!T225</f>
        <v>-39989.303132530113</v>
      </c>
      <c r="I225" s="306">
        <f>'K) Plafonnement aide'!J225</f>
        <v>0</v>
      </c>
      <c r="J225" s="309">
        <f>'J) Plafonnement effort'!J225</f>
        <v>0</v>
      </c>
      <c r="K225" s="306">
        <f>'L) Plafonnement taux'!Q226</f>
        <v>0</v>
      </c>
      <c r="L225" s="304">
        <f t="shared" si="16"/>
        <v>-4606.1512735087745</v>
      </c>
      <c r="M225" s="229">
        <f>'M) Police'!N225</f>
        <v>14413.169630638571</v>
      </c>
      <c r="N225" s="229">
        <f t="shared" si="12"/>
        <v>9807.0183571297966</v>
      </c>
      <c r="O225" s="309">
        <f t="shared" si="13"/>
        <v>-84692.767868096504</v>
      </c>
      <c r="P225" s="311"/>
    </row>
    <row r="226" spans="1:16" s="152" customFormat="1" x14ac:dyDescent="0.25">
      <c r="A226" s="149">
        <f>'B) D RI'!A227</f>
        <v>5759</v>
      </c>
      <c r="B226" s="150" t="str">
        <f>'B) D RI'!B227</f>
        <v>Premier</v>
      </c>
      <c r="C226" s="307">
        <f>'B) D RI'!S227</f>
        <v>79.5</v>
      </c>
      <c r="D226" s="151">
        <f>'B) D RI'!AA227</f>
        <v>232</v>
      </c>
      <c r="E226" s="305">
        <f>'D) Ecrêtage'!C226</f>
        <v>5900.0572327044019</v>
      </c>
      <c r="F226" s="309">
        <f>'E) PCS'!G232</f>
        <v>73283.071376123087</v>
      </c>
      <c r="G226" s="306">
        <f>'H) Péréquation directe'!I236</f>
        <v>-53324.152895425752</v>
      </c>
      <c r="H226" s="309">
        <f>+'I) Dépenses thématiques'!T226</f>
        <v>-72846.363679245289</v>
      </c>
      <c r="I226" s="306">
        <f>'K) Plafonnement aide'!J226</f>
        <v>0</v>
      </c>
      <c r="J226" s="309">
        <f>'J) Plafonnement effort'!J226</f>
        <v>0</v>
      </c>
      <c r="K226" s="306">
        <f>'L) Plafonnement taux'!Q227</f>
        <v>0</v>
      </c>
      <c r="L226" s="304">
        <f t="shared" si="16"/>
        <v>-52887.445198547954</v>
      </c>
      <c r="M226" s="229">
        <f>'M) Police'!N226</f>
        <v>17884.598300579775</v>
      </c>
      <c r="N226" s="229">
        <f t="shared" si="12"/>
        <v>-35002.846897968178</v>
      </c>
      <c r="O226" s="309">
        <f t="shared" si="13"/>
        <v>-126170.51657467104</v>
      </c>
      <c r="P226" s="311"/>
    </row>
    <row r="227" spans="1:16" s="152" customFormat="1" x14ac:dyDescent="0.25">
      <c r="A227" s="149">
        <f>'B) D RI'!A228</f>
        <v>5760</v>
      </c>
      <c r="B227" s="150" t="str">
        <f>'B) D RI'!B228</f>
        <v>Rances</v>
      </c>
      <c r="C227" s="307">
        <f>'B) D RI'!S228</f>
        <v>76.5</v>
      </c>
      <c r="D227" s="151">
        <f>'B) D RI'!AA228</f>
        <v>512</v>
      </c>
      <c r="E227" s="305">
        <f>'D) Ecrêtage'!C227</f>
        <v>14481.892461873636</v>
      </c>
      <c r="F227" s="309">
        <f>'E) PCS'!G233</f>
        <v>232940.81005962097</v>
      </c>
      <c r="G227" s="306">
        <f>'H) Péréquation directe'!I237</f>
        <v>-34304.447180526389</v>
      </c>
      <c r="H227" s="309">
        <f>+'I) Dépenses thématiques'!T227</f>
        <v>-127518.72588235296</v>
      </c>
      <c r="I227" s="306">
        <f>'K) Plafonnement aide'!J227</f>
        <v>0</v>
      </c>
      <c r="J227" s="309">
        <f>'J) Plafonnement effort'!J227</f>
        <v>0</v>
      </c>
      <c r="K227" s="306">
        <f>'L) Plafonnement taux'!Q228</f>
        <v>0</v>
      </c>
      <c r="L227" s="304">
        <f t="shared" si="16"/>
        <v>71117.636996741625</v>
      </c>
      <c r="M227" s="229">
        <f>'M) Police'!N227</f>
        <v>43745.753249557762</v>
      </c>
      <c r="N227" s="229">
        <f t="shared" si="12"/>
        <v>114863.39024629939</v>
      </c>
      <c r="O227" s="309">
        <f t="shared" si="13"/>
        <v>-161823.17306287936</v>
      </c>
      <c r="P227" s="311"/>
    </row>
    <row r="228" spans="1:16" s="152" customFormat="1" x14ac:dyDescent="0.25">
      <c r="A228" s="149">
        <f>'B) D RI'!A229</f>
        <v>5761</v>
      </c>
      <c r="B228" s="150" t="str">
        <f>'B) D RI'!B229</f>
        <v>Romainmôtier-Envy</v>
      </c>
      <c r="C228" s="307">
        <f>'B) D RI'!S229</f>
        <v>81</v>
      </c>
      <c r="D228" s="151">
        <f>'B) D RI'!AA229</f>
        <v>551</v>
      </c>
      <c r="E228" s="305">
        <f>'D) Ecrêtage'!C228</f>
        <v>12913.984792368126</v>
      </c>
      <c r="F228" s="309">
        <f>'E) PCS'!G234</f>
        <v>252877.96978687457</v>
      </c>
      <c r="G228" s="306">
        <f>'H) Péréquation directe'!I238</f>
        <v>-188091.94897224725</v>
      </c>
      <c r="H228" s="309">
        <f>+'I) Dépenses thématiques'!T228</f>
        <v>-171186.10265151513</v>
      </c>
      <c r="I228" s="306">
        <f>'K) Plafonnement aide'!J228</f>
        <v>0</v>
      </c>
      <c r="J228" s="309">
        <f>'J) Plafonnement effort'!J228</f>
        <v>0</v>
      </c>
      <c r="K228" s="306">
        <f>'L) Plafonnement taux'!Q229</f>
        <v>0</v>
      </c>
      <c r="L228" s="304">
        <f t="shared" si="16"/>
        <v>-106400.08183688781</v>
      </c>
      <c r="M228" s="229">
        <f>'M) Police'!N228</f>
        <v>38667.438813525318</v>
      </c>
      <c r="N228" s="229">
        <f t="shared" si="12"/>
        <v>-67732.6430233625</v>
      </c>
      <c r="O228" s="309">
        <f t="shared" si="13"/>
        <v>-359278.05162376235</v>
      </c>
      <c r="P228" s="311"/>
    </row>
    <row r="229" spans="1:16" s="152" customFormat="1" x14ac:dyDescent="0.25">
      <c r="A229" s="149">
        <f>'B) D RI'!A230</f>
        <v>5762</v>
      </c>
      <c r="B229" s="150" t="str">
        <f>'B) D RI'!B230</f>
        <v>Sergey</v>
      </c>
      <c r="C229" s="307">
        <f>'B) D RI'!S230</f>
        <v>78</v>
      </c>
      <c r="D229" s="151">
        <f>'B) D RI'!AA230</f>
        <v>141</v>
      </c>
      <c r="E229" s="305">
        <f>'D) Ecrêtage'!C229</f>
        <v>3849.6283333333336</v>
      </c>
      <c r="F229" s="309">
        <f>'E) PCS'!G235</f>
        <v>50601.499962308553</v>
      </c>
      <c r="G229" s="306">
        <f>'H) Péréquation directe'!I239</f>
        <v>-18021.986101383518</v>
      </c>
      <c r="H229" s="309">
        <f>+'I) Dépenses thématiques'!T229</f>
        <v>-26436.258749999997</v>
      </c>
      <c r="I229" s="306">
        <f>'K) Plafonnement aide'!J229</f>
        <v>0</v>
      </c>
      <c r="J229" s="309">
        <f>'J) Plafonnement effort'!J229</f>
        <v>0</v>
      </c>
      <c r="K229" s="306">
        <f>'L) Plafonnement taux'!Q230</f>
        <v>0</v>
      </c>
      <c r="L229" s="304">
        <f t="shared" si="16"/>
        <v>6143.255110925038</v>
      </c>
      <c r="M229" s="229">
        <f>'M) Police'!N229</f>
        <v>11647.577210468547</v>
      </c>
      <c r="N229" s="229">
        <f t="shared" si="12"/>
        <v>17790.832321393587</v>
      </c>
      <c r="O229" s="309">
        <f t="shared" si="13"/>
        <v>-44458.244851383512</v>
      </c>
      <c r="P229" s="311"/>
    </row>
    <row r="230" spans="1:16" s="152" customFormat="1" x14ac:dyDescent="0.25">
      <c r="A230" s="149">
        <f>'B) D RI'!A231</f>
        <v>5763</v>
      </c>
      <c r="B230" s="150" t="str">
        <f>'B) D RI'!B231</f>
        <v>Valeyres-sous-Rances</v>
      </c>
      <c r="C230" s="307">
        <f>'B) D RI'!S231</f>
        <v>68</v>
      </c>
      <c r="D230" s="151">
        <f>'B) D RI'!AA231</f>
        <v>614</v>
      </c>
      <c r="E230" s="305">
        <f>'D) Ecrêtage'!C230</f>
        <v>22663.97352941176</v>
      </c>
      <c r="F230" s="309">
        <f>'E) PCS'!G236</f>
        <v>299925.08874165884</v>
      </c>
      <c r="G230" s="306">
        <f>'H) Péréquation directe'!I240</f>
        <v>216051.29322535323</v>
      </c>
      <c r="H230" s="309">
        <f>+'I) Dépenses thématiques'!T230</f>
        <v>-71456.428676470619</v>
      </c>
      <c r="I230" s="306">
        <f>'K) Plafonnement aide'!J230</f>
        <v>0</v>
      </c>
      <c r="J230" s="309">
        <f>'J) Plafonnement effort'!J230</f>
        <v>0</v>
      </c>
      <c r="K230" s="306">
        <f>'L) Plafonnement taux'!Q231</f>
        <v>0</v>
      </c>
      <c r="L230" s="304">
        <f t="shared" si="16"/>
        <v>444519.95329054142</v>
      </c>
      <c r="M230" s="229">
        <f>'M) Police'!N230</f>
        <v>68933.304009512649</v>
      </c>
      <c r="N230" s="229">
        <f t="shared" si="12"/>
        <v>513453.25730005407</v>
      </c>
      <c r="O230" s="309">
        <f t="shared" si="13"/>
        <v>144594.86454888262</v>
      </c>
      <c r="P230" s="311"/>
    </row>
    <row r="231" spans="1:16" s="152" customFormat="1" x14ac:dyDescent="0.25">
      <c r="A231" s="149">
        <f>'B) D RI'!A232</f>
        <v>5764</v>
      </c>
      <c r="B231" s="150" t="str">
        <f>'B) D RI'!B232</f>
        <v>Vallorbe</v>
      </c>
      <c r="C231" s="307">
        <f>'B) D RI'!S232</f>
        <v>71.5</v>
      </c>
      <c r="D231" s="151">
        <f>'B) D RI'!AA232</f>
        <v>3924</v>
      </c>
      <c r="E231" s="305">
        <f>'D) Ecrêtage'!C231</f>
        <v>83682.382797202779</v>
      </c>
      <c r="F231" s="309">
        <f>'E) PCS'!G237</f>
        <v>1912119.047041611</v>
      </c>
      <c r="G231" s="306">
        <f>'H) Péréquation directe'!I241</f>
        <v>-1891645.0100245699</v>
      </c>
      <c r="H231" s="309">
        <f>+'I) Dépenses thématiques'!T231</f>
        <v>-2160181.9161188812</v>
      </c>
      <c r="I231" s="306">
        <f>'K) Plafonnement aide'!J231</f>
        <v>0</v>
      </c>
      <c r="J231" s="309">
        <f>'J) Plafonnement effort'!J231</f>
        <v>0</v>
      </c>
      <c r="K231" s="306">
        <f>'L) Plafonnement taux'!Q232</f>
        <v>0</v>
      </c>
      <c r="L231" s="304">
        <f t="shared" si="16"/>
        <v>-2139707.8791018398</v>
      </c>
      <c r="M231" s="229">
        <f>'M) Police'!N231</f>
        <v>250916.34921034938</v>
      </c>
      <c r="N231" s="229">
        <f t="shared" si="12"/>
        <v>-1888791.5298914905</v>
      </c>
      <c r="O231" s="309">
        <f t="shared" si="13"/>
        <v>-4051826.9261434511</v>
      </c>
      <c r="P231" s="311"/>
    </row>
    <row r="232" spans="1:16" s="152" customFormat="1" x14ac:dyDescent="0.25">
      <c r="A232" s="149">
        <f>'B) D RI'!A233</f>
        <v>5765</v>
      </c>
      <c r="B232" s="150" t="str">
        <f>'B) D RI'!B233</f>
        <v>Vaulion</v>
      </c>
      <c r="C232" s="307">
        <f>'B) D RI'!S233</f>
        <v>81</v>
      </c>
      <c r="D232" s="151">
        <f>'B) D RI'!AA233</f>
        <v>492</v>
      </c>
      <c r="E232" s="305">
        <f>'D) Ecrêtage'!C232</f>
        <v>10279.479012345679</v>
      </c>
      <c r="F232" s="309">
        <f>'E) PCS'!G238</f>
        <v>175288.31169195104</v>
      </c>
      <c r="G232" s="306">
        <f>'H) Péréquation directe'!I242</f>
        <v>-224101.34317223847</v>
      </c>
      <c r="H232" s="309">
        <f>+'I) Dépenses thématiques'!T232</f>
        <v>-132534.87592592594</v>
      </c>
      <c r="I232" s="306">
        <f>'K) Plafonnement aide'!J232</f>
        <v>0</v>
      </c>
      <c r="J232" s="309">
        <f>'J) Plafonnement effort'!J232</f>
        <v>0</v>
      </c>
      <c r="K232" s="306">
        <f>'L) Plafonnement taux'!Q233</f>
        <v>0</v>
      </c>
      <c r="L232" s="304">
        <f t="shared" si="16"/>
        <v>-181347.90740621337</v>
      </c>
      <c r="M232" s="229">
        <f>'M) Police'!N232</f>
        <v>30964.338902233361</v>
      </c>
      <c r="N232" s="229">
        <f t="shared" si="12"/>
        <v>-150383.56850398</v>
      </c>
      <c r="O232" s="309">
        <f t="shared" si="13"/>
        <v>-356636.21909816441</v>
      </c>
      <c r="P232" s="311"/>
    </row>
    <row r="233" spans="1:16" s="152" customFormat="1" x14ac:dyDescent="0.25">
      <c r="A233" s="149">
        <f>'B) D RI'!A234</f>
        <v>5766</v>
      </c>
      <c r="B233" s="150" t="str">
        <f>'B) D RI'!B234</f>
        <v>Vuiteboeuf</v>
      </c>
      <c r="C233" s="307">
        <f>'B) D RI'!S234</f>
        <v>75</v>
      </c>
      <c r="D233" s="151">
        <f>'B) D RI'!AA234</f>
        <v>591</v>
      </c>
      <c r="E233" s="305">
        <f>'D) Ecrêtage'!C233</f>
        <v>15554.101904761903</v>
      </c>
      <c r="F233" s="309">
        <f>'E) PCS'!G239</f>
        <v>241602.42633380293</v>
      </c>
      <c r="G233" s="306">
        <f>'H) Péréquation directe'!I243</f>
        <v>-76608.375963118218</v>
      </c>
      <c r="H233" s="309">
        <f>+'I) Dépenses thématiques'!T233</f>
        <v>-60804.812142857161</v>
      </c>
      <c r="I233" s="306">
        <f>'K) Plafonnement aide'!J233</f>
        <v>0</v>
      </c>
      <c r="J233" s="309">
        <f>'J) Plafonnement effort'!J233</f>
        <v>0</v>
      </c>
      <c r="K233" s="306">
        <f>'L) Plafonnement taux'!Q234</f>
        <v>0</v>
      </c>
      <c r="L233" s="304">
        <f t="shared" si="16"/>
        <v>104189.23822782755</v>
      </c>
      <c r="M233" s="229">
        <f>'M) Police'!N233</f>
        <v>47026.687040023171</v>
      </c>
      <c r="N233" s="229">
        <f t="shared" si="12"/>
        <v>151215.92526785072</v>
      </c>
      <c r="O233" s="309">
        <f t="shared" si="13"/>
        <v>-137413.18810597539</v>
      </c>
      <c r="P233" s="311"/>
    </row>
    <row r="234" spans="1:16" s="152" customFormat="1" x14ac:dyDescent="0.25">
      <c r="A234" s="149">
        <f>'B) D RI'!A235</f>
        <v>5785</v>
      </c>
      <c r="B234" s="150" t="str">
        <f>'B) D RI'!B235</f>
        <v>Corcelles-le-Jorat</v>
      </c>
      <c r="C234" s="307">
        <f>'B) D RI'!S235</f>
        <v>77</v>
      </c>
      <c r="D234" s="151">
        <f>'B) D RI'!AA235</f>
        <v>489</v>
      </c>
      <c r="E234" s="305">
        <f>'D) Ecrêtage'!C234</f>
        <v>14579.940909090908</v>
      </c>
      <c r="F234" s="309">
        <f>'E) PCS'!G240</f>
        <v>215776.22509338037</v>
      </c>
      <c r="G234" s="306">
        <f>'H) Péréquation directe'!I244</f>
        <v>-4085.0104081853642</v>
      </c>
      <c r="H234" s="309">
        <f>+'I) Dépenses thématiques'!T234</f>
        <v>-61807.148863636372</v>
      </c>
      <c r="I234" s="306">
        <f>'K) Plafonnement aide'!J234</f>
        <v>0</v>
      </c>
      <c r="J234" s="309">
        <f>'J) Plafonnement effort'!J234</f>
        <v>0</v>
      </c>
      <c r="K234" s="306">
        <f>'L) Plafonnement taux'!Q235</f>
        <v>0</v>
      </c>
      <c r="L234" s="304">
        <f t="shared" si="16"/>
        <v>149884.06582155864</v>
      </c>
      <c r="M234" s="229">
        <f>'M) Police'!N234</f>
        <v>44192.447283548012</v>
      </c>
      <c r="N234" s="229">
        <f t="shared" si="12"/>
        <v>194076.51310510666</v>
      </c>
      <c r="O234" s="309">
        <f t="shared" si="13"/>
        <v>-65892.159271821729</v>
      </c>
      <c r="P234" s="311"/>
    </row>
    <row r="235" spans="1:16" s="152" customFormat="1" x14ac:dyDescent="0.25">
      <c r="A235" s="149">
        <f>'B) D RI'!A236</f>
        <v>5788</v>
      </c>
      <c r="B235" s="150" t="str">
        <f>'B) D RI'!B236</f>
        <v>Essertes</v>
      </c>
      <c r="C235" s="307">
        <f>'B) D RI'!S236</f>
        <v>71.5</v>
      </c>
      <c r="D235" s="151">
        <f>'B) D RI'!AA236</f>
        <v>397</v>
      </c>
      <c r="E235" s="305">
        <f>'D) Ecrêtage'!C235</f>
        <v>13314.951048951047</v>
      </c>
      <c r="F235" s="309">
        <f>'E) PCS'!G241</f>
        <v>176978.96306914833</v>
      </c>
      <c r="G235" s="306">
        <f>'H) Péréquation directe'!I245</f>
        <v>78487.276190356468</v>
      </c>
      <c r="H235" s="309">
        <f>+'I) Dépenses thématiques'!T235</f>
        <v>-37698.29370629372</v>
      </c>
      <c r="I235" s="306">
        <f>'K) Plafonnement aide'!J235</f>
        <v>0</v>
      </c>
      <c r="J235" s="309">
        <f>'J) Plafonnement effort'!J235</f>
        <v>0</v>
      </c>
      <c r="K235" s="306">
        <f>'L) Plafonnement taux'!Q236</f>
        <v>0</v>
      </c>
      <c r="L235" s="304">
        <f t="shared" si="16"/>
        <v>217767.94555321109</v>
      </c>
      <c r="M235" s="229">
        <f>'M) Police'!N235</f>
        <v>39407.047340425866</v>
      </c>
      <c r="N235" s="229">
        <f t="shared" si="12"/>
        <v>257174.99289363695</v>
      </c>
      <c r="O235" s="309">
        <f t="shared" si="13"/>
        <v>40788.982484062748</v>
      </c>
      <c r="P235" s="311"/>
    </row>
    <row r="236" spans="1:16" s="152" customFormat="1" x14ac:dyDescent="0.25">
      <c r="A236" s="149">
        <f>'B) D RI'!A237</f>
        <v>5790</v>
      </c>
      <c r="B236" s="150" t="str">
        <f>'B) D RI'!B237</f>
        <v>Maracon</v>
      </c>
      <c r="C236" s="307">
        <f>'B) D RI'!S237</f>
        <v>74.5</v>
      </c>
      <c r="D236" s="151">
        <f>'B) D RI'!AA237</f>
        <v>547</v>
      </c>
      <c r="E236" s="305">
        <f>'D) Ecrêtage'!C236</f>
        <v>15172.050604026846</v>
      </c>
      <c r="F236" s="309">
        <f>'E) PCS'!G242</f>
        <v>218215.2037601957</v>
      </c>
      <c r="G236" s="306">
        <f>'H) Péréquation directe'!I246</f>
        <v>-35624.83523322898</v>
      </c>
      <c r="H236" s="309">
        <f>+'I) Dépenses thématiques'!T236</f>
        <v>-108367.94637583893</v>
      </c>
      <c r="I236" s="306">
        <f>'K) Plafonnement aide'!J236</f>
        <v>0</v>
      </c>
      <c r="J236" s="309">
        <f>'J) Plafonnement effort'!J236</f>
        <v>0</v>
      </c>
      <c r="K236" s="306">
        <f>'L) Plafonnement taux'!Q237</f>
        <v>0</v>
      </c>
      <c r="L236" s="304">
        <f t="shared" si="16"/>
        <v>74222.422151127786</v>
      </c>
      <c r="M236" s="229">
        <f>'M) Police'!N236</f>
        <v>45370.835719443618</v>
      </c>
      <c r="N236" s="229">
        <f t="shared" si="12"/>
        <v>119593.2578705714</v>
      </c>
      <c r="O236" s="309">
        <f t="shared" si="13"/>
        <v>-143992.78160906793</v>
      </c>
      <c r="P236" s="311"/>
    </row>
    <row r="237" spans="1:16" s="152" customFormat="1" x14ac:dyDescent="0.25">
      <c r="A237" s="149">
        <f>'B) D RI'!A238</f>
        <v>5792</v>
      </c>
      <c r="B237" s="150" t="str">
        <f>'B) D RI'!B238</f>
        <v>Montpreveyres</v>
      </c>
      <c r="C237" s="307">
        <f>'B) D RI'!S238</f>
        <v>75.5</v>
      </c>
      <c r="D237" s="151">
        <f>'B) D RI'!AA238</f>
        <v>662</v>
      </c>
      <c r="E237" s="305">
        <f>'D) Ecrêtage'!C237</f>
        <v>20145.836291390729</v>
      </c>
      <c r="F237" s="309">
        <f>'E) PCS'!G243</f>
        <v>333219.97118350514</v>
      </c>
      <c r="G237" s="306">
        <f>'H) Péréquation directe'!I247</f>
        <v>22592.309288219432</v>
      </c>
      <c r="H237" s="309">
        <f>+'I) Dépenses thématiques'!T237</f>
        <v>-145979.48225165563</v>
      </c>
      <c r="I237" s="306">
        <f>'K) Plafonnement aide'!J237</f>
        <v>0</v>
      </c>
      <c r="J237" s="309">
        <f>'J) Plafonnement effort'!J237</f>
        <v>0</v>
      </c>
      <c r="K237" s="306">
        <f>'L) Plafonnement taux'!Q238</f>
        <v>0</v>
      </c>
      <c r="L237" s="304">
        <f t="shared" si="16"/>
        <v>209832.79822006894</v>
      </c>
      <c r="M237" s="229">
        <f>'M) Police'!N237</f>
        <v>60572.972317329419</v>
      </c>
      <c r="N237" s="229">
        <f t="shared" si="12"/>
        <v>270405.77053739835</v>
      </c>
      <c r="O237" s="309">
        <f t="shared" si="13"/>
        <v>-123387.1729634362</v>
      </c>
      <c r="P237" s="311"/>
    </row>
    <row r="238" spans="1:16" s="152" customFormat="1" x14ac:dyDescent="0.25">
      <c r="A238" s="149">
        <f>'B) D RI'!A239</f>
        <v>5798</v>
      </c>
      <c r="B238" s="150" t="str">
        <f>'B) D RI'!B239</f>
        <v>Ropraz</v>
      </c>
      <c r="C238" s="307">
        <f>'B) D RI'!S239</f>
        <v>77.5</v>
      </c>
      <c r="D238" s="151">
        <f>'B) D RI'!AA239</f>
        <v>534</v>
      </c>
      <c r="E238" s="305">
        <f>'D) Ecrêtage'!C238</f>
        <v>17444.805161290325</v>
      </c>
      <c r="F238" s="309">
        <f>'E) PCS'!G244</f>
        <v>281783.1885919153</v>
      </c>
      <c r="G238" s="306">
        <f>'H) Péréquation directe'!I248</f>
        <v>57431.208064398612</v>
      </c>
      <c r="H238" s="309">
        <f>+'I) Dépenses thématiques'!T238</f>
        <v>-51738.419032258047</v>
      </c>
      <c r="I238" s="306">
        <f>'K) Plafonnement aide'!J238</f>
        <v>0</v>
      </c>
      <c r="J238" s="309">
        <f>'J) Plafonnement effort'!J238</f>
        <v>0</v>
      </c>
      <c r="K238" s="306">
        <f>'L) Plafonnement taux'!Q239</f>
        <v>0</v>
      </c>
      <c r="L238" s="304">
        <f t="shared" si="16"/>
        <v>287475.97762405587</v>
      </c>
      <c r="M238" s="229">
        <f>'M) Police'!N238</f>
        <v>52705.823770145536</v>
      </c>
      <c r="N238" s="229">
        <f t="shared" si="12"/>
        <v>340181.80139420141</v>
      </c>
      <c r="O238" s="309">
        <f t="shared" si="13"/>
        <v>5692.7890321405648</v>
      </c>
      <c r="P238" s="311"/>
    </row>
    <row r="239" spans="1:16" s="152" customFormat="1" x14ac:dyDescent="0.25">
      <c r="A239" s="149">
        <f>'B) D RI'!A240</f>
        <v>5799</v>
      </c>
      <c r="B239" s="150" t="str">
        <f>'B) D RI'!B240</f>
        <v>Servion</v>
      </c>
      <c r="C239" s="307">
        <f>'B) D RI'!S240</f>
        <v>69</v>
      </c>
      <c r="D239" s="151">
        <f>'B) D RI'!AA240</f>
        <v>2107</v>
      </c>
      <c r="E239" s="305">
        <f>'D) Ecrêtage'!C239</f>
        <v>71744.263478260895</v>
      </c>
      <c r="F239" s="309">
        <f>'E) PCS'!G245</f>
        <v>1124167.7021085089</v>
      </c>
      <c r="G239" s="306">
        <f>'H) Péréquation directe'!I249</f>
        <v>252473.10552406171</v>
      </c>
      <c r="H239" s="309">
        <f>+'I) Dépenses thématiques'!T239</f>
        <v>-337628.16913043463</v>
      </c>
      <c r="I239" s="306">
        <f>'K) Plafonnement aide'!J239</f>
        <v>0</v>
      </c>
      <c r="J239" s="309">
        <f>'J) Plafonnement effort'!J239</f>
        <v>0</v>
      </c>
      <c r="K239" s="306">
        <f>'L) Plafonnement taux'!Q240</f>
        <v>0</v>
      </c>
      <c r="L239" s="304">
        <f t="shared" si="16"/>
        <v>1039012.638502136</v>
      </c>
      <c r="M239" s="229">
        <f>'M) Police'!N239</f>
        <v>214679.76474178082</v>
      </c>
      <c r="N239" s="229">
        <f t="shared" si="12"/>
        <v>1253692.4032439168</v>
      </c>
      <c r="O239" s="309">
        <f t="shared" si="13"/>
        <v>-85155.063606372918</v>
      </c>
      <c r="P239" s="311"/>
    </row>
    <row r="240" spans="1:16" s="152" customFormat="1" x14ac:dyDescent="0.25">
      <c r="A240" s="149">
        <f>'B) D RI'!A241</f>
        <v>5803</v>
      </c>
      <c r="B240" s="150" t="str">
        <f>'B) D RI'!B241</f>
        <v>Vulliens</v>
      </c>
      <c r="C240" s="307">
        <f>'B) D RI'!S241</f>
        <v>76</v>
      </c>
      <c r="D240" s="151">
        <f>'B) D RI'!AA241</f>
        <v>631</v>
      </c>
      <c r="E240" s="305">
        <f>'D) Ecrêtage'!C240</f>
        <v>17996.188026315795</v>
      </c>
      <c r="F240" s="309">
        <f>'E) PCS'!G246</f>
        <v>273525.59366267745</v>
      </c>
      <c r="G240" s="306">
        <f>'H) Péréquation directe'!I250</f>
        <v>-32223.193939422141</v>
      </c>
      <c r="H240" s="309">
        <f>+'I) Dépenses thématiques'!T240</f>
        <v>-58712.621842105233</v>
      </c>
      <c r="I240" s="306">
        <f>'K) Plafonnement aide'!J240</f>
        <v>0</v>
      </c>
      <c r="J240" s="309">
        <f>'J) Plafonnement effort'!J240</f>
        <v>0</v>
      </c>
      <c r="K240" s="306">
        <f>'L) Plafonnement taux'!Q241</f>
        <v>0</v>
      </c>
      <c r="L240" s="304">
        <f t="shared" si="16"/>
        <v>182589.77788115008</v>
      </c>
      <c r="M240" s="229">
        <f>'M) Police'!N240</f>
        <v>54307.291330624284</v>
      </c>
      <c r="N240" s="229">
        <f t="shared" si="12"/>
        <v>236897.06921177436</v>
      </c>
      <c r="O240" s="309">
        <f t="shared" si="13"/>
        <v>-90935.815781527373</v>
      </c>
      <c r="P240" s="311"/>
    </row>
    <row r="241" spans="1:16" s="152" customFormat="1" x14ac:dyDescent="0.25">
      <c r="A241" s="149">
        <f>'B) D RI'!A242</f>
        <v>5804</v>
      </c>
      <c r="B241" s="150" t="str">
        <f>'B) D RI'!B242</f>
        <v>Jorat-Menthue</v>
      </c>
      <c r="C241" s="307">
        <f>'B) D RI'!S242</f>
        <v>70.5</v>
      </c>
      <c r="D241" s="151">
        <f>'B) D RI'!AA242</f>
        <v>1603</v>
      </c>
      <c r="E241" s="305">
        <f>'D) Ecrêtage'!C241</f>
        <v>46854.424539007086</v>
      </c>
      <c r="F241" s="309">
        <f>'E) PCS'!G247</f>
        <v>657247.12065741315</v>
      </c>
      <c r="G241" s="306">
        <f>'H) Péréquation directe'!I251</f>
        <v>-71000.731797099928</v>
      </c>
      <c r="H241" s="309">
        <f>+'I) Dépenses thématiques'!T241</f>
        <v>-531388.63436170213</v>
      </c>
      <c r="I241" s="306">
        <f>'K) Plafonnement aide'!J241</f>
        <v>0</v>
      </c>
      <c r="J241" s="309">
        <f>'J) Plafonnement effort'!J241</f>
        <v>0</v>
      </c>
      <c r="K241" s="306">
        <f>'L) Plafonnement taux'!Q242</f>
        <v>0</v>
      </c>
      <c r="L241" s="304">
        <f>F241+G241+H241+I241+J241+K241</f>
        <v>54857.754498611088</v>
      </c>
      <c r="M241" s="229">
        <f>'M) Police'!N241</f>
        <v>140590.06412866636</v>
      </c>
      <c r="N241" s="229">
        <f t="shared" si="12"/>
        <v>195447.81862727745</v>
      </c>
      <c r="O241" s="309">
        <f t="shared" si="13"/>
        <v>-602389.36615880206</v>
      </c>
      <c r="P241" s="311"/>
    </row>
    <row r="242" spans="1:16" s="152" customFormat="1" x14ac:dyDescent="0.25">
      <c r="A242" s="149">
        <f>'B) D RI'!A243</f>
        <v>5805</v>
      </c>
      <c r="B242" s="150" t="str">
        <f>'B) D RI'!B243</f>
        <v>Oron</v>
      </c>
      <c r="C242" s="307">
        <f>'B) D RI'!S243</f>
        <v>69</v>
      </c>
      <c r="D242" s="151">
        <f>'B) D RI'!AA243</f>
        <v>5703</v>
      </c>
      <c r="E242" s="305">
        <f>'D) Ecrêtage'!C242</f>
        <v>162115.58504611329</v>
      </c>
      <c r="F242" s="309">
        <f>'E) PCS'!G248</f>
        <v>2296943.8962512314</v>
      </c>
      <c r="G242" s="306">
        <f>'H) Péréquation directe'!I252</f>
        <v>-1382876.8952269191</v>
      </c>
      <c r="H242" s="309">
        <f>+'I) Dépenses thématiques'!T242</f>
        <v>-936218.48972332024</v>
      </c>
      <c r="I242" s="306">
        <f>'K) Plafonnement aide'!J242</f>
        <v>0</v>
      </c>
      <c r="J242" s="309">
        <f>'J) Plafonnement effort'!J242</f>
        <v>0</v>
      </c>
      <c r="K242" s="306">
        <f>'L) Plafonnement taux'!Q243</f>
        <v>0</v>
      </c>
      <c r="L242" s="304">
        <f>F242+G242+H242+I242+J242+K242</f>
        <v>-22151.488699007896</v>
      </c>
      <c r="M242" s="229">
        <f>'M) Police'!N242</f>
        <v>483622.57002215163</v>
      </c>
      <c r="N242" s="229">
        <f t="shared" si="12"/>
        <v>461471.08132314374</v>
      </c>
      <c r="O242" s="309">
        <f t="shared" si="13"/>
        <v>-2319095.3849502392</v>
      </c>
      <c r="P242" s="311"/>
    </row>
    <row r="243" spans="1:16" s="152" customFormat="1" x14ac:dyDescent="0.25">
      <c r="A243" s="149">
        <f>'B) D RI'!A244</f>
        <v>5806</v>
      </c>
      <c r="B243" s="150" t="str">
        <f>'B) D RI'!B244</f>
        <v>Jorat-Mézières</v>
      </c>
      <c r="C243" s="307">
        <f>'B) D RI'!S244</f>
        <v>73</v>
      </c>
      <c r="D243" s="151">
        <f>'B) D RI'!AA244</f>
        <v>3095</v>
      </c>
      <c r="E243" s="305">
        <f>'D) Ecrêtage'!C243</f>
        <v>102077.74465753423</v>
      </c>
      <c r="F243" s="309">
        <f>'E) PCS'!G249</f>
        <v>1740112.9127568712</v>
      </c>
      <c r="G243" s="306">
        <f>'H) Péréquation directe'!I253</f>
        <v>18548.994464788353</v>
      </c>
      <c r="H243" s="309">
        <f>+'I) Dépenses thématiques'!T243</f>
        <v>-409877.2820547946</v>
      </c>
      <c r="I243" s="306">
        <f>'K) Plafonnement aide'!J243</f>
        <v>0</v>
      </c>
      <c r="J243" s="309">
        <f>'J) Plafonnement effort'!J243</f>
        <v>0</v>
      </c>
      <c r="K243" s="306">
        <f>'L) Plafonnement taux'!Q244</f>
        <v>0</v>
      </c>
      <c r="L243" s="304">
        <f>F243+G243+H243+I243+J243+K243</f>
        <v>1348784.6251668651</v>
      </c>
      <c r="M243" s="229">
        <f>'M) Police'!N243</f>
        <v>308245.25645114738</v>
      </c>
      <c r="N243" s="229">
        <f t="shared" ref="N243" si="17">L243+M243</f>
        <v>1657029.8816180124</v>
      </c>
      <c r="O243" s="309">
        <f t="shared" si="13"/>
        <v>-391328.28759000625</v>
      </c>
      <c r="P243" s="311"/>
    </row>
    <row r="244" spans="1:16" s="152" customFormat="1" x14ac:dyDescent="0.25">
      <c r="A244" s="149">
        <f>'B) D RI'!A245</f>
        <v>5812</v>
      </c>
      <c r="B244" s="150" t="str">
        <f>'B) D RI'!B245</f>
        <v>Champtauroz</v>
      </c>
      <c r="C244" s="307">
        <f>'B) D RI'!S245</f>
        <v>77</v>
      </c>
      <c r="D244" s="151">
        <f>'B) D RI'!AA245</f>
        <v>169</v>
      </c>
      <c r="E244" s="305">
        <f>'D) Ecrêtage'!C244</f>
        <v>3349.1505194805191</v>
      </c>
      <c r="F244" s="309">
        <f>'E) PCS'!G250</f>
        <v>47953.466867087853</v>
      </c>
      <c r="G244" s="306">
        <f>'H) Péréquation directe'!I254</f>
        <v>-72945.705597108274</v>
      </c>
      <c r="H244" s="309">
        <f>+'I) Dépenses thématiques'!T244</f>
        <v>-20333.846883116887</v>
      </c>
      <c r="I244" s="306">
        <f>'K) Plafonnement aide'!J244</f>
        <v>0</v>
      </c>
      <c r="J244" s="309">
        <f>'J) Plafonnement effort'!J244</f>
        <v>0</v>
      </c>
      <c r="K244" s="306">
        <f>'L) Plafonnement taux'!Q245</f>
        <v>0</v>
      </c>
      <c r="L244" s="304">
        <f t="shared" si="16"/>
        <v>-45326.085613137308</v>
      </c>
      <c r="M244" s="229">
        <f>'M) Police'!N244</f>
        <v>10103.143124684197</v>
      </c>
      <c r="N244" s="229">
        <f t="shared" si="12"/>
        <v>-35222.942488453111</v>
      </c>
      <c r="O244" s="309">
        <f t="shared" si="13"/>
        <v>-93279.55248022516</v>
      </c>
      <c r="P244" s="311"/>
    </row>
    <row r="245" spans="1:16" s="152" customFormat="1" x14ac:dyDescent="0.25">
      <c r="A245" s="149">
        <f>'B) D RI'!A246</f>
        <v>5813</v>
      </c>
      <c r="B245" s="150" t="str">
        <f>'B) D RI'!B246</f>
        <v>Chevroux</v>
      </c>
      <c r="C245" s="307">
        <f>'B) D RI'!S246</f>
        <v>68.5</v>
      </c>
      <c r="D245" s="151">
        <f>'B) D RI'!AA246</f>
        <v>506</v>
      </c>
      <c r="E245" s="305">
        <f>'D) Ecrêtage'!C245</f>
        <v>15276.905328467155</v>
      </c>
      <c r="F245" s="309">
        <f>'E) PCS'!G251</f>
        <v>262489.1313560768</v>
      </c>
      <c r="G245" s="306">
        <f>'H) Péréquation directe'!I255</f>
        <v>49301.298916474916</v>
      </c>
      <c r="H245" s="309">
        <f>+'I) Dépenses thématiques'!T245</f>
        <v>-344431.31802919705</v>
      </c>
      <c r="I245" s="306">
        <f>'K) Plafonnement aide'!J245</f>
        <v>0</v>
      </c>
      <c r="J245" s="309">
        <f>'J) Plafonnement effort'!J245</f>
        <v>0</v>
      </c>
      <c r="K245" s="306">
        <f>'L) Plafonnement taux'!Q246</f>
        <v>0</v>
      </c>
      <c r="L245" s="304">
        <f t="shared" si="16"/>
        <v>-32640.88775664533</v>
      </c>
      <c r="M245" s="229">
        <f>'M) Police'!N245</f>
        <v>45541.347371458622</v>
      </c>
      <c r="N245" s="229">
        <f t="shared" si="12"/>
        <v>12900.459614813291</v>
      </c>
      <c r="O245" s="309">
        <f t="shared" si="13"/>
        <v>-295130.01911272213</v>
      </c>
      <c r="P245" s="311"/>
    </row>
    <row r="246" spans="1:16" s="152" customFormat="1" x14ac:dyDescent="0.25">
      <c r="A246" s="149">
        <f>'B) D RI'!A247</f>
        <v>5816</v>
      </c>
      <c r="B246" s="150" t="str">
        <f>'B) D RI'!B247</f>
        <v>Corcelles-près-Payerne</v>
      </c>
      <c r="C246" s="307">
        <f>'B) D RI'!S247</f>
        <v>68.5</v>
      </c>
      <c r="D246" s="151">
        <f>'B) D RI'!AA247</f>
        <v>2722</v>
      </c>
      <c r="E246" s="305">
        <f>'D) Ecrêtage'!C246</f>
        <v>65651.255161626686</v>
      </c>
      <c r="F246" s="309">
        <f>'E) PCS'!G252</f>
        <v>936294.9984511605</v>
      </c>
      <c r="G246" s="306">
        <f>'H) Péréquation directe'!I256</f>
        <v>-739598.79295366537</v>
      </c>
      <c r="H246" s="309">
        <f>+'I) Dépenses thématiques'!T246</f>
        <v>-377044.46903023985</v>
      </c>
      <c r="I246" s="306">
        <f>'K) Plafonnement aide'!J246</f>
        <v>0</v>
      </c>
      <c r="J246" s="309">
        <f>'J) Plafonnement effort'!J246</f>
        <v>0</v>
      </c>
      <c r="K246" s="306">
        <f>'L) Plafonnement taux'!Q247</f>
        <v>0</v>
      </c>
      <c r="L246" s="304">
        <f t="shared" si="16"/>
        <v>-180348.26353274472</v>
      </c>
      <c r="M246" s="229">
        <f>'M) Police'!N246</f>
        <v>195943.03691702138</v>
      </c>
      <c r="N246" s="229">
        <f t="shared" si="12"/>
        <v>15594.773384276661</v>
      </c>
      <c r="O246" s="309">
        <f t="shared" si="13"/>
        <v>-1116643.2619839052</v>
      </c>
      <c r="P246" s="311"/>
    </row>
    <row r="247" spans="1:16" s="152" customFormat="1" x14ac:dyDescent="0.25">
      <c r="A247" s="149">
        <f>'B) D RI'!A248</f>
        <v>5817</v>
      </c>
      <c r="B247" s="150" t="str">
        <f>'B) D RI'!B248</f>
        <v>Grandcour</v>
      </c>
      <c r="C247" s="307">
        <f>'B) D RI'!S248</f>
        <v>73.5</v>
      </c>
      <c r="D247" s="151">
        <f>'B) D RI'!AA248</f>
        <v>987</v>
      </c>
      <c r="E247" s="305">
        <f>'D) Ecrêtage'!C247</f>
        <v>24623.103809523807</v>
      </c>
      <c r="F247" s="309">
        <f>'E) PCS'!G253</f>
        <v>323194.48420202016</v>
      </c>
      <c r="G247" s="306">
        <f>'H) Péréquation directe'!I257</f>
        <v>-162994.26379877521</v>
      </c>
      <c r="H247" s="309">
        <f>+'I) Dépenses thématiques'!T247</f>
        <v>-158094.04928571428</v>
      </c>
      <c r="I247" s="306">
        <f>'K) Plafonnement aide'!J247</f>
        <v>0</v>
      </c>
      <c r="J247" s="309">
        <f>'J) Plafonnement effort'!J247</f>
        <v>0</v>
      </c>
      <c r="K247" s="306">
        <f>'L) Plafonnement taux'!Q248</f>
        <v>0</v>
      </c>
      <c r="L247" s="304">
        <f t="shared" si="16"/>
        <v>2106.17111753067</v>
      </c>
      <c r="M247" s="229">
        <f>'M) Police'!N247</f>
        <v>74214.579788756542</v>
      </c>
      <c r="N247" s="229">
        <f t="shared" si="12"/>
        <v>76320.750906287212</v>
      </c>
      <c r="O247" s="309">
        <f t="shared" si="13"/>
        <v>-321088.31308448949</v>
      </c>
      <c r="P247" s="311"/>
    </row>
    <row r="248" spans="1:16" s="152" customFormat="1" x14ac:dyDescent="0.25">
      <c r="A248" s="149">
        <f>'B) D RI'!A249</f>
        <v>5819</v>
      </c>
      <c r="B248" s="150" t="str">
        <f>'B) D RI'!B249</f>
        <v>Henniez</v>
      </c>
      <c r="C248" s="307">
        <f>'B) D RI'!S249</f>
        <v>69</v>
      </c>
      <c r="D248" s="151">
        <f>'B) D RI'!AA249</f>
        <v>407</v>
      </c>
      <c r="E248" s="305">
        <f>'D) Ecrêtage'!C248</f>
        <v>10062.980434782607</v>
      </c>
      <c r="F248" s="309">
        <f>'E) PCS'!G254</f>
        <v>155914.52808974349</v>
      </c>
      <c r="G248" s="306">
        <f>'H) Péréquation directe'!I258</f>
        <v>-46191.866583418625</v>
      </c>
      <c r="H248" s="309">
        <f>+'I) Dépenses thématiques'!T248</f>
        <v>-132786.11739130435</v>
      </c>
      <c r="I248" s="306">
        <f>'K) Plafonnement aide'!J248</f>
        <v>0</v>
      </c>
      <c r="J248" s="309">
        <f>'J) Plafonnement effort'!J248</f>
        <v>0</v>
      </c>
      <c r="K248" s="306">
        <f>'L) Plafonnement taux'!Q249</f>
        <v>0</v>
      </c>
      <c r="L248" s="304">
        <f t="shared" si="16"/>
        <v>-23063.455884979485</v>
      </c>
      <c r="M248" s="229">
        <f>'M) Police'!N248</f>
        <v>29162.335478776738</v>
      </c>
      <c r="N248" s="229">
        <f t="shared" si="12"/>
        <v>6098.8795937972536</v>
      </c>
      <c r="O248" s="309">
        <f t="shared" si="13"/>
        <v>-178977.98397472297</v>
      </c>
      <c r="P248" s="311"/>
    </row>
    <row r="249" spans="1:16" s="152" customFormat="1" x14ac:dyDescent="0.25">
      <c r="A249" s="149">
        <f>'B) D RI'!A250</f>
        <v>5821</v>
      </c>
      <c r="B249" s="150" t="str">
        <f>'B) D RI'!B250</f>
        <v>Missy</v>
      </c>
      <c r="C249" s="307">
        <f>'B) D RI'!S250</f>
        <v>72</v>
      </c>
      <c r="D249" s="151">
        <f>'B) D RI'!AA250</f>
        <v>366</v>
      </c>
      <c r="E249" s="305">
        <f>'D) Ecrêtage'!C249</f>
        <v>8044.6855555555558</v>
      </c>
      <c r="F249" s="309">
        <f>'E) PCS'!G255</f>
        <v>110409.64831767401</v>
      </c>
      <c r="G249" s="306">
        <f>'H) Péréquation directe'!I259</f>
        <v>-95709.970871126192</v>
      </c>
      <c r="H249" s="309">
        <f>+'I) Dépenses thématiques'!T249</f>
        <v>-27038.636666666665</v>
      </c>
      <c r="I249" s="306">
        <f>'K) Plafonnement aide'!J249</f>
        <v>0</v>
      </c>
      <c r="J249" s="309">
        <f>'J) Plafonnement effort'!J249</f>
        <v>0</v>
      </c>
      <c r="K249" s="306">
        <f>'L) Plafonnement taux'!Q250</f>
        <v>0</v>
      </c>
      <c r="L249" s="304">
        <f t="shared" si="16"/>
        <v>-12338.959220118842</v>
      </c>
      <c r="M249" s="229">
        <f>'M) Police'!N249</f>
        <v>23929.710953956368</v>
      </c>
      <c r="N249" s="229">
        <f t="shared" si="12"/>
        <v>11590.751733837526</v>
      </c>
      <c r="O249" s="309">
        <f t="shared" si="13"/>
        <v>-122748.60753779285</v>
      </c>
      <c r="P249" s="311"/>
    </row>
    <row r="250" spans="1:16" s="152" customFormat="1" x14ac:dyDescent="0.25">
      <c r="A250" s="149">
        <f>'B) D RI'!A251</f>
        <v>5822</v>
      </c>
      <c r="B250" s="150" t="str">
        <f>'B) D RI'!B251</f>
        <v>Payerne</v>
      </c>
      <c r="C250" s="307">
        <f>'B) D RI'!S251</f>
        <v>73</v>
      </c>
      <c r="D250" s="151">
        <f>'B) D RI'!AA251</f>
        <v>10258</v>
      </c>
      <c r="E250" s="305">
        <f>'D) Ecrêtage'!C250</f>
        <v>239984.44424657538</v>
      </c>
      <c r="F250" s="309">
        <f>'E) PCS'!G256</f>
        <v>4067329.9368900489</v>
      </c>
      <c r="G250" s="306">
        <f>'H) Péréquation directe'!I260</f>
        <v>-6263712.061549807</v>
      </c>
      <c r="H250" s="309">
        <f>+'I) Dépenses thématiques'!T250</f>
        <v>-1620505.0845205479</v>
      </c>
      <c r="I250" s="306">
        <f>'K) Plafonnement aide'!J250</f>
        <v>276506.57068715506</v>
      </c>
      <c r="J250" s="309">
        <f>'J) Plafonnement effort'!J250</f>
        <v>0</v>
      </c>
      <c r="K250" s="306">
        <f>'L) Plafonnement taux'!Q251</f>
        <v>0</v>
      </c>
      <c r="L250" s="304">
        <f t="shared" si="16"/>
        <v>-3540380.6384931505</v>
      </c>
      <c r="M250" s="229">
        <f>'M) Police'!N250</f>
        <v>712772.44796386245</v>
      </c>
      <c r="N250" s="229">
        <f t="shared" si="12"/>
        <v>-2827608.1905292878</v>
      </c>
      <c r="O250" s="309">
        <f t="shared" si="13"/>
        <v>-7607710.5753831994</v>
      </c>
      <c r="P250" s="311"/>
    </row>
    <row r="251" spans="1:16" s="152" customFormat="1" x14ac:dyDescent="0.25">
      <c r="A251" s="149">
        <f>'B) D RI'!A252</f>
        <v>5827</v>
      </c>
      <c r="B251" s="150" t="str">
        <f>'B) D RI'!B252</f>
        <v>Trey</v>
      </c>
      <c r="C251" s="307">
        <f>'B) D RI'!S252</f>
        <v>78</v>
      </c>
      <c r="D251" s="151">
        <f>'B) D RI'!AA252</f>
        <v>321</v>
      </c>
      <c r="E251" s="305">
        <f>'D) Ecrêtage'!C251</f>
        <v>7747.4438461538457</v>
      </c>
      <c r="F251" s="309">
        <f>'E) PCS'!G257</f>
        <v>152182.84845722327</v>
      </c>
      <c r="G251" s="306">
        <f>'H) Péréquation directe'!I261</f>
        <v>-84695.689004458982</v>
      </c>
      <c r="H251" s="309">
        <f>+'I) Dépenses thématiques'!T251</f>
        <v>-34073.586923076924</v>
      </c>
      <c r="I251" s="306">
        <f>'K) Plafonnement aide'!J251</f>
        <v>0</v>
      </c>
      <c r="J251" s="309">
        <f>'J) Plafonnement effort'!J251</f>
        <v>0</v>
      </c>
      <c r="K251" s="306">
        <f>'L) Plafonnement taux'!Q252</f>
        <v>0</v>
      </c>
      <c r="L251" s="304">
        <f t="shared" si="16"/>
        <v>33413.572529687364</v>
      </c>
      <c r="M251" s="229">
        <f>'M) Police'!N251</f>
        <v>23400.84830436785</v>
      </c>
      <c r="N251" s="229">
        <f t="shared" si="12"/>
        <v>56814.420834055214</v>
      </c>
      <c r="O251" s="309">
        <f t="shared" si="13"/>
        <v>-118769.2759275359</v>
      </c>
      <c r="P251" s="311"/>
    </row>
    <row r="252" spans="1:16" s="152" customFormat="1" x14ac:dyDescent="0.25">
      <c r="A252" s="149">
        <f>'B) D RI'!A253</f>
        <v>5828</v>
      </c>
      <c r="B252" s="150" t="str">
        <f>'B) D RI'!B253</f>
        <v>Treytorrens (Payerne)</v>
      </c>
      <c r="C252" s="307">
        <f>'B) D RI'!S253</f>
        <v>82.5</v>
      </c>
      <c r="D252" s="151">
        <f>'B) D RI'!AA253</f>
        <v>110</v>
      </c>
      <c r="E252" s="305">
        <f>'D) Ecrêtage'!C252</f>
        <v>2899.2203232323236</v>
      </c>
      <c r="F252" s="309">
        <f>'E) PCS'!G258</f>
        <v>42197.281319295616</v>
      </c>
      <c r="G252" s="306">
        <f>'H) Péréquation directe'!I262</f>
        <v>-25519.293838688456</v>
      </c>
      <c r="H252" s="309">
        <f>+'I) Dépenses thématiques'!T252</f>
        <v>-22568.428060606057</v>
      </c>
      <c r="I252" s="306">
        <f>'K) Plafonnement aide'!J252</f>
        <v>0</v>
      </c>
      <c r="J252" s="309">
        <f>'J) Plafonnement effort'!J252</f>
        <v>0</v>
      </c>
      <c r="K252" s="306">
        <f>'L) Plafonnement taux'!Q253</f>
        <v>0</v>
      </c>
      <c r="L252" s="304">
        <f t="shared" si="16"/>
        <v>-5890.4405799988963</v>
      </c>
      <c r="M252" s="229">
        <f>'M) Police'!N252</f>
        <v>8786.6766830864599</v>
      </c>
      <c r="N252" s="229">
        <f t="shared" si="12"/>
        <v>2896.2361030875636</v>
      </c>
      <c r="O252" s="309">
        <f t="shared" si="13"/>
        <v>-48087.721899294513</v>
      </c>
      <c r="P252" s="311"/>
    </row>
    <row r="253" spans="1:16" s="152" customFormat="1" x14ac:dyDescent="0.25">
      <c r="A253" s="149">
        <f>'B) D RI'!A254</f>
        <v>5830</v>
      </c>
      <c r="B253" s="150" t="str">
        <f>'B) D RI'!B254</f>
        <v>Villarzel</v>
      </c>
      <c r="C253" s="307">
        <f>'B) D RI'!S254</f>
        <v>75</v>
      </c>
      <c r="D253" s="151">
        <f>'B) D RI'!AA254</f>
        <v>500</v>
      </c>
      <c r="E253" s="305">
        <f>'D) Ecrêtage'!C253</f>
        <v>12409.986933333334</v>
      </c>
      <c r="F253" s="309">
        <f>'E) PCS'!G259</f>
        <v>216064.01456300783</v>
      </c>
      <c r="G253" s="306">
        <f>'H) Péréquation directe'!I263</f>
        <v>-95617.977223155467</v>
      </c>
      <c r="H253" s="309">
        <f>+'I) Dépenses thématiques'!T253</f>
        <v>-130950.0882</v>
      </c>
      <c r="I253" s="306">
        <f>'K) Plafonnement aide'!J253</f>
        <v>0</v>
      </c>
      <c r="J253" s="309">
        <f>'J) Plafonnement effort'!J253</f>
        <v>0</v>
      </c>
      <c r="K253" s="306">
        <f>'L) Plafonnement taux'!Q254</f>
        <v>0</v>
      </c>
      <c r="L253" s="304">
        <f t="shared" si="16"/>
        <v>-10504.050860147632</v>
      </c>
      <c r="M253" s="229">
        <f>'M) Police'!N253</f>
        <v>37683.229140421594</v>
      </c>
      <c r="N253" s="229">
        <f t="shared" si="12"/>
        <v>27179.178280273962</v>
      </c>
      <c r="O253" s="309">
        <f t="shared" si="13"/>
        <v>-226568.06542315547</v>
      </c>
      <c r="P253" s="311"/>
    </row>
    <row r="254" spans="1:16" s="152" customFormat="1" x14ac:dyDescent="0.25">
      <c r="A254" s="149">
        <f>'B) D RI'!A255</f>
        <v>5831</v>
      </c>
      <c r="B254" s="150" t="str">
        <f>'B) D RI'!B255</f>
        <v>Valbroye</v>
      </c>
      <c r="C254" s="307">
        <f>'B) D RI'!S255</f>
        <v>70.5</v>
      </c>
      <c r="D254" s="151">
        <f>'B) D RI'!AA255</f>
        <v>3349</v>
      </c>
      <c r="E254" s="305">
        <f>'D) Ecrêtage'!C254</f>
        <v>81068.822458628842</v>
      </c>
      <c r="F254" s="309">
        <f>'E) PCS'!G260</f>
        <v>1421060.5394139052</v>
      </c>
      <c r="G254" s="306">
        <f>'H) Péréquation directe'!I264</f>
        <v>-1092811.9074782112</v>
      </c>
      <c r="H254" s="309">
        <f>+'I) Dépenses thématiques'!T254</f>
        <v>-971905.81524822686</v>
      </c>
      <c r="I254" s="306">
        <f>'K) Plafonnement aide'!J254</f>
        <v>0</v>
      </c>
      <c r="J254" s="309">
        <f>'J) Plafonnement effort'!J254</f>
        <v>0</v>
      </c>
      <c r="K254" s="306">
        <f>'L) Plafonnement taux'!Q255</f>
        <v>0</v>
      </c>
      <c r="L254" s="304">
        <f>F254+G254+H254+I254+J254+K254</f>
        <v>-643657.18331253284</v>
      </c>
      <c r="M254" s="229">
        <f>'M) Police'!N254</f>
        <v>242037.37659459485</v>
      </c>
      <c r="N254" s="229">
        <f t="shared" ref="N254:N313" si="18">L254+M254</f>
        <v>-401619.80671793799</v>
      </c>
      <c r="O254" s="309">
        <f t="shared" si="13"/>
        <v>-2064717.7227264382</v>
      </c>
      <c r="P254" s="311"/>
    </row>
    <row r="255" spans="1:16" s="152" customFormat="1" x14ac:dyDescent="0.25">
      <c r="A255" s="149">
        <f>'B) D RI'!A256</f>
        <v>5841</v>
      </c>
      <c r="B255" s="150" t="str">
        <f>'B) D RI'!B256</f>
        <v>Château-d'Oex</v>
      </c>
      <c r="C255" s="307">
        <f>'B) D RI'!S256</f>
        <v>81.5</v>
      </c>
      <c r="D255" s="151">
        <f>'B) D RI'!AA256</f>
        <v>3549</v>
      </c>
      <c r="E255" s="305">
        <f>'D) Ecrêtage'!C255</f>
        <v>110857.63779141105</v>
      </c>
      <c r="F255" s="309">
        <f>'E) PCS'!G261</f>
        <v>2246478.9389126273</v>
      </c>
      <c r="G255" s="306">
        <f>'H) Péréquation directe'!I265</f>
        <v>-644188.27600657358</v>
      </c>
      <c r="H255" s="309">
        <f>+'I) Dépenses thématiques'!T255</f>
        <v>-2403971.1732515339</v>
      </c>
      <c r="I255" s="306">
        <f>'K) Plafonnement aide'!J255</f>
        <v>0</v>
      </c>
      <c r="J255" s="309">
        <f>'J) Plafonnement effort'!J255</f>
        <v>0</v>
      </c>
      <c r="K255" s="306">
        <f>'L) Plafonnement taux'!Q256</f>
        <v>0</v>
      </c>
      <c r="L255" s="304">
        <f t="shared" si="16"/>
        <v>-801680.51034548017</v>
      </c>
      <c r="M255" s="229">
        <f>'M) Police'!N255</f>
        <v>325598.30758732057</v>
      </c>
      <c r="N255" s="229">
        <f t="shared" si="18"/>
        <v>-476082.2027581596</v>
      </c>
      <c r="O255" s="309">
        <f t="shared" si="13"/>
        <v>-3048159.4492581077</v>
      </c>
      <c r="P255" s="311"/>
    </row>
    <row r="256" spans="1:16" s="152" customFormat="1" x14ac:dyDescent="0.25">
      <c r="A256" s="149">
        <f>'B) D RI'!A257</f>
        <v>5842</v>
      </c>
      <c r="B256" s="150" t="str">
        <f>'B) D RI'!B257</f>
        <v>Rossinière</v>
      </c>
      <c r="C256" s="307">
        <f>'B) D RI'!S257</f>
        <v>81</v>
      </c>
      <c r="D256" s="151">
        <f>'B) D RI'!AA257</f>
        <v>534</v>
      </c>
      <c r="E256" s="305">
        <f>'D) Ecrêtage'!C256</f>
        <v>14944.680411522633</v>
      </c>
      <c r="F256" s="309">
        <f>'E) PCS'!G262</f>
        <v>225853.53482266894</v>
      </c>
      <c r="G256" s="306">
        <f>'H) Péréquation directe'!I266</f>
        <v>-73320.705301164417</v>
      </c>
      <c r="H256" s="309">
        <f>+'I) Dépenses thématiques'!T256</f>
        <v>-336411.65722222219</v>
      </c>
      <c r="I256" s="306">
        <f>'K) Plafonnement aide'!J256</f>
        <v>0</v>
      </c>
      <c r="J256" s="309">
        <f>'J) Plafonnement effort'!J256</f>
        <v>0</v>
      </c>
      <c r="K256" s="306">
        <f>'L) Plafonnement taux'!Q257</f>
        <v>0</v>
      </c>
      <c r="L256" s="304">
        <f t="shared" si="16"/>
        <v>-183878.82770071767</v>
      </c>
      <c r="M256" s="229">
        <f>'M) Police'!N256</f>
        <v>44974.251435595615</v>
      </c>
      <c r="N256" s="229">
        <f t="shared" si="18"/>
        <v>-138904.57626512204</v>
      </c>
      <c r="O256" s="309">
        <f t="shared" si="13"/>
        <v>-409732.3625233866</v>
      </c>
      <c r="P256" s="311"/>
    </row>
    <row r="257" spans="1:16" s="152" customFormat="1" x14ac:dyDescent="0.25">
      <c r="A257" s="149">
        <f>'B) D RI'!A258</f>
        <v>5843</v>
      </c>
      <c r="B257" s="150" t="str">
        <f>'B) D RI'!B258</f>
        <v>Rougemont</v>
      </c>
      <c r="C257" s="307">
        <f>'B) D RI'!S258</f>
        <v>74</v>
      </c>
      <c r="D257" s="151">
        <f>'B) D RI'!AA258</f>
        <v>862</v>
      </c>
      <c r="E257" s="305">
        <f>'D) Ecrêtage'!C257</f>
        <v>97088.109459459462</v>
      </c>
      <c r="F257" s="309">
        <f>'E) PCS'!G263</f>
        <v>3869902.1741587403</v>
      </c>
      <c r="G257" s="306">
        <f>'H) Péréquation directe'!I267</f>
        <v>1703568.6798779189</v>
      </c>
      <c r="H257" s="309">
        <f>+'I) Dépenses thématiques'!T257</f>
        <v>0</v>
      </c>
      <c r="I257" s="306">
        <f>'K) Plafonnement aide'!J257</f>
        <v>0</v>
      </c>
      <c r="J257" s="309">
        <f>'J) Plafonnement effort'!J257</f>
        <v>0</v>
      </c>
      <c r="K257" s="306">
        <f>'L) Plafonnement taux'!Q258</f>
        <v>0</v>
      </c>
      <c r="L257" s="304">
        <f t="shared" si="16"/>
        <v>5573470.854036659</v>
      </c>
      <c r="M257" s="229">
        <f>'M) Police'!N257</f>
        <v>190527.98554534733</v>
      </c>
      <c r="N257" s="229">
        <f t="shared" si="18"/>
        <v>5763998.8395820064</v>
      </c>
      <c r="O257" s="309">
        <f t="shared" si="13"/>
        <v>1703568.6798779189</v>
      </c>
      <c r="P257" s="311"/>
    </row>
    <row r="258" spans="1:16" s="152" customFormat="1" x14ac:dyDescent="0.25">
      <c r="A258" s="149">
        <f>'B) D RI'!A259</f>
        <v>5851</v>
      </c>
      <c r="B258" s="150" t="str">
        <f>'B) D RI'!B259</f>
        <v>Allaman</v>
      </c>
      <c r="C258" s="307">
        <f>'B) D RI'!S259</f>
        <v>60</v>
      </c>
      <c r="D258" s="151">
        <f>'B) D RI'!AA259</f>
        <v>430</v>
      </c>
      <c r="E258" s="305">
        <f>'D) Ecrêtage'!C258</f>
        <v>24875.935818181821</v>
      </c>
      <c r="F258" s="309">
        <f>'E) PCS'!G264</f>
        <v>405927.0899063751</v>
      </c>
      <c r="G258" s="306">
        <f>'H) Péréquation directe'!I268</f>
        <v>410399.05312811758</v>
      </c>
      <c r="H258" s="309">
        <f>+'I) Dépenses thématiques'!T258</f>
        <v>-17473.135090909076</v>
      </c>
      <c r="I258" s="306">
        <f>'K) Plafonnement aide'!J258</f>
        <v>0</v>
      </c>
      <c r="J258" s="309">
        <f>'J) Plafonnement effort'!J258</f>
        <v>0</v>
      </c>
      <c r="K258" s="306">
        <f>'L) Plafonnement taux'!Q259</f>
        <v>0</v>
      </c>
      <c r="L258" s="304">
        <f t="shared" si="16"/>
        <v>798853.00794358354</v>
      </c>
      <c r="M258" s="229">
        <f>'M) Police'!N258</f>
        <v>67508.355384015624</v>
      </c>
      <c r="N258" s="229">
        <f t="shared" si="18"/>
        <v>866361.36332759913</v>
      </c>
      <c r="O258" s="309">
        <f t="shared" si="13"/>
        <v>392925.9180372085</v>
      </c>
      <c r="P258" s="311"/>
    </row>
    <row r="259" spans="1:16" s="152" customFormat="1" x14ac:dyDescent="0.25">
      <c r="A259" s="149">
        <f>'B) D RI'!A260</f>
        <v>5852</v>
      </c>
      <c r="B259" s="150" t="str">
        <f>'B) D RI'!B260</f>
        <v>Bursinel</v>
      </c>
      <c r="C259" s="307">
        <f>'B) D RI'!S260</f>
        <v>62</v>
      </c>
      <c r="D259" s="151">
        <f>'B) D RI'!AA260</f>
        <v>515</v>
      </c>
      <c r="E259" s="305">
        <f>'D) Ecrêtage'!C259</f>
        <v>34636.657688172039</v>
      </c>
      <c r="F259" s="309">
        <f>'E) PCS'!G265</f>
        <v>742869.92702316504</v>
      </c>
      <c r="G259" s="306">
        <f>'H) Péréquation directe'!I269</f>
        <v>581873.97652823501</v>
      </c>
      <c r="H259" s="309">
        <f>+'I) Dépenses thématiques'!T259</f>
        <v>0</v>
      </c>
      <c r="I259" s="306">
        <f>'K) Plafonnement aide'!J259</f>
        <v>0</v>
      </c>
      <c r="J259" s="309">
        <f>'J) Plafonnement effort'!J259</f>
        <v>0</v>
      </c>
      <c r="K259" s="306">
        <f>'L) Plafonnement taux'!Q260</f>
        <v>0</v>
      </c>
      <c r="L259" s="304">
        <f t="shared" si="16"/>
        <v>1324743.9035514002</v>
      </c>
      <c r="M259" s="229">
        <f>'M) Police'!N259</f>
        <v>86514.586745531982</v>
      </c>
      <c r="N259" s="229">
        <f t="shared" si="18"/>
        <v>1411258.4902969322</v>
      </c>
      <c r="O259" s="309">
        <f t="shared" si="13"/>
        <v>581873.97652823501</v>
      </c>
      <c r="P259" s="311"/>
    </row>
    <row r="260" spans="1:16" s="152" customFormat="1" x14ac:dyDescent="0.25">
      <c r="A260" s="149">
        <f>'B) D RI'!A261</f>
        <v>5853</v>
      </c>
      <c r="B260" s="150" t="str">
        <f>'B) D RI'!B261</f>
        <v>Bursins</v>
      </c>
      <c r="C260" s="307">
        <f>'B) D RI'!S261</f>
        <v>71</v>
      </c>
      <c r="D260" s="151">
        <f>'B) D RI'!AA261</f>
        <v>773</v>
      </c>
      <c r="E260" s="305">
        <f>'D) Ecrêtage'!C260</f>
        <v>44486.311690140843</v>
      </c>
      <c r="F260" s="309">
        <f>'E) PCS'!G266</f>
        <v>928971.54011563887</v>
      </c>
      <c r="G260" s="306">
        <f>'H) Péréquation directe'!I270</f>
        <v>733426.36956581718</v>
      </c>
      <c r="H260" s="309">
        <f>+'I) Dépenses thématiques'!T260</f>
        <v>-7142.0162323943678</v>
      </c>
      <c r="I260" s="306">
        <f>'K) Plafonnement aide'!J260</f>
        <v>0</v>
      </c>
      <c r="J260" s="309">
        <f>'J) Plafonnement effort'!J260</f>
        <v>0</v>
      </c>
      <c r="K260" s="306">
        <f>'L) Plafonnement taux'!Q261</f>
        <v>0</v>
      </c>
      <c r="L260" s="304">
        <f t="shared" si="16"/>
        <v>1655255.8934490618</v>
      </c>
      <c r="M260" s="229">
        <f>'M) Police'!N260</f>
        <v>121086.24292025267</v>
      </c>
      <c r="N260" s="229">
        <f t="shared" si="18"/>
        <v>1776342.1363693145</v>
      </c>
      <c r="O260" s="309">
        <f t="shared" si="13"/>
        <v>726284.3533334228</v>
      </c>
      <c r="P260" s="311"/>
    </row>
    <row r="261" spans="1:16" s="152" customFormat="1" x14ac:dyDescent="0.25">
      <c r="A261" s="149">
        <f>'B) D RI'!A262</f>
        <v>5854</v>
      </c>
      <c r="B261" s="150" t="str">
        <f>'B) D RI'!B262</f>
        <v>Burtigny</v>
      </c>
      <c r="C261" s="307">
        <f>'B) D RI'!S262</f>
        <v>80</v>
      </c>
      <c r="D261" s="151">
        <f>'B) D RI'!AA262</f>
        <v>416</v>
      </c>
      <c r="E261" s="305">
        <f>'D) Ecrêtage'!C261</f>
        <v>15255.967208333332</v>
      </c>
      <c r="F261" s="309">
        <f>'E) PCS'!G267</f>
        <v>221424.00018306062</v>
      </c>
      <c r="G261" s="306">
        <f>'H) Péréquation directe'!I271</f>
        <v>108120.12631653904</v>
      </c>
      <c r="H261" s="309">
        <f>+'I) Dépenses thématiques'!T261</f>
        <v>-80415.971343750018</v>
      </c>
      <c r="I261" s="306">
        <f>'K) Plafonnement aide'!J261</f>
        <v>0</v>
      </c>
      <c r="J261" s="309">
        <f>'J) Plafonnement effort'!J261</f>
        <v>0</v>
      </c>
      <c r="K261" s="306">
        <f>'L) Plafonnement taux'!Q262</f>
        <v>0</v>
      </c>
      <c r="L261" s="304">
        <f t="shared" si="16"/>
        <v>249128.15515584964</v>
      </c>
      <c r="M261" s="229">
        <f>'M) Police'!N261</f>
        <v>46383.739912078643</v>
      </c>
      <c r="N261" s="229">
        <f t="shared" si="18"/>
        <v>295511.8950679283</v>
      </c>
      <c r="O261" s="309">
        <f t="shared" si="13"/>
        <v>27704.154972789023</v>
      </c>
      <c r="P261" s="311"/>
    </row>
    <row r="262" spans="1:16" s="152" customFormat="1" x14ac:dyDescent="0.25">
      <c r="A262" s="149">
        <f>'B) D RI'!A263</f>
        <v>5855</v>
      </c>
      <c r="B262" s="150" t="str">
        <f>'B) D RI'!B263</f>
        <v>Dully</v>
      </c>
      <c r="C262" s="307">
        <f>'B) D RI'!S263</f>
        <v>49</v>
      </c>
      <c r="D262" s="151">
        <f>'B) D RI'!AA263</f>
        <v>634</v>
      </c>
      <c r="E262" s="305">
        <f>'D) Ecrêtage'!C262</f>
        <v>93684.152857142864</v>
      </c>
      <c r="F262" s="309">
        <f>'E) PCS'!G268</f>
        <v>2772985.6326648057</v>
      </c>
      <c r="G262" s="306">
        <f>'H) Péréquation directe'!I272</f>
        <v>1668513.2181443127</v>
      </c>
      <c r="H262" s="309">
        <f>+'I) Dépenses thématiques'!T262</f>
        <v>0</v>
      </c>
      <c r="I262" s="306">
        <f>'K) Plafonnement aide'!J262</f>
        <v>0</v>
      </c>
      <c r="J262" s="309">
        <f>'J) Plafonnement effort'!J262</f>
        <v>0</v>
      </c>
      <c r="K262" s="306">
        <f>'L) Plafonnement taux'!Q263</f>
        <v>0</v>
      </c>
      <c r="L262" s="304">
        <f t="shared" si="16"/>
        <v>4441498.8508091187</v>
      </c>
      <c r="M262" s="229">
        <f>'M) Police'!N262</f>
        <v>166172.048340821</v>
      </c>
      <c r="N262" s="229">
        <f t="shared" si="18"/>
        <v>4607670.8991499394</v>
      </c>
      <c r="O262" s="309">
        <f t="shared" ref="O262:O313" si="19">SUM(G262:K262)</f>
        <v>1668513.2181443127</v>
      </c>
      <c r="P262" s="311"/>
    </row>
    <row r="263" spans="1:16" s="152" customFormat="1" x14ac:dyDescent="0.25">
      <c r="A263" s="149">
        <f>'B) D RI'!A264</f>
        <v>5856</v>
      </c>
      <c r="B263" s="150" t="str">
        <f>'B) D RI'!B264</f>
        <v>Essertines-sur-Rolle</v>
      </c>
      <c r="C263" s="307">
        <f>'B) D RI'!S264</f>
        <v>66.5</v>
      </c>
      <c r="D263" s="151">
        <f>'B) D RI'!AA264</f>
        <v>753</v>
      </c>
      <c r="E263" s="305">
        <f>'D) Ecrêtage'!C263</f>
        <v>42060.670213996527</v>
      </c>
      <c r="F263" s="309">
        <f>'E) PCS'!G269</f>
        <v>822650.18292078457</v>
      </c>
      <c r="G263" s="306">
        <f>'H) Péréquation directe'!I273</f>
        <v>690672.91648452997</v>
      </c>
      <c r="H263" s="309">
        <f>+'I) Dépenses thématiques'!T263</f>
        <v>0</v>
      </c>
      <c r="I263" s="306">
        <f>'K) Plafonnement aide'!J263</f>
        <v>0</v>
      </c>
      <c r="J263" s="309">
        <f>'J) Plafonnement effort'!J263</f>
        <v>0</v>
      </c>
      <c r="K263" s="306">
        <f>'L) Plafonnement taux'!Q264</f>
        <v>0</v>
      </c>
      <c r="L263" s="304">
        <f t="shared" si="16"/>
        <v>1513323.0994053145</v>
      </c>
      <c r="M263" s="229">
        <f>'M) Police'!N263</f>
        <v>116463.39589793174</v>
      </c>
      <c r="N263" s="229">
        <f t="shared" si="18"/>
        <v>1629786.4953032462</v>
      </c>
      <c r="O263" s="309">
        <f t="shared" si="19"/>
        <v>690672.91648452997</v>
      </c>
      <c r="P263" s="311"/>
    </row>
    <row r="264" spans="1:16" s="152" customFormat="1" x14ac:dyDescent="0.25">
      <c r="A264" s="149">
        <f>'B) D RI'!A265</f>
        <v>5857</v>
      </c>
      <c r="B264" s="150" t="str">
        <f>'B) D RI'!B265</f>
        <v>Gilly</v>
      </c>
      <c r="C264" s="307">
        <f>'B) D RI'!S265</f>
        <v>64.5</v>
      </c>
      <c r="D264" s="151">
        <f>'B) D RI'!AA265</f>
        <v>1438</v>
      </c>
      <c r="E264" s="305">
        <f>'D) Ecrêtage'!C264</f>
        <v>88866.553953488372</v>
      </c>
      <c r="F264" s="309">
        <f>'E) PCS'!G270</f>
        <v>1613022.1053109961</v>
      </c>
      <c r="G264" s="306">
        <f>'H) Péréquation directe'!I274</f>
        <v>1379995.224643057</v>
      </c>
      <c r="H264" s="309">
        <f>+'I) Dépenses thématiques'!T264</f>
        <v>0</v>
      </c>
      <c r="I264" s="306">
        <f>'K) Plafonnement aide'!J264</f>
        <v>0</v>
      </c>
      <c r="J264" s="309">
        <f>'J) Plafonnement effort'!J264</f>
        <v>0</v>
      </c>
      <c r="K264" s="306">
        <f>'L) Plafonnement taux'!Q265</f>
        <v>0</v>
      </c>
      <c r="L264" s="304">
        <f t="shared" si="16"/>
        <v>2993017.3299540533</v>
      </c>
      <c r="M264" s="229">
        <f>'M) Police'!N264</f>
        <v>232396.25156114771</v>
      </c>
      <c r="N264" s="229">
        <f t="shared" si="18"/>
        <v>3225413.5815152009</v>
      </c>
      <c r="O264" s="309">
        <f t="shared" si="19"/>
        <v>1379995.224643057</v>
      </c>
      <c r="P264" s="311"/>
    </row>
    <row r="265" spans="1:16" s="152" customFormat="1" x14ac:dyDescent="0.25">
      <c r="A265" s="149">
        <f>'B) D RI'!A266</f>
        <v>5858</v>
      </c>
      <c r="B265" s="150" t="str">
        <f>'B) D RI'!B266</f>
        <v>Luins</v>
      </c>
      <c r="C265" s="307">
        <f>'B) D RI'!S266</f>
        <v>58.5</v>
      </c>
      <c r="D265" s="151">
        <f>'B) D RI'!AA266</f>
        <v>630</v>
      </c>
      <c r="E265" s="305">
        <f>'D) Ecrêtage'!C265</f>
        <v>38253.397207977199</v>
      </c>
      <c r="F265" s="309">
        <f>'E) PCS'!G271</f>
        <v>621419.71056704025</v>
      </c>
      <c r="G265" s="306">
        <f>'H) Péréquation directe'!I275</f>
        <v>634995.31473957864</v>
      </c>
      <c r="H265" s="309">
        <f>+'I) Dépenses thématiques'!T265</f>
        <v>0</v>
      </c>
      <c r="I265" s="306">
        <f>'K) Plafonnement aide'!J265</f>
        <v>0</v>
      </c>
      <c r="J265" s="309">
        <f>'J) Plafonnement effort'!J265</f>
        <v>0</v>
      </c>
      <c r="K265" s="306">
        <f>'L) Plafonnement taux'!Q266</f>
        <v>0</v>
      </c>
      <c r="L265" s="304">
        <f t="shared" ref="L265:L314" si="20">F265+G265+H265+I265+J265+K265</f>
        <v>1256415.0253066188</v>
      </c>
      <c r="M265" s="229">
        <f>'M) Police'!N265</f>
        <v>101020.14097756648</v>
      </c>
      <c r="N265" s="229">
        <f t="shared" si="18"/>
        <v>1357435.1662841854</v>
      </c>
      <c r="O265" s="309">
        <f t="shared" si="19"/>
        <v>634995.31473957864</v>
      </c>
      <c r="P265" s="311"/>
    </row>
    <row r="266" spans="1:16" s="152" customFormat="1" x14ac:dyDescent="0.25">
      <c r="A266" s="149">
        <f>'B) D RI'!A267</f>
        <v>5859</v>
      </c>
      <c r="B266" s="150" t="str">
        <f>'B) D RI'!B267</f>
        <v>Mont-sur-Rolle</v>
      </c>
      <c r="C266" s="307">
        <f>'B) D RI'!S267</f>
        <v>63.5</v>
      </c>
      <c r="D266" s="151">
        <f>'B) D RI'!AA267</f>
        <v>2739</v>
      </c>
      <c r="E266" s="305">
        <f>'D) Ecrêtage'!C266</f>
        <v>160910.93779527559</v>
      </c>
      <c r="F266" s="309">
        <f>'E) PCS'!G272</f>
        <v>3206396.1448316365</v>
      </c>
      <c r="G266" s="306">
        <f>'H) Péréquation directe'!I276</f>
        <v>2269492.4106874382</v>
      </c>
      <c r="H266" s="309">
        <f>+'I) Dépenses thématiques'!T266</f>
        <v>0</v>
      </c>
      <c r="I266" s="306">
        <f>'K) Plafonnement aide'!J266</f>
        <v>0</v>
      </c>
      <c r="J266" s="309">
        <f>'J) Plafonnement effort'!J266</f>
        <v>0</v>
      </c>
      <c r="K266" s="306">
        <f>'L) Plafonnement taux'!Q267</f>
        <v>0</v>
      </c>
      <c r="L266" s="304">
        <f t="shared" si="20"/>
        <v>5475888.5555190742</v>
      </c>
      <c r="M266" s="229">
        <f>'M) Police'!N266</f>
        <v>432884.58753764606</v>
      </c>
      <c r="N266" s="229">
        <f t="shared" si="18"/>
        <v>5908773.1430567205</v>
      </c>
      <c r="O266" s="309">
        <f t="shared" si="19"/>
        <v>2269492.4106874382</v>
      </c>
      <c r="P266" s="311"/>
    </row>
    <row r="267" spans="1:16" s="152" customFormat="1" x14ac:dyDescent="0.25">
      <c r="A267" s="149">
        <f>'B) D RI'!A268</f>
        <v>5860</v>
      </c>
      <c r="B267" s="150" t="str">
        <f>'B) D RI'!B268</f>
        <v>Perroy</v>
      </c>
      <c r="C267" s="307">
        <f>'B) D RI'!S268</f>
        <v>58.5</v>
      </c>
      <c r="D267" s="151">
        <f>'B) D RI'!AA268</f>
        <v>1514</v>
      </c>
      <c r="E267" s="305">
        <f>'D) Ecrêtage'!C267</f>
        <v>124242.10120973046</v>
      </c>
      <c r="F267" s="309">
        <f>'E) PCS'!G273</f>
        <v>2920563.0969144264</v>
      </c>
      <c r="G267" s="306">
        <f>'H) Péréquation directe'!I277</f>
        <v>2013351.5955185993</v>
      </c>
      <c r="H267" s="309">
        <f>+'I) Dépenses thématiques'!T267</f>
        <v>0</v>
      </c>
      <c r="I267" s="306">
        <f>'K) Plafonnement aide'!J267</f>
        <v>0</v>
      </c>
      <c r="J267" s="309">
        <f>'J) Plafonnement effort'!J267</f>
        <v>0</v>
      </c>
      <c r="K267" s="306">
        <f>'L) Plafonnement taux'!Q268</f>
        <v>0</v>
      </c>
      <c r="L267" s="304">
        <f t="shared" si="20"/>
        <v>4933914.6924330257</v>
      </c>
      <c r="M267" s="229">
        <f>'M) Police'!N267</f>
        <v>280539.9483263985</v>
      </c>
      <c r="N267" s="229">
        <f t="shared" si="18"/>
        <v>5214454.6407594243</v>
      </c>
      <c r="O267" s="309">
        <f t="shared" si="19"/>
        <v>2013351.5955185993</v>
      </c>
      <c r="P267" s="311"/>
    </row>
    <row r="268" spans="1:16" s="152" customFormat="1" x14ac:dyDescent="0.25">
      <c r="A268" s="149">
        <f>'B) D RI'!A269</f>
        <v>5861</v>
      </c>
      <c r="B268" s="150" t="str">
        <f>'B) D RI'!B269</f>
        <v>Rolle</v>
      </c>
      <c r="C268" s="307">
        <f>'B) D RI'!S269</f>
        <v>59.5</v>
      </c>
      <c r="D268" s="151">
        <f>'B) D RI'!AA269</f>
        <v>6291</v>
      </c>
      <c r="E268" s="305">
        <f>'D) Ecrêtage'!C268</f>
        <v>638128.58403361356</v>
      </c>
      <c r="F268" s="309">
        <f>'E) PCS'!G274</f>
        <v>16444796.796830293</v>
      </c>
      <c r="G268" s="306">
        <f>'H) Péréquation directe'!I278</f>
        <v>9309414.518197082</v>
      </c>
      <c r="H268" s="309">
        <f>+'I) Dépenses thématiques'!T268</f>
        <v>0</v>
      </c>
      <c r="I268" s="306">
        <f>'K) Plafonnement aide'!J268</f>
        <v>0</v>
      </c>
      <c r="J268" s="309">
        <f>'J) Plafonnement effort'!J268</f>
        <v>0</v>
      </c>
      <c r="K268" s="306">
        <f>'L) Plafonnement taux'!Q269</f>
        <v>0</v>
      </c>
      <c r="L268" s="304">
        <f t="shared" si="20"/>
        <v>25754211.315027375</v>
      </c>
      <c r="M268" s="229">
        <f>'M) Police'!N268</f>
        <v>1308168.0830146014</v>
      </c>
      <c r="N268" s="229">
        <f t="shared" si="18"/>
        <v>27062379.398041975</v>
      </c>
      <c r="O268" s="309">
        <f t="shared" si="19"/>
        <v>9309414.518197082</v>
      </c>
      <c r="P268" s="311"/>
    </row>
    <row r="269" spans="1:16" s="152" customFormat="1" x14ac:dyDescent="0.25">
      <c r="A269" s="149">
        <f>'B) D RI'!A270</f>
        <v>5862</v>
      </c>
      <c r="B269" s="150" t="str">
        <f>'B) D RI'!B270</f>
        <v>Tartegnin</v>
      </c>
      <c r="C269" s="307">
        <f>'B) D RI'!S270</f>
        <v>79</v>
      </c>
      <c r="D269" s="151">
        <f>'B) D RI'!AA270</f>
        <v>241</v>
      </c>
      <c r="E269" s="305">
        <f>'D) Ecrêtage'!C269</f>
        <v>7891.022278481013</v>
      </c>
      <c r="F269" s="309">
        <f>'E) PCS'!G275</f>
        <v>114277.81862967758</v>
      </c>
      <c r="G269" s="306">
        <f>'H) Péréquation directe'!I279</f>
        <v>23151.407580388855</v>
      </c>
      <c r="H269" s="309">
        <f>+'I) Dépenses thématiques'!T269</f>
        <v>0</v>
      </c>
      <c r="I269" s="306">
        <f>'K) Plafonnement aide'!J269</f>
        <v>0</v>
      </c>
      <c r="J269" s="309">
        <f>'J) Plafonnement effort'!J269</f>
        <v>0</v>
      </c>
      <c r="K269" s="306">
        <f>'L) Plafonnement taux'!Q270</f>
        <v>0</v>
      </c>
      <c r="L269" s="304">
        <f t="shared" si="20"/>
        <v>137429.22621006644</v>
      </c>
      <c r="M269" s="229">
        <f>'M) Police'!N269</f>
        <v>23734.174642583166</v>
      </c>
      <c r="N269" s="229">
        <f t="shared" si="18"/>
        <v>161163.40085264959</v>
      </c>
      <c r="O269" s="309">
        <f t="shared" si="19"/>
        <v>23151.407580388855</v>
      </c>
      <c r="P269" s="311"/>
    </row>
    <row r="270" spans="1:16" s="152" customFormat="1" x14ac:dyDescent="0.25">
      <c r="A270" s="149">
        <f>'B) D RI'!A271</f>
        <v>5863</v>
      </c>
      <c r="B270" s="150" t="str">
        <f>'B) D RI'!B271</f>
        <v>Vinzel</v>
      </c>
      <c r="C270" s="307">
        <f>'B) D RI'!S271</f>
        <v>67</v>
      </c>
      <c r="D270" s="151">
        <f>'B) D RI'!AA271</f>
        <v>369</v>
      </c>
      <c r="E270" s="305">
        <f>'D) Ecrêtage'!C270</f>
        <v>21424.128507462683</v>
      </c>
      <c r="F270" s="309">
        <f>'E) PCS'!G276</f>
        <v>413769.46388951188</v>
      </c>
      <c r="G270" s="306">
        <f>'H) Péréquation directe'!I280</f>
        <v>353617.97629429994</v>
      </c>
      <c r="H270" s="309">
        <f>+'I) Dépenses thématiques'!T270</f>
        <v>0</v>
      </c>
      <c r="I270" s="306">
        <f>'K) Plafonnement aide'!J270</f>
        <v>0</v>
      </c>
      <c r="J270" s="309">
        <f>'J) Plafonnement effort'!J270</f>
        <v>0</v>
      </c>
      <c r="K270" s="306">
        <f>'L) Plafonnement taux'!Q271</f>
        <v>0</v>
      </c>
      <c r="L270" s="304">
        <f t="shared" si="20"/>
        <v>767387.44018381182</v>
      </c>
      <c r="M270" s="229">
        <f>'M) Police'!N270</f>
        <v>58021.718113565476</v>
      </c>
      <c r="N270" s="229">
        <f t="shared" si="18"/>
        <v>825409.15829737729</v>
      </c>
      <c r="O270" s="309">
        <f t="shared" si="19"/>
        <v>353617.97629429994</v>
      </c>
      <c r="P270" s="311"/>
    </row>
    <row r="271" spans="1:16" s="152" customFormat="1" x14ac:dyDescent="0.25">
      <c r="A271" s="149">
        <f>'B) D RI'!A272</f>
        <v>5871</v>
      </c>
      <c r="B271" s="150" t="str">
        <f>'B) D RI'!B272</f>
        <v>L'Abbaye</v>
      </c>
      <c r="C271" s="307">
        <f>'B) D RI'!S272</f>
        <v>77.650000000000006</v>
      </c>
      <c r="D271" s="151">
        <f>'B) D RI'!AA272</f>
        <v>1521</v>
      </c>
      <c r="E271" s="305">
        <f>'D) Ecrêtage'!C271</f>
        <v>52137.53921442369</v>
      </c>
      <c r="F271" s="309">
        <f>'E) PCS'!G277</f>
        <v>1121866.7050835602</v>
      </c>
      <c r="G271" s="306">
        <f>'H) Péréquation directe'!I281</f>
        <v>149041.90578683908</v>
      </c>
      <c r="H271" s="309">
        <f>+'I) Dépenses thématiques'!T271</f>
        <v>-416635.2647134579</v>
      </c>
      <c r="I271" s="306">
        <f>'K) Plafonnement aide'!J271</f>
        <v>0</v>
      </c>
      <c r="J271" s="309">
        <f>'J) Plafonnement effort'!J271</f>
        <v>0</v>
      </c>
      <c r="K271" s="306">
        <f>'L) Plafonnement taux'!Q272</f>
        <v>0</v>
      </c>
      <c r="L271" s="304">
        <f t="shared" si="20"/>
        <v>854273.34615694138</v>
      </c>
      <c r="M271" s="229">
        <f>'M) Police'!N271</f>
        <v>158055.24715079795</v>
      </c>
      <c r="N271" s="229">
        <f t="shared" si="18"/>
        <v>1012328.5933077394</v>
      </c>
      <c r="O271" s="309">
        <f t="shared" si="19"/>
        <v>-267593.35892661882</v>
      </c>
      <c r="P271" s="311"/>
    </row>
    <row r="272" spans="1:16" s="152" customFormat="1" x14ac:dyDescent="0.25">
      <c r="A272" s="149">
        <f>'B) D RI'!A273</f>
        <v>5872</v>
      </c>
      <c r="B272" s="150" t="str">
        <f>'B) D RI'!B273</f>
        <v>Le Chenit</v>
      </c>
      <c r="C272" s="307">
        <f>'B) D RI'!S273</f>
        <v>66.989999999999995</v>
      </c>
      <c r="D272" s="151">
        <f>'B) D RI'!AA273</f>
        <v>4569</v>
      </c>
      <c r="E272" s="305">
        <f>'D) Ecrêtage'!C272</f>
        <v>199146.55575459031</v>
      </c>
      <c r="F272" s="309">
        <f>'E) PCS'!G278</f>
        <v>5292868.0630786242</v>
      </c>
      <c r="G272" s="306">
        <f>'H) Péréquation directe'!I282</f>
        <v>1715449.4251119737</v>
      </c>
      <c r="H272" s="309">
        <f>+'I) Dépenses thématiques'!T272</f>
        <v>-1715744.9986565155</v>
      </c>
      <c r="I272" s="306">
        <f>'K) Plafonnement aide'!J272</f>
        <v>0</v>
      </c>
      <c r="J272" s="309">
        <f>'J) Plafonnement effort'!J272</f>
        <v>0</v>
      </c>
      <c r="K272" s="306">
        <f>'L) Plafonnement taux'!Q273</f>
        <v>0</v>
      </c>
      <c r="L272" s="304">
        <f t="shared" si="20"/>
        <v>5292572.4895340819</v>
      </c>
      <c r="M272" s="229">
        <f>'M) Police'!N272</f>
        <v>606186.81772579858</v>
      </c>
      <c r="N272" s="229">
        <f t="shared" si="18"/>
        <v>5898759.30725988</v>
      </c>
      <c r="O272" s="309">
        <f t="shared" si="19"/>
        <v>-295.57354454183951</v>
      </c>
      <c r="P272" s="311"/>
    </row>
    <row r="273" spans="1:16" s="152" customFormat="1" x14ac:dyDescent="0.25">
      <c r="A273" s="149">
        <f>'B) D RI'!A274</f>
        <v>5873</v>
      </c>
      <c r="B273" s="150" t="str">
        <f>'B) D RI'!B274</f>
        <v>Le Lieu</v>
      </c>
      <c r="C273" s="307">
        <f>'B) D RI'!S274</f>
        <v>70</v>
      </c>
      <c r="D273" s="151">
        <f>'B) D RI'!AA274</f>
        <v>881</v>
      </c>
      <c r="E273" s="305">
        <f>'D) Ecrêtage'!C273</f>
        <v>31475.129392857143</v>
      </c>
      <c r="F273" s="309">
        <f>'E) PCS'!G279</f>
        <v>756818.9948690068</v>
      </c>
      <c r="G273" s="306">
        <f>'H) Péréquation directe'!I283</f>
        <v>258936.78008553287</v>
      </c>
      <c r="H273" s="309">
        <f>+'I) Dépenses thématiques'!T273</f>
        <v>-703364.12659821426</v>
      </c>
      <c r="I273" s="306">
        <f>'K) Plafonnement aide'!J273</f>
        <v>0</v>
      </c>
      <c r="J273" s="309">
        <f>'J) Plafonnement effort'!J273</f>
        <v>0</v>
      </c>
      <c r="K273" s="306">
        <f>'L) Plafonnement taux'!Q274</f>
        <v>0</v>
      </c>
      <c r="L273" s="304">
        <f t="shared" si="20"/>
        <v>312391.64835632546</v>
      </c>
      <c r="M273" s="229">
        <f>'M) Police'!N273</f>
        <v>95493.295085422476</v>
      </c>
      <c r="N273" s="229">
        <f t="shared" si="18"/>
        <v>407884.94344174792</v>
      </c>
      <c r="O273" s="309">
        <f t="shared" si="19"/>
        <v>-444427.3465126814</v>
      </c>
      <c r="P273" s="311"/>
    </row>
    <row r="274" spans="1:16" s="152" customFormat="1" x14ac:dyDescent="0.25">
      <c r="A274" s="149">
        <f>'B) D RI'!A275</f>
        <v>5881</v>
      </c>
      <c r="B274" s="150" t="str">
        <f>'B) D RI'!B275</f>
        <v>Blonay</v>
      </c>
      <c r="C274" s="307">
        <f>'B) D RI'!S275</f>
        <v>68.5</v>
      </c>
      <c r="D274" s="151">
        <f>'B) D RI'!AA275</f>
        <v>6291</v>
      </c>
      <c r="E274" s="305">
        <f>'D) Ecrêtage'!C274</f>
        <v>371401.9382481752</v>
      </c>
      <c r="F274" s="309">
        <f>'E) PCS'!G280</f>
        <v>7926781.7556913812</v>
      </c>
      <c r="G274" s="306">
        <f>'H) Péréquation directe'!I284</f>
        <v>4333839.9388755811</v>
      </c>
      <c r="H274" s="309">
        <f>+'I) Dépenses thématiques'!T274</f>
        <v>-961699.16682481742</v>
      </c>
      <c r="I274" s="306">
        <f>'K) Plafonnement aide'!J274</f>
        <v>0</v>
      </c>
      <c r="J274" s="309">
        <f>'J) Plafonnement effort'!J274</f>
        <v>0</v>
      </c>
      <c r="K274" s="306">
        <f>'L) Plafonnement taux'!Q275</f>
        <v>0</v>
      </c>
      <c r="L274" s="304">
        <f t="shared" si="20"/>
        <v>11298922.527742144</v>
      </c>
      <c r="M274" s="229">
        <f>'M) Police'!N274</f>
        <v>434141.14926301222</v>
      </c>
      <c r="N274" s="229">
        <f t="shared" si="18"/>
        <v>11733063.677005157</v>
      </c>
      <c r="O274" s="309">
        <f t="shared" si="19"/>
        <v>3372140.7720507635</v>
      </c>
      <c r="P274" s="311"/>
    </row>
    <row r="275" spans="1:16" s="152" customFormat="1" x14ac:dyDescent="0.25">
      <c r="A275" s="149">
        <f>'B) D RI'!A276</f>
        <v>5882</v>
      </c>
      <c r="B275" s="150" t="str">
        <f>'B) D RI'!B276</f>
        <v>Chardonne</v>
      </c>
      <c r="C275" s="307">
        <f>'B) D RI'!S276</f>
        <v>68</v>
      </c>
      <c r="D275" s="151">
        <f>'B) D RI'!AA276</f>
        <v>3078</v>
      </c>
      <c r="E275" s="305">
        <f>'D) Ecrêtage'!C275</f>
        <v>186949.52411764706</v>
      </c>
      <c r="F275" s="309">
        <f>'E) PCS'!G281</f>
        <v>3587219.0931571643</v>
      </c>
      <c r="G275" s="306">
        <f>'H) Péréquation directe'!I285</f>
        <v>2625133.9139889269</v>
      </c>
      <c r="H275" s="309">
        <f>+'I) Dépenses thématiques'!T275</f>
        <v>-316352.10529411765</v>
      </c>
      <c r="I275" s="306">
        <f>'K) Plafonnement aide'!J275</f>
        <v>0</v>
      </c>
      <c r="J275" s="309">
        <f>'J) Plafonnement effort'!J275</f>
        <v>0</v>
      </c>
      <c r="K275" s="306">
        <f>'L) Plafonnement taux'!Q276</f>
        <v>0</v>
      </c>
      <c r="L275" s="304">
        <f t="shared" si="20"/>
        <v>5896000.9018519735</v>
      </c>
      <c r="M275" s="229">
        <f>'M) Police'!N275</f>
        <v>218530.04224327655</v>
      </c>
      <c r="N275" s="229">
        <f t="shared" si="18"/>
        <v>6114530.9440952502</v>
      </c>
      <c r="O275" s="309">
        <f t="shared" si="19"/>
        <v>2308781.8086948092</v>
      </c>
      <c r="P275" s="311"/>
    </row>
    <row r="276" spans="1:16" s="152" customFormat="1" x14ac:dyDescent="0.25">
      <c r="A276" s="149">
        <f>'B) D RI'!A277</f>
        <v>5883</v>
      </c>
      <c r="B276" s="150" t="str">
        <f>'B) D RI'!B277</f>
        <v>Corseaux</v>
      </c>
      <c r="C276" s="307">
        <f>'B) D RI'!S277</f>
        <v>67.5</v>
      </c>
      <c r="D276" s="151">
        <f>'B) D RI'!AA277</f>
        <v>2330</v>
      </c>
      <c r="E276" s="305">
        <f>'D) Ecrêtage'!C276</f>
        <v>193095.30118518518</v>
      </c>
      <c r="F276" s="309">
        <f>'E) PCS'!G282</f>
        <v>5544331.8233422516</v>
      </c>
      <c r="G276" s="306">
        <f>'H) Péréquation directe'!I286</f>
        <v>3012728.2216709508</v>
      </c>
      <c r="H276" s="309">
        <f>+'I) Dépenses thématiques'!T276</f>
        <v>0</v>
      </c>
      <c r="I276" s="306">
        <f>'K) Plafonnement aide'!J276</f>
        <v>0</v>
      </c>
      <c r="J276" s="309">
        <f>'J) Plafonnement effort'!J276</f>
        <v>0</v>
      </c>
      <c r="K276" s="306">
        <f>'L) Plafonnement taux'!Q277</f>
        <v>0</v>
      </c>
      <c r="L276" s="304">
        <f t="shared" si="20"/>
        <v>8557060.0450132024</v>
      </c>
      <c r="M276" s="229">
        <f>'M) Police'!N276</f>
        <v>225713.9969953715</v>
      </c>
      <c r="N276" s="229">
        <f t="shared" si="18"/>
        <v>8782774.0420085732</v>
      </c>
      <c r="O276" s="309">
        <f t="shared" si="19"/>
        <v>3012728.2216709508</v>
      </c>
      <c r="P276" s="311"/>
    </row>
    <row r="277" spans="1:16" s="152" customFormat="1" x14ac:dyDescent="0.25">
      <c r="A277" s="149">
        <f>'B) D RI'!A278</f>
        <v>5884</v>
      </c>
      <c r="B277" s="150" t="str">
        <f>'B) D RI'!B278</f>
        <v>Corsier-sur-Vevey</v>
      </c>
      <c r="C277" s="307">
        <f>'B) D RI'!S278</f>
        <v>64.5</v>
      </c>
      <c r="D277" s="151">
        <f>'B) D RI'!AA278</f>
        <v>3390</v>
      </c>
      <c r="E277" s="305">
        <f>'D) Ecrêtage'!C277</f>
        <v>148896.79012919901</v>
      </c>
      <c r="F277" s="309">
        <f>'E) PCS'!G283</f>
        <v>2373237.3536488004</v>
      </c>
      <c r="G277" s="306">
        <f>'H) Péréquation directe'!I287</f>
        <v>1508064.4201868926</v>
      </c>
      <c r="H277" s="309">
        <f>+'I) Dépenses thématiques'!T277</f>
        <v>-1364444.009224806</v>
      </c>
      <c r="I277" s="306">
        <f>'K) Plafonnement aide'!J277</f>
        <v>0</v>
      </c>
      <c r="J277" s="309">
        <f>'J) Plafonnement effort'!J277</f>
        <v>0</v>
      </c>
      <c r="K277" s="306">
        <f>'L) Plafonnement taux'!Q278</f>
        <v>0</v>
      </c>
      <c r="L277" s="304">
        <f t="shared" si="20"/>
        <v>2516857.764610887</v>
      </c>
      <c r="M277" s="229">
        <f>'M) Police'!N277</f>
        <v>174049.23596567041</v>
      </c>
      <c r="N277" s="229">
        <f t="shared" si="18"/>
        <v>2690907.0005765576</v>
      </c>
      <c r="O277" s="309">
        <f t="shared" si="19"/>
        <v>143620.41096208664</v>
      </c>
      <c r="P277" s="311"/>
    </row>
    <row r="278" spans="1:16" s="152" customFormat="1" x14ac:dyDescent="0.25">
      <c r="A278" s="149">
        <f>'B) D RI'!A279</f>
        <v>5885</v>
      </c>
      <c r="B278" s="150" t="str">
        <f>'B) D RI'!B279</f>
        <v>Jongny</v>
      </c>
      <c r="C278" s="307">
        <f>'B) D RI'!S279</f>
        <v>69.5</v>
      </c>
      <c r="D278" s="151">
        <f>'B) D RI'!AA279</f>
        <v>1805</v>
      </c>
      <c r="E278" s="305">
        <f>'D) Ecrêtage'!C278</f>
        <v>97076.940527577928</v>
      </c>
      <c r="F278" s="309">
        <f>'E) PCS'!G284</f>
        <v>1900634.685096516</v>
      </c>
      <c r="G278" s="306">
        <f>'H) Péréquation directe'!I288</f>
        <v>1404961.9419469547</v>
      </c>
      <c r="H278" s="309">
        <f>+'I) Dépenses thématiques'!T278</f>
        <v>-75647.606834532431</v>
      </c>
      <c r="I278" s="306">
        <f>'K) Plafonnement aide'!J278</f>
        <v>0</v>
      </c>
      <c r="J278" s="309">
        <f>'J) Plafonnement effort'!J278</f>
        <v>0</v>
      </c>
      <c r="K278" s="306">
        <f>'L) Plafonnement taux'!Q279</f>
        <v>0</v>
      </c>
      <c r="L278" s="304">
        <f t="shared" si="20"/>
        <v>3229949.0202089385</v>
      </c>
      <c r="M278" s="229">
        <f>'M) Police'!N278</f>
        <v>113475.6989324539</v>
      </c>
      <c r="N278" s="229">
        <f t="shared" si="18"/>
        <v>3343424.7191413925</v>
      </c>
      <c r="O278" s="309">
        <f t="shared" si="19"/>
        <v>1329314.3351124222</v>
      </c>
      <c r="P278" s="311"/>
    </row>
    <row r="279" spans="1:16" s="152" customFormat="1" x14ac:dyDescent="0.25">
      <c r="A279" s="149">
        <f>'B) D RI'!A280</f>
        <v>5886</v>
      </c>
      <c r="B279" s="150" t="str">
        <f>'B) D RI'!B280</f>
        <v>Montreux</v>
      </c>
      <c r="C279" s="307">
        <f>'B) D RI'!S280</f>
        <v>65</v>
      </c>
      <c r="D279" s="151">
        <f>'B) D RI'!AA280</f>
        <v>26012</v>
      </c>
      <c r="E279" s="305">
        <f>'D) Ecrêtage'!C279</f>
        <v>1223405.0430769229</v>
      </c>
      <c r="F279" s="309">
        <f>'E) PCS'!G285</f>
        <v>30454076.072836891</v>
      </c>
      <c r="G279" s="306">
        <f>'H) Péréquation directe'!I289</f>
        <v>931946.83067836985</v>
      </c>
      <c r="H279" s="309">
        <f>+'I) Dépenses thématiques'!T279</f>
        <v>-6127160.5217307713</v>
      </c>
      <c r="I279" s="306">
        <f>'K) Plafonnement aide'!J279</f>
        <v>0</v>
      </c>
      <c r="J279" s="309">
        <f>'J) Plafonnement effort'!J279</f>
        <v>0</v>
      </c>
      <c r="K279" s="306">
        <f>'L) Plafonnement taux'!Q280</f>
        <v>0</v>
      </c>
      <c r="L279" s="304">
        <f t="shared" si="20"/>
        <v>25258862.381784491</v>
      </c>
      <c r="M279" s="229">
        <f>'M) Police'!N279</f>
        <v>1430069.1965174198</v>
      </c>
      <c r="N279" s="229">
        <f t="shared" si="18"/>
        <v>26688931.57830191</v>
      </c>
      <c r="O279" s="309">
        <f t="shared" si="19"/>
        <v>-5195213.6910524014</v>
      </c>
      <c r="P279" s="311"/>
    </row>
    <row r="280" spans="1:16" s="152" customFormat="1" x14ac:dyDescent="0.25">
      <c r="A280" s="149">
        <f>'B) D RI'!A281</f>
        <v>5888</v>
      </c>
      <c r="B280" s="150" t="str">
        <f>'B) D RI'!B281</f>
        <v>Saint-Légier-La Chiésaz</v>
      </c>
      <c r="C280" s="307">
        <f>'B) D RI'!S281</f>
        <v>68.5</v>
      </c>
      <c r="D280" s="151">
        <f>'B) D RI'!AA281</f>
        <v>5634</v>
      </c>
      <c r="E280" s="305">
        <f>'D) Ecrêtage'!C280</f>
        <v>334017.18953771284</v>
      </c>
      <c r="F280" s="309">
        <f>'E) PCS'!G286</f>
        <v>6356669.3554294417</v>
      </c>
      <c r="G280" s="306">
        <f>'H) Péréquation directe'!I290</f>
        <v>4029863.8664512243</v>
      </c>
      <c r="H280" s="309">
        <f>+'I) Dépenses thématiques'!T280</f>
        <v>-1739806.7206204385</v>
      </c>
      <c r="I280" s="306">
        <f>'K) Plafonnement aide'!J280</f>
        <v>0</v>
      </c>
      <c r="J280" s="309">
        <f>'J) Plafonnement effort'!J280</f>
        <v>0</v>
      </c>
      <c r="K280" s="306">
        <f>'L) Plafonnement taux'!Q281</f>
        <v>0</v>
      </c>
      <c r="L280" s="304">
        <f t="shared" si="20"/>
        <v>8646726.5012602285</v>
      </c>
      <c r="M280" s="229">
        <f>'M) Police'!N280</f>
        <v>390441.16792574793</v>
      </c>
      <c r="N280" s="229">
        <f t="shared" si="18"/>
        <v>9037167.6691859756</v>
      </c>
      <c r="O280" s="309">
        <f t="shared" si="19"/>
        <v>2290057.1458307859</v>
      </c>
      <c r="P280" s="311"/>
    </row>
    <row r="281" spans="1:16" s="152" customFormat="1" x14ac:dyDescent="0.25">
      <c r="A281" s="149">
        <f>'B) D RI'!A282</f>
        <v>5889</v>
      </c>
      <c r="B281" s="150" t="str">
        <f>'B) D RI'!B282</f>
        <v>La Tour-de-Peilz</v>
      </c>
      <c r="C281" s="307">
        <f>'B) D RI'!S282</f>
        <v>64</v>
      </c>
      <c r="D281" s="151">
        <f>'B) D RI'!AA282</f>
        <v>12222</v>
      </c>
      <c r="E281" s="305">
        <f>'D) Ecrêtage'!C281</f>
        <v>740535.59942708339</v>
      </c>
      <c r="F281" s="309">
        <f>'E) PCS'!G287</f>
        <v>13126594.957033912</v>
      </c>
      <c r="G281" s="306">
        <f>'H) Péréquation directe'!I291</f>
        <v>6831184.2671989026</v>
      </c>
      <c r="H281" s="309">
        <f>+'I) Dépenses thématiques'!T281</f>
        <v>-162097.65343749966</v>
      </c>
      <c r="I281" s="306">
        <f>'K) Plafonnement aide'!J281</f>
        <v>0</v>
      </c>
      <c r="J281" s="309">
        <f>'J) Plafonnement effort'!J281</f>
        <v>0</v>
      </c>
      <c r="K281" s="306">
        <f>'L) Plafonnement taux'!Q282</f>
        <v>0</v>
      </c>
      <c r="L281" s="304">
        <f t="shared" si="20"/>
        <v>19795681.570795316</v>
      </c>
      <c r="M281" s="229">
        <f>'M) Police'!N281</f>
        <v>865630.85190637724</v>
      </c>
      <c r="N281" s="229">
        <f t="shared" si="18"/>
        <v>20661312.422701694</v>
      </c>
      <c r="O281" s="309">
        <f t="shared" si="19"/>
        <v>6669086.6137614027</v>
      </c>
      <c r="P281" s="311"/>
    </row>
    <row r="282" spans="1:16" s="152" customFormat="1" x14ac:dyDescent="0.25">
      <c r="A282" s="149">
        <f>'B) D RI'!A283</f>
        <v>5890</v>
      </c>
      <c r="B282" s="150" t="str">
        <f>'B) D RI'!B283</f>
        <v>Vevey</v>
      </c>
      <c r="C282" s="307">
        <f>'B) D RI'!S283</f>
        <v>74.5</v>
      </c>
      <c r="D282" s="151">
        <f>'B) D RI'!AA283</f>
        <v>19721</v>
      </c>
      <c r="E282" s="305">
        <f>'D) Ecrêtage'!C282</f>
        <v>969776.79771812086</v>
      </c>
      <c r="F282" s="309">
        <f>'E) PCS'!G288</f>
        <v>15403783.250322388</v>
      </c>
      <c r="G282" s="306">
        <f>'H) Péréquation directe'!I292</f>
        <v>3388010.957779875</v>
      </c>
      <c r="H282" s="309">
        <f>+'I) Dépenses thématiques'!T282</f>
        <v>-3656675.7136912746</v>
      </c>
      <c r="I282" s="306">
        <f>'K) Plafonnement aide'!J282</f>
        <v>0</v>
      </c>
      <c r="J282" s="309">
        <f>'J) Plafonnement effort'!J282</f>
        <v>0</v>
      </c>
      <c r="K282" s="306">
        <f>'L) Plafonnement taux'!Q283</f>
        <v>0</v>
      </c>
      <c r="L282" s="304">
        <f t="shared" si="20"/>
        <v>15135118.494410988</v>
      </c>
      <c r="M282" s="229">
        <f>'M) Police'!N282</f>
        <v>1133596.7051647913</v>
      </c>
      <c r="N282" s="229">
        <f t="shared" si="18"/>
        <v>16268715.19957578</v>
      </c>
      <c r="O282" s="309">
        <f t="shared" si="19"/>
        <v>-268664.75591139961</v>
      </c>
      <c r="P282" s="311"/>
    </row>
    <row r="283" spans="1:16" s="152" customFormat="1" x14ac:dyDescent="0.25">
      <c r="A283" s="149">
        <f>'B) D RI'!A284</f>
        <v>5891</v>
      </c>
      <c r="B283" s="150" t="str">
        <f>'B) D RI'!B284</f>
        <v>Veytaux</v>
      </c>
      <c r="C283" s="307">
        <f>'B) D RI'!S284</f>
        <v>69.5</v>
      </c>
      <c r="D283" s="151">
        <f>'B) D RI'!AA284</f>
        <v>952</v>
      </c>
      <c r="E283" s="305">
        <f>'D) Ecrêtage'!C283</f>
        <v>39123.353381294961</v>
      </c>
      <c r="F283" s="309">
        <f>'E) PCS'!G289</f>
        <v>608072.58121840481</v>
      </c>
      <c r="G283" s="306">
        <f>'H) Péréquation directe'!I293</f>
        <v>477129.84515054361</v>
      </c>
      <c r="H283" s="309">
        <f>+'I) Dépenses thématiques'!T283</f>
        <v>-581133.61467625899</v>
      </c>
      <c r="I283" s="306">
        <f>'K) Plafonnement aide'!J283</f>
        <v>0</v>
      </c>
      <c r="J283" s="309">
        <f>'J) Plafonnement effort'!J283</f>
        <v>0</v>
      </c>
      <c r="K283" s="306">
        <f>'L) Plafonnement taux'!Q284</f>
        <v>0</v>
      </c>
      <c r="L283" s="304">
        <f t="shared" si="20"/>
        <v>504068.81169268955</v>
      </c>
      <c r="M283" s="229">
        <f>'M) Police'!N283</f>
        <v>45732.280450913349</v>
      </c>
      <c r="N283" s="229">
        <f t="shared" si="18"/>
        <v>549801.0921436029</v>
      </c>
      <c r="O283" s="309">
        <f t="shared" si="19"/>
        <v>-104003.76952571538</v>
      </c>
      <c r="P283" s="311"/>
    </row>
    <row r="284" spans="1:16" s="152" customFormat="1" x14ac:dyDescent="0.25">
      <c r="A284" s="149">
        <f>'B) D RI'!A285</f>
        <v>5902</v>
      </c>
      <c r="B284" s="150" t="str">
        <f>'B) D RI'!B285</f>
        <v>Belmont-sur-Yverdon</v>
      </c>
      <c r="C284" s="307">
        <f>'B) D RI'!S285</f>
        <v>70</v>
      </c>
      <c r="D284" s="151">
        <f>'B) D RI'!AA285</f>
        <v>415</v>
      </c>
      <c r="E284" s="305">
        <f>'D) Ecrêtage'!C284</f>
        <v>12109.15</v>
      </c>
      <c r="F284" s="309">
        <f>'E) PCS'!G290</f>
        <v>179077.17065847831</v>
      </c>
      <c r="G284" s="306">
        <f>'H) Péréquation directe'!I294</f>
        <v>18102.001548034837</v>
      </c>
      <c r="H284" s="309">
        <f>+'I) Dépenses thématiques'!T284</f>
        <v>-115485.48749999999</v>
      </c>
      <c r="I284" s="306">
        <f>'K) Plafonnement aide'!J284</f>
        <v>0</v>
      </c>
      <c r="J284" s="309">
        <f>'J) Plafonnement effort'!J284</f>
        <v>0</v>
      </c>
      <c r="K284" s="306">
        <f>'L) Plafonnement taux'!Q285</f>
        <v>0</v>
      </c>
      <c r="L284" s="304">
        <f t="shared" si="20"/>
        <v>81693.684706513159</v>
      </c>
      <c r="M284" s="229">
        <f>'M) Police'!N284</f>
        <v>36664.805539670968</v>
      </c>
      <c r="N284" s="229">
        <f t="shared" si="18"/>
        <v>118358.49024618413</v>
      </c>
      <c r="O284" s="309">
        <f t="shared" si="19"/>
        <v>-97383.485951965151</v>
      </c>
      <c r="P284" s="311"/>
    </row>
    <row r="285" spans="1:16" s="152" customFormat="1" x14ac:dyDescent="0.25">
      <c r="A285" s="149">
        <f>'B) D RI'!A286</f>
        <v>5903</v>
      </c>
      <c r="B285" s="150" t="str">
        <f>'B) D RI'!B286</f>
        <v>Bioley-Magnoux</v>
      </c>
      <c r="C285" s="307">
        <f>'B) D RI'!S286</f>
        <v>72</v>
      </c>
      <c r="D285" s="151">
        <f>'B) D RI'!AA286</f>
        <v>234</v>
      </c>
      <c r="E285" s="305">
        <f>'D) Ecrêtage'!C285</f>
        <v>6059.1993849206356</v>
      </c>
      <c r="F285" s="309">
        <f>'E) PCS'!G291</f>
        <v>84661.204005376916</v>
      </c>
      <c r="G285" s="306">
        <f>'H) Péréquation directe'!I295</f>
        <v>-25143.552722257256</v>
      </c>
      <c r="H285" s="309">
        <f>+'I) Dépenses thématiques'!T285</f>
        <v>-152947.65415178571</v>
      </c>
      <c r="I285" s="306">
        <f>'K) Plafonnement aide'!J285</f>
        <v>0</v>
      </c>
      <c r="J285" s="309">
        <f>'J) Plafonnement effort'!J285</f>
        <v>0</v>
      </c>
      <c r="K285" s="306">
        <f>'L) Plafonnement taux'!Q286</f>
        <v>0</v>
      </c>
      <c r="L285" s="304">
        <f t="shared" si="20"/>
        <v>-93430.002868666052</v>
      </c>
      <c r="M285" s="229">
        <f>'M) Police'!N285</f>
        <v>18125.739957688653</v>
      </c>
      <c r="N285" s="229">
        <f t="shared" si="18"/>
        <v>-75304.262910977399</v>
      </c>
      <c r="O285" s="309">
        <f t="shared" si="19"/>
        <v>-178091.20687404298</v>
      </c>
      <c r="P285" s="311"/>
    </row>
    <row r="286" spans="1:16" s="152" customFormat="1" x14ac:dyDescent="0.25">
      <c r="A286" s="149">
        <f>'B) D RI'!A287</f>
        <v>5904</v>
      </c>
      <c r="B286" s="150" t="str">
        <f>'B) D RI'!B287</f>
        <v>Chamblon</v>
      </c>
      <c r="C286" s="307">
        <f>'B) D RI'!S287</f>
        <v>66</v>
      </c>
      <c r="D286" s="151">
        <f>'B) D RI'!AA287</f>
        <v>561</v>
      </c>
      <c r="E286" s="305">
        <f>'D) Ecrêtage'!C286</f>
        <v>22178.215151515149</v>
      </c>
      <c r="F286" s="309">
        <f>'E) PCS'!G292</f>
        <v>303551.39081881504</v>
      </c>
      <c r="G286" s="306">
        <f>'H) Péréquation directe'!I296</f>
        <v>257310.51530140691</v>
      </c>
      <c r="H286" s="309">
        <f>+'I) Dépenses thématiques'!T286</f>
        <v>0</v>
      </c>
      <c r="I286" s="306">
        <f>'K) Plafonnement aide'!J286</f>
        <v>0</v>
      </c>
      <c r="J286" s="309">
        <f>'J) Plafonnement effort'!J286</f>
        <v>0</v>
      </c>
      <c r="K286" s="306">
        <f>'L) Plafonnement taux'!Q287</f>
        <v>0</v>
      </c>
      <c r="L286" s="304">
        <f t="shared" si="20"/>
        <v>560861.90612022195</v>
      </c>
      <c r="M286" s="229">
        <f>'M) Police'!N286</f>
        <v>25924.678422241497</v>
      </c>
      <c r="N286" s="229">
        <f t="shared" si="18"/>
        <v>586786.58454246342</v>
      </c>
      <c r="O286" s="309">
        <f t="shared" si="19"/>
        <v>257310.51530140691</v>
      </c>
      <c r="P286" s="311"/>
    </row>
    <row r="287" spans="1:16" s="152" customFormat="1" x14ac:dyDescent="0.25">
      <c r="A287" s="149">
        <f>'B) D RI'!A288</f>
        <v>5905</v>
      </c>
      <c r="B287" s="150" t="str">
        <f>'B) D RI'!B288</f>
        <v>Champvent</v>
      </c>
      <c r="C287" s="307">
        <f>'B) D RI'!S288</f>
        <v>70</v>
      </c>
      <c r="D287" s="151">
        <f>'B) D RI'!AA288</f>
        <v>712</v>
      </c>
      <c r="E287" s="305">
        <f>'D) Ecrêtage'!C287</f>
        <v>23298.236142857142</v>
      </c>
      <c r="F287" s="309">
        <f>'E) PCS'!G293</f>
        <v>458912.33425263269</v>
      </c>
      <c r="G287" s="306">
        <f>'H) Péréquation directe'!I297</f>
        <v>127498.91512502573</v>
      </c>
      <c r="H287" s="309">
        <f>+'I) Dépenses thématiques'!T287</f>
        <v>-23102.156035714292</v>
      </c>
      <c r="I287" s="306">
        <f>'K) Plafonnement aide'!J287</f>
        <v>0</v>
      </c>
      <c r="J287" s="309">
        <f>'J) Plafonnement effort'!J287</f>
        <v>0</v>
      </c>
      <c r="K287" s="306">
        <f>'L) Plafonnement taux'!Q288</f>
        <v>0</v>
      </c>
      <c r="L287" s="304">
        <f t="shared" si="20"/>
        <v>563309.09334194404</v>
      </c>
      <c r="M287" s="229">
        <f>'M) Police'!N287</f>
        <v>70662.213091790501</v>
      </c>
      <c r="N287" s="229">
        <f t="shared" si="18"/>
        <v>633971.30643373448</v>
      </c>
      <c r="O287" s="309">
        <f t="shared" si="19"/>
        <v>104396.75908931144</v>
      </c>
      <c r="P287" s="311"/>
    </row>
    <row r="288" spans="1:16" s="152" customFormat="1" x14ac:dyDescent="0.25">
      <c r="A288" s="149">
        <f>'B) D RI'!A289</f>
        <v>5907</v>
      </c>
      <c r="B288" s="150" t="str">
        <f>'B) D RI'!B289</f>
        <v>Chavannes-le-Chêne</v>
      </c>
      <c r="C288" s="307">
        <f>'B) D RI'!S289</f>
        <v>75</v>
      </c>
      <c r="D288" s="151">
        <f>'B) D RI'!AA289</f>
        <v>325</v>
      </c>
      <c r="E288" s="305">
        <f>'D) Ecrêtage'!C288</f>
        <v>7818.3477333333331</v>
      </c>
      <c r="F288" s="309">
        <f>'E) PCS'!G294</f>
        <v>108067.45565425461</v>
      </c>
      <c r="G288" s="306">
        <f>'H) Péréquation directe'!I298</f>
        <v>-72355.475440193084</v>
      </c>
      <c r="H288" s="309">
        <f>+'I) Dépenses thématiques'!T288</f>
        <v>-68143.402800000011</v>
      </c>
      <c r="I288" s="306">
        <f>'K) Plafonnement aide'!J288</f>
        <v>0</v>
      </c>
      <c r="J288" s="309">
        <f>'J) Plafonnement effort'!J288</f>
        <v>0</v>
      </c>
      <c r="K288" s="306">
        <f>'L) Plafonnement taux'!Q289</f>
        <v>0</v>
      </c>
      <c r="L288" s="304">
        <f t="shared" si="20"/>
        <v>-32431.42258593849</v>
      </c>
      <c r="M288" s="229">
        <f>'M) Police'!N288</f>
        <v>23425.721841763756</v>
      </c>
      <c r="N288" s="229">
        <f t="shared" si="18"/>
        <v>-9005.7007441747337</v>
      </c>
      <c r="O288" s="309">
        <f t="shared" si="19"/>
        <v>-140498.87824019309</v>
      </c>
      <c r="P288" s="311"/>
    </row>
    <row r="289" spans="1:16" s="152" customFormat="1" x14ac:dyDescent="0.25">
      <c r="A289" s="149">
        <f>'B) D RI'!A290</f>
        <v>5908</v>
      </c>
      <c r="B289" s="150" t="str">
        <f>'B) D RI'!B290</f>
        <v>Chêne-Pâquier</v>
      </c>
      <c r="C289" s="307">
        <f>'B) D RI'!S290</f>
        <v>79</v>
      </c>
      <c r="D289" s="151">
        <f>'B) D RI'!AA290</f>
        <v>153</v>
      </c>
      <c r="E289" s="305">
        <f>'D) Ecrêtage'!C289</f>
        <v>4413.8781012658228</v>
      </c>
      <c r="F289" s="309">
        <f>'E) PCS'!G295</f>
        <v>61267.820840012762</v>
      </c>
      <c r="G289" s="306">
        <f>'H) Péréquation directe'!I299</f>
        <v>-11266.561218499221</v>
      </c>
      <c r="H289" s="309">
        <f>+'I) Dépenses thématiques'!T289</f>
        <v>-28029.072816455693</v>
      </c>
      <c r="I289" s="306">
        <f>'K) Plafonnement aide'!J289</f>
        <v>0</v>
      </c>
      <c r="J289" s="309">
        <f>'J) Plafonnement effort'!J289</f>
        <v>0</v>
      </c>
      <c r="K289" s="306">
        <f>'L) Plafonnement taux'!Q290</f>
        <v>0</v>
      </c>
      <c r="L289" s="304">
        <f t="shared" si="20"/>
        <v>21972.186805057849</v>
      </c>
      <c r="M289" s="229">
        <f>'M) Police'!N289</f>
        <v>13386.989549689428</v>
      </c>
      <c r="N289" s="229">
        <f t="shared" si="18"/>
        <v>35359.17635474728</v>
      </c>
      <c r="O289" s="309">
        <f t="shared" si="19"/>
        <v>-39295.634034954914</v>
      </c>
      <c r="P289" s="311"/>
    </row>
    <row r="290" spans="1:16" s="152" customFormat="1" x14ac:dyDescent="0.25">
      <c r="A290" s="149">
        <f>'B) D RI'!A291</f>
        <v>5909</v>
      </c>
      <c r="B290" s="150" t="str">
        <f>'B) D RI'!B291</f>
        <v>Cheseaux-Noréaz</v>
      </c>
      <c r="C290" s="307">
        <f>'B) D RI'!S291</f>
        <v>67</v>
      </c>
      <c r="D290" s="151">
        <f>'B) D RI'!AA291</f>
        <v>728</v>
      </c>
      <c r="E290" s="305">
        <f>'D) Ecrêtage'!C290</f>
        <v>36898.573134328355</v>
      </c>
      <c r="F290" s="309">
        <f>'E) PCS'!G296</f>
        <v>607352.32261504605</v>
      </c>
      <c r="G290" s="306">
        <f>'H) Péréquation directe'!I300</f>
        <v>597496.79128532379</v>
      </c>
      <c r="H290" s="309">
        <f>+'I) Dépenses thématiques'!T290</f>
        <v>-42819.31119402987</v>
      </c>
      <c r="I290" s="306">
        <f>'K) Plafonnement aide'!J290</f>
        <v>0</v>
      </c>
      <c r="J290" s="309">
        <f>'J) Plafonnement effort'!J290</f>
        <v>0</v>
      </c>
      <c r="K290" s="306">
        <f>'L) Plafonnement taux'!Q291</f>
        <v>0</v>
      </c>
      <c r="L290" s="304">
        <f t="shared" si="20"/>
        <v>1162029.8027063401</v>
      </c>
      <c r="M290" s="229">
        <f>'M) Police'!N290</f>
        <v>43131.678370505448</v>
      </c>
      <c r="N290" s="229">
        <f t="shared" si="18"/>
        <v>1205161.4810768454</v>
      </c>
      <c r="O290" s="309">
        <f t="shared" si="19"/>
        <v>554677.48009129392</v>
      </c>
      <c r="P290" s="311"/>
    </row>
    <row r="291" spans="1:16" s="152" customFormat="1" x14ac:dyDescent="0.25">
      <c r="A291" s="149">
        <f>'B) D RI'!A292</f>
        <v>5910</v>
      </c>
      <c r="B291" s="150" t="str">
        <f>'B) D RI'!B292</f>
        <v>Cronay</v>
      </c>
      <c r="C291" s="307">
        <f>'B) D RI'!S292</f>
        <v>77</v>
      </c>
      <c r="D291" s="151">
        <f>'B) D RI'!AA292</f>
        <v>403</v>
      </c>
      <c r="E291" s="305">
        <f>'D) Ecrêtage'!C291</f>
        <v>10600.416103896103</v>
      </c>
      <c r="F291" s="309">
        <f>'E) PCS'!G297</f>
        <v>158168.91659135983</v>
      </c>
      <c r="G291" s="306">
        <f>'H) Péréquation directe'!I301</f>
        <v>-63285.503310671687</v>
      </c>
      <c r="H291" s="309">
        <f>+'I) Dépenses thématiques'!T291</f>
        <v>-51263.441298701306</v>
      </c>
      <c r="I291" s="306">
        <f>'K) Plafonnement aide'!J291</f>
        <v>0</v>
      </c>
      <c r="J291" s="309">
        <f>'J) Plafonnement effort'!J291</f>
        <v>0</v>
      </c>
      <c r="K291" s="306">
        <f>'L) Plafonnement taux'!Q292</f>
        <v>0</v>
      </c>
      <c r="L291" s="304">
        <f t="shared" si="20"/>
        <v>43619.971981986833</v>
      </c>
      <c r="M291" s="229">
        <f>'M) Police'!N291</f>
        <v>31949.901583776045</v>
      </c>
      <c r="N291" s="229">
        <f t="shared" si="18"/>
        <v>75569.873565762886</v>
      </c>
      <c r="O291" s="309">
        <f t="shared" si="19"/>
        <v>-114548.94460937299</v>
      </c>
      <c r="P291" s="311"/>
    </row>
    <row r="292" spans="1:16" s="152" customFormat="1" x14ac:dyDescent="0.25">
      <c r="A292" s="149">
        <f>'B) D RI'!A293</f>
        <v>5911</v>
      </c>
      <c r="B292" s="150" t="str">
        <f>'B) D RI'!B293</f>
        <v>Cuarny</v>
      </c>
      <c r="C292" s="307">
        <f>'B) D RI'!S293</f>
        <v>77</v>
      </c>
      <c r="D292" s="151">
        <f>'B) D RI'!AA293</f>
        <v>245</v>
      </c>
      <c r="E292" s="305">
        <f>'D) Ecrêtage'!C292</f>
        <v>7503.9646753246761</v>
      </c>
      <c r="F292" s="309">
        <f>'E) PCS'!G298</f>
        <v>115772.67183424793</v>
      </c>
      <c r="G292" s="306">
        <f>'H) Péréquation directe'!I302</f>
        <v>6381.5676918040554</v>
      </c>
      <c r="H292" s="309">
        <f>+'I) Dépenses thématiques'!T292</f>
        <v>-24597.988441558438</v>
      </c>
      <c r="I292" s="306">
        <f>'K) Plafonnement aide'!J292</f>
        <v>0</v>
      </c>
      <c r="J292" s="309">
        <f>'J) Plafonnement effort'!J292</f>
        <v>0</v>
      </c>
      <c r="K292" s="306">
        <f>'L) Plafonnement taux'!Q293</f>
        <v>0</v>
      </c>
      <c r="L292" s="304">
        <f t="shared" si="20"/>
        <v>97556.251084493546</v>
      </c>
      <c r="M292" s="229">
        <f>'M) Police'!N292</f>
        <v>22755.981981089764</v>
      </c>
      <c r="N292" s="229">
        <f t="shared" si="18"/>
        <v>120312.23306558331</v>
      </c>
      <c r="O292" s="309">
        <f t="shared" si="19"/>
        <v>-18216.420749754383</v>
      </c>
      <c r="P292" s="311"/>
    </row>
    <row r="293" spans="1:16" s="152" customFormat="1" x14ac:dyDescent="0.25">
      <c r="A293" s="149">
        <f>'B) D RI'!A294</f>
        <v>5912</v>
      </c>
      <c r="B293" s="150" t="str">
        <f>'B) D RI'!B294</f>
        <v>Démoret</v>
      </c>
      <c r="C293" s="307">
        <f>'B) D RI'!S294</f>
        <v>81</v>
      </c>
      <c r="D293" s="151">
        <f>'B) D RI'!AA294</f>
        <v>164</v>
      </c>
      <c r="E293" s="305">
        <f>'D) Ecrêtage'!C293</f>
        <v>4722.5551851851851</v>
      </c>
      <c r="F293" s="309">
        <f>'E) PCS'!G299</f>
        <v>74457.681913055058</v>
      </c>
      <c r="G293" s="306">
        <f>'H) Péréquation directe'!I303</f>
        <v>-16560.571081068483</v>
      </c>
      <c r="H293" s="309">
        <f>+'I) Dépenses thématiques'!T293</f>
        <v>-18375.333611111113</v>
      </c>
      <c r="I293" s="306">
        <f>'K) Plafonnement aide'!J293</f>
        <v>0</v>
      </c>
      <c r="J293" s="309">
        <f>'J) Plafonnement effort'!J293</f>
        <v>0</v>
      </c>
      <c r="K293" s="306">
        <f>'L) Plafonnement taux'!Q294</f>
        <v>0</v>
      </c>
      <c r="L293" s="304">
        <f t="shared" si="20"/>
        <v>39521.777220875461</v>
      </c>
      <c r="M293" s="229">
        <f>'M) Police'!N293</f>
        <v>14403.51631055615</v>
      </c>
      <c r="N293" s="229">
        <f t="shared" si="18"/>
        <v>53925.293531431613</v>
      </c>
      <c r="O293" s="309">
        <f t="shared" si="19"/>
        <v>-34935.904692179596</v>
      </c>
      <c r="P293" s="311"/>
    </row>
    <row r="294" spans="1:16" s="152" customFormat="1" x14ac:dyDescent="0.25">
      <c r="A294" s="149">
        <f>'B) D RI'!A295</f>
        <v>5913</v>
      </c>
      <c r="B294" s="150" t="str">
        <f>'B) D RI'!B295</f>
        <v>Donneloye</v>
      </c>
      <c r="C294" s="307">
        <f>'B) D RI'!S295</f>
        <v>73</v>
      </c>
      <c r="D294" s="151">
        <f>'B) D RI'!AA295</f>
        <v>891</v>
      </c>
      <c r="E294" s="305">
        <f>'D) Ecrêtage'!C294</f>
        <v>23893.322465753423</v>
      </c>
      <c r="F294" s="309">
        <f>'E) PCS'!G300</f>
        <v>371823.2972757612</v>
      </c>
      <c r="G294" s="306">
        <f>'H) Péréquation directe'!I304</f>
        <v>-74526.419263083779</v>
      </c>
      <c r="H294" s="309">
        <f>+'I) Dépenses thématiques'!T294</f>
        <v>-26841.073356164394</v>
      </c>
      <c r="I294" s="306">
        <f>'K) Plafonnement aide'!J294</f>
        <v>0</v>
      </c>
      <c r="J294" s="309">
        <f>'J) Plafonnement effort'!J294</f>
        <v>0</v>
      </c>
      <c r="K294" s="306">
        <f>'L) Plafonnement taux'!Q295</f>
        <v>0</v>
      </c>
      <c r="L294" s="304">
        <f t="shared" si="20"/>
        <v>270455.80465651304</v>
      </c>
      <c r="M294" s="229">
        <f>'M) Police'!N294</f>
        <v>72337.844852167735</v>
      </c>
      <c r="N294" s="229">
        <f t="shared" si="18"/>
        <v>342793.6495086808</v>
      </c>
      <c r="O294" s="309">
        <f t="shared" si="19"/>
        <v>-101367.49261924817</v>
      </c>
      <c r="P294" s="311"/>
    </row>
    <row r="295" spans="1:16" s="152" customFormat="1" x14ac:dyDescent="0.25">
      <c r="A295" s="149">
        <f>'B) D RI'!A296</f>
        <v>5914</v>
      </c>
      <c r="B295" s="150" t="str">
        <f>'B) D RI'!B296</f>
        <v>Ependes</v>
      </c>
      <c r="C295" s="307">
        <f>'B) D RI'!S296</f>
        <v>73.5</v>
      </c>
      <c r="D295" s="151">
        <f>'B) D RI'!AA296</f>
        <v>381</v>
      </c>
      <c r="E295" s="305">
        <f>'D) Ecrêtage'!C295</f>
        <v>9829.5133333333324</v>
      </c>
      <c r="F295" s="309">
        <f>'E) PCS'!G301</f>
        <v>183870.58837965818</v>
      </c>
      <c r="G295" s="306">
        <f>'H) Péréquation directe'!I305</f>
        <v>-49862.000679194316</v>
      </c>
      <c r="H295" s="309">
        <f>+'I) Dépenses thématiques'!T295</f>
        <v>-59542.035000000003</v>
      </c>
      <c r="I295" s="306">
        <f>'K) Plafonnement aide'!J295</f>
        <v>0</v>
      </c>
      <c r="J295" s="309">
        <f>'J) Plafonnement effort'!J295</f>
        <v>0</v>
      </c>
      <c r="K295" s="306">
        <f>'L) Plafonnement taux'!Q296</f>
        <v>0</v>
      </c>
      <c r="L295" s="304">
        <f t="shared" si="20"/>
        <v>74466.552700463857</v>
      </c>
      <c r="M295" s="229">
        <f>'M) Police'!N295</f>
        <v>11489.967541251521</v>
      </c>
      <c r="N295" s="229">
        <f t="shared" si="18"/>
        <v>85956.520241715378</v>
      </c>
      <c r="O295" s="309">
        <f t="shared" si="19"/>
        <v>-109404.03567919432</v>
      </c>
      <c r="P295" s="311"/>
    </row>
    <row r="296" spans="1:16" s="152" customFormat="1" x14ac:dyDescent="0.25">
      <c r="A296" s="149">
        <f>'B) D RI'!A297</f>
        <v>5919</v>
      </c>
      <c r="B296" s="150" t="str">
        <f>'B) D RI'!B297</f>
        <v>Mathod</v>
      </c>
      <c r="C296" s="307">
        <f>'B) D RI'!S297</f>
        <v>72</v>
      </c>
      <c r="D296" s="151">
        <f>'B) D RI'!AA297</f>
        <v>655</v>
      </c>
      <c r="E296" s="305">
        <f>'D) Ecrêtage'!C296</f>
        <v>18684.885972222222</v>
      </c>
      <c r="F296" s="309">
        <f>'E) PCS'!G302</f>
        <v>275678.18312221282</v>
      </c>
      <c r="G296" s="306">
        <f>'H) Péréquation directe'!I306</f>
        <v>-2513.268835190509</v>
      </c>
      <c r="H296" s="309">
        <f>+'I) Dépenses thématiques'!T296</f>
        <v>-141219.7696875</v>
      </c>
      <c r="I296" s="306">
        <f>'K) Plafonnement aide'!J296</f>
        <v>0</v>
      </c>
      <c r="J296" s="309">
        <f>'J) Plafonnement effort'!J296</f>
        <v>0</v>
      </c>
      <c r="K296" s="306">
        <f>'L) Plafonnement taux'!Q297</f>
        <v>0</v>
      </c>
      <c r="L296" s="304">
        <f t="shared" si="20"/>
        <v>131945.14459952232</v>
      </c>
      <c r="M296" s="229">
        <f>'M) Police'!N296</f>
        <v>21841.237307728956</v>
      </c>
      <c r="N296" s="229">
        <f t="shared" si="18"/>
        <v>153786.38190725129</v>
      </c>
      <c r="O296" s="309">
        <f t="shared" si="19"/>
        <v>-143733.03852269051</v>
      </c>
      <c r="P296" s="311"/>
    </row>
    <row r="297" spans="1:16" s="152" customFormat="1" x14ac:dyDescent="0.25">
      <c r="A297" s="149">
        <f>'B) D RI'!A298</f>
        <v>5921</v>
      </c>
      <c r="B297" s="150" t="str">
        <f>'B) D RI'!B298</f>
        <v>Molondin</v>
      </c>
      <c r="C297" s="307">
        <f>'B) D RI'!S298</f>
        <v>81</v>
      </c>
      <c r="D297" s="151">
        <f>'B) D RI'!AA298</f>
        <v>239</v>
      </c>
      <c r="E297" s="305">
        <f>'D) Ecrêtage'!C297</f>
        <v>5874.9966666666678</v>
      </c>
      <c r="F297" s="309">
        <f>'E) PCS'!G303</f>
        <v>76204.145911582687</v>
      </c>
      <c r="G297" s="306">
        <f>'H) Péréquation directe'!I307</f>
        <v>-69318.7049662348</v>
      </c>
      <c r="H297" s="309">
        <f>+'I) Dépenses thématiques'!T297</f>
        <v>-36720.022499999992</v>
      </c>
      <c r="I297" s="306">
        <f>'K) Plafonnement aide'!J297</f>
        <v>0</v>
      </c>
      <c r="J297" s="309">
        <f>'J) Plafonnement effort'!J297</f>
        <v>0</v>
      </c>
      <c r="K297" s="306">
        <f>'L) Plafonnement taux'!Q298</f>
        <v>0</v>
      </c>
      <c r="L297" s="304">
        <f t="shared" si="20"/>
        <v>-29834.581554652104</v>
      </c>
      <c r="M297" s="229">
        <f>'M) Police'!N297</f>
        <v>17732.548226514602</v>
      </c>
      <c r="N297" s="229">
        <f t="shared" si="18"/>
        <v>-12102.033328137502</v>
      </c>
      <c r="O297" s="309">
        <f t="shared" si="19"/>
        <v>-106038.72746623479</v>
      </c>
      <c r="P297" s="311"/>
    </row>
    <row r="298" spans="1:16" s="152" customFormat="1" x14ac:dyDescent="0.25">
      <c r="A298" s="149">
        <f>'B) D RI'!A299</f>
        <v>5922</v>
      </c>
      <c r="B298" s="150" t="str">
        <f>'B) D RI'!B299</f>
        <v>Montagny-près-Yverdon</v>
      </c>
      <c r="C298" s="307">
        <f>'B) D RI'!S299</f>
        <v>64.5</v>
      </c>
      <c r="D298" s="151">
        <f>'B) D RI'!AA299</f>
        <v>775</v>
      </c>
      <c r="E298" s="305">
        <f>'D) Ecrêtage'!C298</f>
        <v>39614.024961240313</v>
      </c>
      <c r="F298" s="309">
        <f>'E) PCS'!G304</f>
        <v>786702.26874901948</v>
      </c>
      <c r="G298" s="306">
        <f>'H) Péréquation directe'!I308</f>
        <v>642288.21794615779</v>
      </c>
      <c r="H298" s="309">
        <f>+'I) Dépenses thématiques'!T298</f>
        <v>-148377.60023255812</v>
      </c>
      <c r="I298" s="306">
        <f>'K) Plafonnement aide'!J298</f>
        <v>0</v>
      </c>
      <c r="J298" s="309">
        <f>'J) Plafonnement effort'!J298</f>
        <v>0</v>
      </c>
      <c r="K298" s="306">
        <f>'L) Plafonnement taux'!Q299</f>
        <v>0</v>
      </c>
      <c r="L298" s="304">
        <f t="shared" si="20"/>
        <v>1280612.8864626193</v>
      </c>
      <c r="M298" s="229">
        <f>'M) Police'!N298</f>
        <v>114437.29503463616</v>
      </c>
      <c r="N298" s="229">
        <f t="shared" si="18"/>
        <v>1395050.1814972553</v>
      </c>
      <c r="O298" s="309">
        <f t="shared" si="19"/>
        <v>493910.6177135997</v>
      </c>
      <c r="P298" s="311"/>
    </row>
    <row r="299" spans="1:16" s="152" customFormat="1" x14ac:dyDescent="0.25">
      <c r="A299" s="149">
        <f>'B) D RI'!A300</f>
        <v>5923</v>
      </c>
      <c r="B299" s="150" t="str">
        <f>'B) D RI'!B300</f>
        <v>Oppens</v>
      </c>
      <c r="C299" s="307">
        <f>'B) D RI'!S300</f>
        <v>81</v>
      </c>
      <c r="D299" s="151">
        <f>'B) D RI'!AA300</f>
        <v>201</v>
      </c>
      <c r="E299" s="305">
        <f>'D) Ecrêtage'!C299</f>
        <v>5094.8359259259259</v>
      </c>
      <c r="F299" s="309">
        <f>'E) PCS'!G305</f>
        <v>96869.408135966689</v>
      </c>
      <c r="G299" s="306">
        <f>'H) Péréquation directe'!I309</f>
        <v>-51391.785679025328</v>
      </c>
      <c r="H299" s="309">
        <f>+'I) Dépenses thématiques'!T299</f>
        <v>-37039.857499999998</v>
      </c>
      <c r="I299" s="306">
        <f>'K) Plafonnement aide'!J299</f>
        <v>0</v>
      </c>
      <c r="J299" s="309">
        <f>'J) Plafonnement effort'!J299</f>
        <v>0</v>
      </c>
      <c r="K299" s="306">
        <f>'L) Plafonnement taux'!Q300</f>
        <v>0</v>
      </c>
      <c r="L299" s="304">
        <f t="shared" si="20"/>
        <v>8437.7649569413625</v>
      </c>
      <c r="M299" s="229">
        <f>'M) Police'!N299</f>
        <v>15493.219035338381</v>
      </c>
      <c r="N299" s="229">
        <f t="shared" si="18"/>
        <v>23930.983992279744</v>
      </c>
      <c r="O299" s="309">
        <f t="shared" si="19"/>
        <v>-88431.643179025326</v>
      </c>
      <c r="P299" s="311"/>
    </row>
    <row r="300" spans="1:16" s="152" customFormat="1" x14ac:dyDescent="0.25">
      <c r="A300" s="149">
        <f>'B) D RI'!A301</f>
        <v>5924</v>
      </c>
      <c r="B300" s="150" t="str">
        <f>'B) D RI'!B301</f>
        <v>Orges</v>
      </c>
      <c r="C300" s="307">
        <f>'B) D RI'!S301</f>
        <v>74</v>
      </c>
      <c r="D300" s="151">
        <f>'B) D RI'!AA301</f>
        <v>367</v>
      </c>
      <c r="E300" s="305">
        <f>'D) Ecrêtage'!C300</f>
        <v>13110.169864864867</v>
      </c>
      <c r="F300" s="309">
        <f>'E) PCS'!G306</f>
        <v>206595.2453155634</v>
      </c>
      <c r="G300" s="306">
        <f>'H) Péréquation directe'!I310</f>
        <v>97115.456789927121</v>
      </c>
      <c r="H300" s="309">
        <f>+'I) Dépenses thématiques'!T300</f>
        <v>-29467.980810810797</v>
      </c>
      <c r="I300" s="306">
        <f>'K) Plafonnement aide'!J300</f>
        <v>0</v>
      </c>
      <c r="J300" s="309">
        <f>'J) Plafonnement effort'!J300</f>
        <v>0</v>
      </c>
      <c r="K300" s="306">
        <f>'L) Plafonnement taux'!Q301</f>
        <v>0</v>
      </c>
      <c r="L300" s="304">
        <f t="shared" si="20"/>
        <v>274242.72129467968</v>
      </c>
      <c r="M300" s="229">
        <f>'M) Police'!N300</f>
        <v>39973.372904319112</v>
      </c>
      <c r="N300" s="229">
        <f t="shared" si="18"/>
        <v>314216.09419899876</v>
      </c>
      <c r="O300" s="309">
        <f t="shared" si="19"/>
        <v>67647.475979116323</v>
      </c>
      <c r="P300" s="311"/>
    </row>
    <row r="301" spans="1:16" s="152" customFormat="1" x14ac:dyDescent="0.25">
      <c r="A301" s="149">
        <f>'B) D RI'!A302</f>
        <v>5925</v>
      </c>
      <c r="B301" s="150" t="str">
        <f>'B) D RI'!B302</f>
        <v>Orzens</v>
      </c>
      <c r="C301" s="307">
        <f>'B) D RI'!S302</f>
        <v>79</v>
      </c>
      <c r="D301" s="151">
        <f>'B) D RI'!AA302</f>
        <v>202</v>
      </c>
      <c r="E301" s="305">
        <f>'D) Ecrêtage'!C301</f>
        <v>5230.5868354430377</v>
      </c>
      <c r="F301" s="309">
        <f>'E) PCS'!G307</f>
        <v>132457.02515421042</v>
      </c>
      <c r="G301" s="306">
        <f>'H) Péréquation directe'!I311</f>
        <v>-40887.574627973154</v>
      </c>
      <c r="H301" s="309">
        <f>+'I) Dépenses thématiques'!T301</f>
        <v>-9874.809873417722</v>
      </c>
      <c r="I301" s="306">
        <f>'K) Plafonnement aide'!J301</f>
        <v>0</v>
      </c>
      <c r="J301" s="309">
        <f>'J) Plafonnement effort'!J301</f>
        <v>0</v>
      </c>
      <c r="K301" s="306">
        <f>'L) Plafonnement taux'!Q302</f>
        <v>0</v>
      </c>
      <c r="L301" s="304">
        <f t="shared" si="20"/>
        <v>81694.640652819551</v>
      </c>
      <c r="M301" s="229">
        <f>'M) Police'!N301</f>
        <v>15752.088706495881</v>
      </c>
      <c r="N301" s="229">
        <f t="shared" si="18"/>
        <v>97446.729359315432</v>
      </c>
      <c r="O301" s="309">
        <f t="shared" si="19"/>
        <v>-50762.384501390872</v>
      </c>
      <c r="P301" s="311"/>
    </row>
    <row r="302" spans="1:16" s="152" customFormat="1" x14ac:dyDescent="0.25">
      <c r="A302" s="149">
        <f>'B) D RI'!A303</f>
        <v>5926</v>
      </c>
      <c r="B302" s="150" t="str">
        <f>'B) D RI'!B303</f>
        <v>Pomy</v>
      </c>
      <c r="C302" s="307">
        <f>'B) D RI'!S303</f>
        <v>71</v>
      </c>
      <c r="D302" s="151">
        <f>'B) D RI'!AA303</f>
        <v>838</v>
      </c>
      <c r="E302" s="305">
        <f>'D) Ecrêtage'!C302</f>
        <v>27875.103943661972</v>
      </c>
      <c r="F302" s="309">
        <f>'E) PCS'!G308</f>
        <v>446435.44922087685</v>
      </c>
      <c r="G302" s="306">
        <f>'H) Péréquation directe'!I312</f>
        <v>160273.43023357179</v>
      </c>
      <c r="H302" s="309">
        <f>+'I) Dépenses thématiques'!T302</f>
        <v>-45010.548380281689</v>
      </c>
      <c r="I302" s="306">
        <f>'K) Plafonnement aide'!J302</f>
        <v>0</v>
      </c>
      <c r="J302" s="309">
        <f>'J) Plafonnement effort'!J302</f>
        <v>0</v>
      </c>
      <c r="K302" s="306">
        <f>'L) Plafonnement taux'!Q303</f>
        <v>0</v>
      </c>
      <c r="L302" s="304">
        <f t="shared" si="20"/>
        <v>561698.33107416693</v>
      </c>
      <c r="M302" s="229">
        <f>'M) Police'!N302</f>
        <v>32583.916279512825</v>
      </c>
      <c r="N302" s="229">
        <f t="shared" si="18"/>
        <v>594282.24735367973</v>
      </c>
      <c r="O302" s="309">
        <f t="shared" si="19"/>
        <v>115262.88185329011</v>
      </c>
      <c r="P302" s="311"/>
    </row>
    <row r="303" spans="1:16" s="152" customFormat="1" x14ac:dyDescent="0.25">
      <c r="A303" s="149">
        <f>'B) D RI'!A304</f>
        <v>5928</v>
      </c>
      <c r="B303" s="150" t="str">
        <f>'B) D RI'!B304</f>
        <v>Rovray</v>
      </c>
      <c r="C303" s="307">
        <f>'B) D RI'!S304</f>
        <v>71.5</v>
      </c>
      <c r="D303" s="151">
        <f>'B) D RI'!AA304</f>
        <v>206</v>
      </c>
      <c r="E303" s="305">
        <f>'D) Ecrêtage'!C303</f>
        <v>5459.4606993006983</v>
      </c>
      <c r="F303" s="309">
        <f>'E) PCS'!G309</f>
        <v>79600.88357565015</v>
      </c>
      <c r="G303" s="306">
        <f>'H) Péréquation directe'!I313</f>
        <v>-15911.484546825828</v>
      </c>
      <c r="H303" s="309">
        <f>+'I) Dépenses thématiques'!T303</f>
        <v>-24536.140279720286</v>
      </c>
      <c r="I303" s="306">
        <f>'K) Plafonnement aide'!J303</f>
        <v>0</v>
      </c>
      <c r="J303" s="309">
        <f>'J) Plafonnement effort'!J303</f>
        <v>0</v>
      </c>
      <c r="K303" s="306">
        <f>'L) Plafonnement taux'!Q304</f>
        <v>0</v>
      </c>
      <c r="L303" s="304">
        <f t="shared" si="20"/>
        <v>39153.258749104032</v>
      </c>
      <c r="M303" s="229">
        <f>'M) Police'!N303</f>
        <v>16644.02772964559</v>
      </c>
      <c r="N303" s="229">
        <f t="shared" si="18"/>
        <v>55797.286478749622</v>
      </c>
      <c r="O303" s="309">
        <f t="shared" si="19"/>
        <v>-40447.624826546118</v>
      </c>
      <c r="P303" s="311"/>
    </row>
    <row r="304" spans="1:16" s="152" customFormat="1" x14ac:dyDescent="0.25">
      <c r="A304" s="149">
        <f>'B) D RI'!A305</f>
        <v>5929</v>
      </c>
      <c r="B304" s="150" t="str">
        <f>'B) D RI'!B305</f>
        <v>Suchy</v>
      </c>
      <c r="C304" s="307">
        <f>'B) D RI'!S305</f>
        <v>70</v>
      </c>
      <c r="D304" s="151">
        <f>'B) D RI'!AA305</f>
        <v>656</v>
      </c>
      <c r="E304" s="305">
        <f>'D) Ecrêtage'!C304</f>
        <v>20266.988392857143</v>
      </c>
      <c r="F304" s="309">
        <f>'E) PCS'!G310</f>
        <v>320720.77426411188</v>
      </c>
      <c r="G304" s="306">
        <f>'H) Péréquation directe'!I314</f>
        <v>71646.906577541435</v>
      </c>
      <c r="H304" s="309">
        <f>+'I) Dépenses thématiques'!T304</f>
        <v>-35238.82834821428</v>
      </c>
      <c r="I304" s="306">
        <f>'K) Plafonnement aide'!J304</f>
        <v>0</v>
      </c>
      <c r="J304" s="309">
        <f>'J) Plafonnement effort'!J304</f>
        <v>0</v>
      </c>
      <c r="K304" s="306">
        <f>'L) Plafonnement taux'!Q305</f>
        <v>0</v>
      </c>
      <c r="L304" s="304">
        <f t="shared" si="20"/>
        <v>357128.85249343904</v>
      </c>
      <c r="M304" s="229">
        <f>'M) Police'!N304</f>
        <v>23690.596970163657</v>
      </c>
      <c r="N304" s="229">
        <f t="shared" si="18"/>
        <v>380819.44946360268</v>
      </c>
      <c r="O304" s="309">
        <f t="shared" si="19"/>
        <v>36408.078229327155</v>
      </c>
      <c r="P304" s="311"/>
    </row>
    <row r="305" spans="1:16" s="152" customFormat="1" x14ac:dyDescent="0.25">
      <c r="A305" s="149">
        <f>'B) D RI'!A306</f>
        <v>5930</v>
      </c>
      <c r="B305" s="150" t="str">
        <f>'B) D RI'!B306</f>
        <v>Suscévaz</v>
      </c>
      <c r="C305" s="307">
        <f>'B) D RI'!S306</f>
        <v>72</v>
      </c>
      <c r="D305" s="151">
        <f>'B) D RI'!AA306</f>
        <v>215</v>
      </c>
      <c r="E305" s="305">
        <f>'D) Ecrêtage'!C305</f>
        <v>6661.8138888888889</v>
      </c>
      <c r="F305" s="309">
        <f>'E) PCS'!G311</f>
        <v>121171.51926991678</v>
      </c>
      <c r="G305" s="306">
        <f>'H) Péréquation directe'!I315</f>
        <v>19980.542616140854</v>
      </c>
      <c r="H305" s="309">
        <f>+'I) Dépenses thématiques'!T305</f>
        <v>-27960.506250000002</v>
      </c>
      <c r="I305" s="306">
        <f>'K) Plafonnement aide'!J305</f>
        <v>0</v>
      </c>
      <c r="J305" s="309">
        <f>'J) Plafonnement effort'!J305</f>
        <v>0</v>
      </c>
      <c r="K305" s="306">
        <f>'L) Plafonnement taux'!Q306</f>
        <v>0</v>
      </c>
      <c r="L305" s="304">
        <f t="shared" si="20"/>
        <v>113191.55563605763</v>
      </c>
      <c r="M305" s="229">
        <f>'M) Police'!N305</f>
        <v>7787.1632860621694</v>
      </c>
      <c r="N305" s="229">
        <f t="shared" si="18"/>
        <v>120978.71892211981</v>
      </c>
      <c r="O305" s="309">
        <f t="shared" si="19"/>
        <v>-7979.9636338591481</v>
      </c>
      <c r="P305" s="311"/>
    </row>
    <row r="306" spans="1:16" s="152" customFormat="1" x14ac:dyDescent="0.25">
      <c r="A306" s="149">
        <f>'B) D RI'!A307</f>
        <v>5931</v>
      </c>
      <c r="B306" s="150" t="str">
        <f>'B) D RI'!B307</f>
        <v>Treycovagnes</v>
      </c>
      <c r="C306" s="307">
        <f>'B) D RI'!S307</f>
        <v>75</v>
      </c>
      <c r="D306" s="151">
        <f>'B) D RI'!AA307</f>
        <v>490</v>
      </c>
      <c r="E306" s="305">
        <f>'D) Ecrêtage'!C306</f>
        <v>15271.093466666664</v>
      </c>
      <c r="F306" s="309">
        <f>'E) PCS'!G312</f>
        <v>267505.06715272361</v>
      </c>
      <c r="G306" s="306">
        <f>'H) Péréquation directe'!I316</f>
        <v>34150.538376344892</v>
      </c>
      <c r="H306" s="309">
        <f>+'I) Dépenses thématiques'!T306</f>
        <v>-61951.689200000023</v>
      </c>
      <c r="I306" s="306">
        <f>'K) Plafonnement aide'!J306</f>
        <v>0</v>
      </c>
      <c r="J306" s="309">
        <f>'J) Plafonnement effort'!J306</f>
        <v>0</v>
      </c>
      <c r="K306" s="306">
        <f>'L) Plafonnement taux'!Q307</f>
        <v>0</v>
      </c>
      <c r="L306" s="304">
        <f t="shared" si="20"/>
        <v>239703.91632906848</v>
      </c>
      <c r="M306" s="229">
        <f>'M) Police'!N306</f>
        <v>17850.768629245613</v>
      </c>
      <c r="N306" s="229">
        <f t="shared" si="18"/>
        <v>257554.68495831409</v>
      </c>
      <c r="O306" s="309">
        <f t="shared" si="19"/>
        <v>-27801.150823655131</v>
      </c>
      <c r="P306" s="311"/>
    </row>
    <row r="307" spans="1:16" s="152" customFormat="1" x14ac:dyDescent="0.25">
      <c r="A307" s="149">
        <f>'B) D RI'!A308</f>
        <v>5932</v>
      </c>
      <c r="B307" s="150" t="str">
        <f>'B) D RI'!B308</f>
        <v>Ursins</v>
      </c>
      <c r="C307" s="307">
        <f>'B) D RI'!S308</f>
        <v>75</v>
      </c>
      <c r="D307" s="151">
        <f>'B) D RI'!AA308</f>
        <v>228</v>
      </c>
      <c r="E307" s="305">
        <f>'D) Ecrêtage'!C307</f>
        <v>7703.3244000000022</v>
      </c>
      <c r="F307" s="309">
        <f>'E) PCS'!G313</f>
        <v>98877.721915866146</v>
      </c>
      <c r="G307" s="306">
        <f>'H) Péréquation directe'!I317</f>
        <v>40463.686038243148</v>
      </c>
      <c r="H307" s="309">
        <f>+'I) Dépenses thématiques'!T307</f>
        <v>-8031.506699999999</v>
      </c>
      <c r="I307" s="306">
        <f>'K) Plafonnement aide'!J307</f>
        <v>0</v>
      </c>
      <c r="J307" s="309">
        <f>'J) Plafonnement effort'!J307</f>
        <v>0</v>
      </c>
      <c r="K307" s="306">
        <f>'L) Plafonnement taux'!Q308</f>
        <v>0</v>
      </c>
      <c r="L307" s="304">
        <f t="shared" si="20"/>
        <v>131309.90125410931</v>
      </c>
      <c r="M307" s="229">
        <f>'M) Police'!N307</f>
        <v>23474.492148923779</v>
      </c>
      <c r="N307" s="229">
        <f t="shared" si="18"/>
        <v>154784.39340303309</v>
      </c>
      <c r="O307" s="309">
        <f t="shared" si="19"/>
        <v>32432.17933824315</v>
      </c>
      <c r="P307" s="311"/>
    </row>
    <row r="308" spans="1:16" s="152" customFormat="1" x14ac:dyDescent="0.25">
      <c r="A308" s="149">
        <f>'B) D RI'!A309</f>
        <v>5933</v>
      </c>
      <c r="B308" s="150" t="str">
        <f>'B) D RI'!B309</f>
        <v>Valeyres-sous-Montagny</v>
      </c>
      <c r="C308" s="307">
        <f>'B) D RI'!S309</f>
        <v>70.5</v>
      </c>
      <c r="D308" s="151">
        <f>'B) D RI'!AA309</f>
        <v>697</v>
      </c>
      <c r="E308" s="305">
        <f>'D) Ecrêtage'!C308</f>
        <v>19607.073049645387</v>
      </c>
      <c r="F308" s="309">
        <f>'E) PCS'!G314</f>
        <v>310594.59098091035</v>
      </c>
      <c r="G308" s="306">
        <f>'H) Péréquation directe'!I318</f>
        <v>-1480.772243976302</v>
      </c>
      <c r="H308" s="309">
        <f>+'I) Dépenses thématiques'!T308</f>
        <v>-445172.50691489363</v>
      </c>
      <c r="I308" s="306">
        <f>'K) Plafonnement aide'!J308</f>
        <v>0</v>
      </c>
      <c r="J308" s="309">
        <f>'J) Plafonnement effort'!J308</f>
        <v>0</v>
      </c>
      <c r="K308" s="306">
        <f>'L) Plafonnement taux'!Q309</f>
        <v>0</v>
      </c>
      <c r="L308" s="304">
        <f t="shared" si="20"/>
        <v>-136058.68817795959</v>
      </c>
      <c r="M308" s="229">
        <f>'M) Police'!N308</f>
        <v>58545.94135155165</v>
      </c>
      <c r="N308" s="229">
        <f t="shared" si="18"/>
        <v>-77512.746826407936</v>
      </c>
      <c r="O308" s="309">
        <f t="shared" si="19"/>
        <v>-446653.27915886993</v>
      </c>
      <c r="P308" s="311"/>
    </row>
    <row r="309" spans="1:16" s="152" customFormat="1" x14ac:dyDescent="0.25">
      <c r="A309" s="149">
        <f>'B) D RI'!A310</f>
        <v>5934</v>
      </c>
      <c r="B309" s="150" t="str">
        <f>'B) D RI'!B310</f>
        <v>Valeyres-sous-Ursins</v>
      </c>
      <c r="C309" s="307">
        <f>'B) D RI'!S310</f>
        <v>77</v>
      </c>
      <c r="D309" s="151">
        <f>'B) D RI'!AA310</f>
        <v>247</v>
      </c>
      <c r="E309" s="305">
        <f>'D) Ecrêtage'!C309</f>
        <v>7018.283636363637</v>
      </c>
      <c r="F309" s="309">
        <f>'E) PCS'!G315</f>
        <v>91622.937173481638</v>
      </c>
      <c r="G309" s="306">
        <f>'H) Péréquation directe'!I319</f>
        <v>-16720.76416059745</v>
      </c>
      <c r="H309" s="309">
        <f>+'I) Dépenses thématiques'!T309</f>
        <v>-7274.7872727272716</v>
      </c>
      <c r="I309" s="306">
        <f>'K) Plafonnement aide'!J309</f>
        <v>0</v>
      </c>
      <c r="J309" s="309">
        <f>'J) Plafonnement effort'!J309</f>
        <v>0</v>
      </c>
      <c r="K309" s="306">
        <f>'L) Plafonnement taux'!Q310</f>
        <v>0</v>
      </c>
      <c r="L309" s="304">
        <f t="shared" si="20"/>
        <v>67627.385740156911</v>
      </c>
      <c r="M309" s="229">
        <f>'M) Police'!N309</f>
        <v>21458.259948523231</v>
      </c>
      <c r="N309" s="229">
        <f t="shared" si="18"/>
        <v>89085.645688680146</v>
      </c>
      <c r="O309" s="309">
        <f t="shared" si="19"/>
        <v>-23995.551433324719</v>
      </c>
      <c r="P309" s="311"/>
    </row>
    <row r="310" spans="1:16" s="152" customFormat="1" x14ac:dyDescent="0.25">
      <c r="A310" s="149">
        <f>'B) D RI'!A311</f>
        <v>5935</v>
      </c>
      <c r="B310" s="150" t="str">
        <f>'B) D RI'!B311</f>
        <v>Villars-Epeney</v>
      </c>
      <c r="C310" s="307">
        <f>'B) D RI'!S311</f>
        <v>60</v>
      </c>
      <c r="D310" s="151">
        <f>'B) D RI'!AA311</f>
        <v>95</v>
      </c>
      <c r="E310" s="305">
        <f>'D) Ecrêtage'!C310</f>
        <v>3448.2304999999997</v>
      </c>
      <c r="F310" s="309">
        <f>'E) PCS'!G316</f>
        <v>47116.242966755104</v>
      </c>
      <c r="G310" s="306">
        <f>'H) Péréquation directe'!I320</f>
        <v>35957.507647055943</v>
      </c>
      <c r="H310" s="309">
        <f>+'I) Dépenses thématiques'!T310</f>
        <v>-9899.0771249999998</v>
      </c>
      <c r="I310" s="306">
        <f>'K) Plafonnement aide'!J310</f>
        <v>0</v>
      </c>
      <c r="J310" s="309">
        <f>'J) Plafonnement effort'!J310</f>
        <v>0</v>
      </c>
      <c r="K310" s="306">
        <f>'L) Plafonnement taux'!Q311</f>
        <v>0</v>
      </c>
      <c r="L310" s="304">
        <f t="shared" si="20"/>
        <v>73174.673488811051</v>
      </c>
      <c r="M310" s="229">
        <f>'M) Police'!N310</f>
        <v>10242.200123990557</v>
      </c>
      <c r="N310" s="229">
        <f t="shared" si="18"/>
        <v>83416.873612801603</v>
      </c>
      <c r="O310" s="309">
        <f t="shared" si="19"/>
        <v>26058.430522055944</v>
      </c>
      <c r="P310" s="311"/>
    </row>
    <row r="311" spans="1:16" s="152" customFormat="1" x14ac:dyDescent="0.25">
      <c r="A311" s="149">
        <f>'B) D RI'!A312</f>
        <v>5937</v>
      </c>
      <c r="B311" s="150" t="str">
        <f>'B) D RI'!B312</f>
        <v>Vugelles-La Mothe</v>
      </c>
      <c r="C311" s="307">
        <f>'B) D RI'!S312</f>
        <v>70</v>
      </c>
      <c r="D311" s="151">
        <f>'B) D RI'!AA312</f>
        <v>140</v>
      </c>
      <c r="E311" s="305">
        <f>'D) Ecrêtage'!C311</f>
        <v>3479.7743061224487</v>
      </c>
      <c r="F311" s="309">
        <f>'E) PCS'!G317</f>
        <v>47555.966080358419</v>
      </c>
      <c r="G311" s="306">
        <f>'H) Péréquation directe'!I321</f>
        <v>-17028.499198330093</v>
      </c>
      <c r="H311" s="309">
        <f>+'I) Dépenses thématiques'!T311</f>
        <v>-21297.023433673472</v>
      </c>
      <c r="I311" s="306">
        <f>'K) Plafonnement aide'!J311</f>
        <v>0</v>
      </c>
      <c r="J311" s="309">
        <f>'J) Plafonnement effort'!J311</f>
        <v>0</v>
      </c>
      <c r="K311" s="306">
        <f>'L) Plafonnement taux'!Q312</f>
        <v>0</v>
      </c>
      <c r="L311" s="304">
        <f t="shared" si="20"/>
        <v>9230.4434483548539</v>
      </c>
      <c r="M311" s="229">
        <f>'M) Police'!N311</f>
        <v>10530.62590790489</v>
      </c>
      <c r="N311" s="229">
        <f t="shared" si="18"/>
        <v>19761.069356259744</v>
      </c>
      <c r="O311" s="309">
        <f t="shared" si="19"/>
        <v>-38325.522632003565</v>
      </c>
      <c r="P311" s="311"/>
    </row>
    <row r="312" spans="1:16" s="152" customFormat="1" x14ac:dyDescent="0.25">
      <c r="A312" s="149">
        <f>'B) D RI'!A313</f>
        <v>5938</v>
      </c>
      <c r="B312" s="150" t="str">
        <f>'B) D RI'!B313</f>
        <v>Yverdon-les-Bains</v>
      </c>
      <c r="C312" s="307">
        <f>'B) D RI'!S313</f>
        <v>75</v>
      </c>
      <c r="D312" s="151">
        <f>'B) D RI'!AA313</f>
        <v>29710</v>
      </c>
      <c r="E312" s="305">
        <f>'D) Ecrêtage'!C312</f>
        <v>762770.29813333345</v>
      </c>
      <c r="F312" s="309">
        <f>'E) PCS'!G318</f>
        <v>13887379.728330832</v>
      </c>
      <c r="G312" s="306">
        <f>'H) Péréquation directe'!I322</f>
        <v>-26101916.853192616</v>
      </c>
      <c r="H312" s="309">
        <f>+'I) Dépenses thématiques'!T312</f>
        <v>-9757874.7111999989</v>
      </c>
      <c r="I312" s="306">
        <f>'K) Plafonnement aide'!J312</f>
        <v>6112374.7397951139</v>
      </c>
      <c r="J312" s="309">
        <f>'J) Plafonnement effort'!J312</f>
        <v>0</v>
      </c>
      <c r="K312" s="306">
        <f>'L) Plafonnement taux'!Q313</f>
        <v>0</v>
      </c>
      <c r="L312" s="304">
        <f t="shared" si="20"/>
        <v>-15860037.096266668</v>
      </c>
      <c r="M312" s="229">
        <f>'M) Police'!N312</f>
        <v>891621.55538891524</v>
      </c>
      <c r="N312" s="229">
        <f t="shared" si="18"/>
        <v>-14968415.540877754</v>
      </c>
      <c r="O312" s="309">
        <f t="shared" si="19"/>
        <v>-29747416.824597497</v>
      </c>
      <c r="P312" s="311"/>
    </row>
    <row r="313" spans="1:16" s="152" customFormat="1" x14ac:dyDescent="0.25">
      <c r="A313" s="149">
        <f>'B) D RI'!A314</f>
        <v>5939</v>
      </c>
      <c r="B313" s="150" t="str">
        <f>'B) D RI'!B314</f>
        <v>Yvonand</v>
      </c>
      <c r="C313" s="307">
        <f>'B) D RI'!S314</f>
        <v>71.5</v>
      </c>
      <c r="D313" s="151">
        <f>'B) D RI'!AA314</f>
        <v>3512</v>
      </c>
      <c r="E313" s="305">
        <f>'D) Ecrêtage'!C313</f>
        <v>105336.86867132869</v>
      </c>
      <c r="F313" s="309">
        <f>'E) PCS'!G319</f>
        <v>1638281.8689666861</v>
      </c>
      <c r="G313" s="306">
        <f>'H) Péréquation directe'!I323</f>
        <v>-432906.7708306585</v>
      </c>
      <c r="H313" s="350">
        <f>+'I) Dépenses thématiques'!T313</f>
        <v>-454088.38646853139</v>
      </c>
      <c r="I313" s="306">
        <f>'K) Plafonnement aide'!J313</f>
        <v>0</v>
      </c>
      <c r="J313" s="309">
        <f>'J) Plafonnement effort'!J313</f>
        <v>0</v>
      </c>
      <c r="K313" s="306">
        <f>'L) Plafonnement taux'!Q314</f>
        <v>0</v>
      </c>
      <c r="L313" s="304">
        <f t="shared" si="20"/>
        <v>751286.71166749625</v>
      </c>
      <c r="M313" s="229">
        <f>'M) Police'!N313</f>
        <v>315828.51362514478</v>
      </c>
      <c r="N313" s="231">
        <f t="shared" si="18"/>
        <v>1067115.225292641</v>
      </c>
      <c r="O313" s="350">
        <f t="shared" si="19"/>
        <v>-886995.15729918983</v>
      </c>
      <c r="P313" s="311"/>
    </row>
    <row r="314" spans="1:16" x14ac:dyDescent="0.25">
      <c r="A314" s="30"/>
      <c r="B314" s="24">
        <f>COUNTA(B6:B313)</f>
        <v>308</v>
      </c>
      <c r="C314" s="253"/>
      <c r="D314" s="154">
        <f>SUM(D6:D313)</f>
        <v>823879</v>
      </c>
      <c r="E314" s="154">
        <f>SUM(E6:E313)</f>
        <v>39865815.115802124</v>
      </c>
      <c r="F314" s="146">
        <f>'E) PCS'!G320</f>
        <v>795342043.99999952</v>
      </c>
      <c r="G314" s="146">
        <f>'H) Péréquation directe'!I324</f>
        <v>166001870.73232138</v>
      </c>
      <c r="H314" s="349">
        <f>'I) Dépenses thématiques'!T314</f>
        <v>-173095875.67926502</v>
      </c>
      <c r="I314" s="146">
        <f>'K) Plafonnement aide'!J314</f>
        <v>8856909.6704196353</v>
      </c>
      <c r="J314" s="146">
        <f>'J) Plafonnement effort'!J314</f>
        <v>-1312904.7234753044</v>
      </c>
      <c r="K314" s="146">
        <f>+'L) Plafonnement taux'!Q315</f>
        <v>0</v>
      </c>
      <c r="L314" s="230">
        <f t="shared" si="20"/>
        <v>795792044.00000024</v>
      </c>
      <c r="M314" s="230">
        <f>SUM(M6:M313)</f>
        <v>69975804.441903159</v>
      </c>
      <c r="N314" s="230">
        <f>SUM(N6:N313)</f>
        <v>865767848.44190347</v>
      </c>
      <c r="O314" s="146">
        <f>SUM(O6:O313)</f>
        <v>450000.00000042189</v>
      </c>
    </row>
    <row r="315" spans="1:16" x14ac:dyDescent="0.25">
      <c r="D315" s="13"/>
      <c r="E315" s="13"/>
      <c r="L315" s="6"/>
      <c r="M315" s="6"/>
      <c r="N315" s="6"/>
    </row>
    <row r="316" spans="1:16" x14ac:dyDescent="0.25">
      <c r="H316" s="153"/>
      <c r="I316" s="153"/>
      <c r="J316" s="153"/>
      <c r="K316" s="153"/>
      <c r="L316" s="6"/>
      <c r="M316" s="6"/>
      <c r="N316" s="6"/>
    </row>
  </sheetData>
  <mergeCells count="14">
    <mergeCell ref="I4:K4"/>
    <mergeCell ref="O4:O5"/>
    <mergeCell ref="M4:M5"/>
    <mergeCell ref="N4:N5"/>
    <mergeCell ref="A1:E1"/>
    <mergeCell ref="L4:L5"/>
    <mergeCell ref="H4:H5"/>
    <mergeCell ref="G4:G5"/>
    <mergeCell ref="F4:F5"/>
    <mergeCell ref="E4:E5"/>
    <mergeCell ref="D4:D5"/>
    <mergeCell ref="C4:C5"/>
    <mergeCell ref="B4:B5"/>
    <mergeCell ref="A4:A5"/>
  </mergeCells>
  <phoneticPr fontId="0" type="noConversion"/>
  <printOptions horizontalCentered="1" verticalCentered="1"/>
  <pageMargins left="0.19685039370078741" right="0.19685039370078741" top="0" bottom="0" header="0.51181102362204722" footer="0.51181102362204722"/>
  <pageSetup paperSize="9" fitToHeight="7" orientation="landscape" horizontalDpi="1200" verticalDpi="1200" r:id="rId1"/>
  <headerFooter alignWithMargins="0">
    <oddFooter>&amp;LSCL - Division finances communales&amp;C- &amp;P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10C10-50F0-45D0-BA57-CF12150E4EF1}">
  <sheetPr>
    <tabColor rgb="FF00B050"/>
  </sheetPr>
  <dimension ref="A1:W318"/>
  <sheetViews>
    <sheetView workbookViewId="0">
      <selection sqref="A1:E1"/>
    </sheetView>
  </sheetViews>
  <sheetFormatPr baseColWidth="10" defaultColWidth="11" defaultRowHeight="12.75" x14ac:dyDescent="0.2"/>
  <cols>
    <col min="1" max="1" width="11" style="474"/>
    <col min="2" max="2" width="20.25" style="474" bestFit="1" customWidth="1"/>
    <col min="3" max="11" width="11" style="474"/>
    <col min="12" max="12" width="15" style="473" bestFit="1" customWidth="1"/>
    <col min="13" max="13" width="11.125" style="473" bestFit="1" customWidth="1"/>
    <col min="14" max="14" width="15" style="473" bestFit="1" customWidth="1"/>
    <col min="15" max="15" width="11.125" style="473" bestFit="1" customWidth="1"/>
    <col min="16" max="16" width="14" style="473" bestFit="1" customWidth="1"/>
    <col min="17" max="17" width="11.125" style="473" bestFit="1" customWidth="1"/>
    <col min="18" max="18" width="14" style="473" bestFit="1" customWidth="1"/>
    <col min="19" max="19" width="11.125" style="473" bestFit="1" customWidth="1"/>
    <col min="20" max="20" width="13" style="473" bestFit="1" customWidth="1"/>
    <col min="21" max="21" width="11.125" style="473" bestFit="1" customWidth="1"/>
    <col min="22" max="22" width="13" style="473" bestFit="1" customWidth="1"/>
    <col min="23" max="23" width="11.125" style="473" bestFit="1" customWidth="1"/>
    <col min="24" max="16384" width="11" style="474"/>
  </cols>
  <sheetData>
    <row r="1" spans="1:11" s="473" customFormat="1" ht="21" x14ac:dyDescent="0.2">
      <c r="A1" s="641" t="s">
        <v>454</v>
      </c>
      <c r="B1" s="642"/>
      <c r="C1" s="642"/>
      <c r="D1" s="642"/>
      <c r="E1" s="642"/>
      <c r="F1" s="44"/>
      <c r="G1" s="397"/>
      <c r="H1" s="397"/>
      <c r="I1" s="44"/>
      <c r="J1" s="397"/>
      <c r="K1" s="397"/>
    </row>
    <row r="2" spans="1:11" s="473" customFormat="1" ht="21" x14ac:dyDescent="0.2">
      <c r="A2" s="465" t="s">
        <v>557</v>
      </c>
      <c r="B2" s="43"/>
      <c r="C2" s="466"/>
      <c r="D2" s="467"/>
      <c r="E2" s="467"/>
      <c r="F2" s="44"/>
      <c r="G2" s="397"/>
      <c r="H2" s="397"/>
      <c r="I2" s="44"/>
      <c r="J2" s="397"/>
      <c r="K2" s="397"/>
    </row>
    <row r="3" spans="1:11" s="473" customFormat="1" ht="15" x14ac:dyDescent="0.2">
      <c r="A3"/>
      <c r="B3" s="44"/>
      <c r="C3" s="44"/>
      <c r="D3" s="44"/>
      <c r="E3" s="44"/>
      <c r="F3" s="44"/>
      <c r="G3" s="44"/>
      <c r="H3" s="44"/>
      <c r="I3" s="44"/>
      <c r="J3" s="44"/>
      <c r="K3" s="44"/>
    </row>
    <row r="4" spans="1:11" s="473" customFormat="1" ht="15" x14ac:dyDescent="0.2">
      <c r="A4" s="592" t="s">
        <v>46</v>
      </c>
      <c r="B4" s="608" t="s">
        <v>533</v>
      </c>
      <c r="C4" s="643" t="s">
        <v>539</v>
      </c>
      <c r="D4" s="640"/>
      <c r="E4" s="635"/>
      <c r="F4" s="640" t="s">
        <v>534</v>
      </c>
      <c r="G4" s="640"/>
      <c r="H4" s="635"/>
      <c r="I4" s="640" t="s">
        <v>468</v>
      </c>
      <c r="J4" s="640"/>
      <c r="K4" s="635"/>
    </row>
    <row r="5" spans="1:11" s="473" customFormat="1" ht="15" x14ac:dyDescent="0.2">
      <c r="A5" s="594"/>
      <c r="B5" s="609"/>
      <c r="C5" s="285" t="s">
        <v>535</v>
      </c>
      <c r="D5" s="468" t="s">
        <v>536</v>
      </c>
      <c r="E5" s="468" t="s">
        <v>537</v>
      </c>
      <c r="F5" s="285" t="s">
        <v>535</v>
      </c>
      <c r="G5" s="468" t="s">
        <v>536</v>
      </c>
      <c r="H5" s="468" t="s">
        <v>537</v>
      </c>
      <c r="I5" s="285" t="s">
        <v>535</v>
      </c>
      <c r="J5" s="468" t="s">
        <v>536</v>
      </c>
      <c r="K5" s="468" t="s">
        <v>538</v>
      </c>
    </row>
    <row r="6" spans="1:11" s="473" customFormat="1" ht="15" x14ac:dyDescent="0.25">
      <c r="A6" s="149">
        <f>+'B) D RI'!A7</f>
        <v>5401</v>
      </c>
      <c r="B6" s="469" t="str">
        <f>+'B) D RI'!B7</f>
        <v>Aigle</v>
      </c>
      <c r="C6" s="494">
        <v>5326630.4722302398</v>
      </c>
      <c r="D6" s="304">
        <f>+'E) PCS'!G12</f>
        <v>4888608.8245631475</v>
      </c>
      <c r="E6" s="309">
        <f>D6-C6</f>
        <v>-438021.64766709227</v>
      </c>
      <c r="F6" s="496">
        <v>-6349429.4951102138</v>
      </c>
      <c r="G6" s="229">
        <f>+'H) Péréquation directe'!I16+'I) Dépenses thématiques'!T6+'J) Plafonnement effort'!J6+'K) Plafonnement aide'!J6+'L) Plafonnement taux'!Q7</f>
        <v>-8790300.8952357806</v>
      </c>
      <c r="H6" s="309">
        <f>G6-F6</f>
        <v>-2440871.4001255669</v>
      </c>
      <c r="I6" s="494">
        <v>351804.40120708628</v>
      </c>
      <c r="J6" s="229">
        <f>+'M) Police'!N6</f>
        <v>328458.05328949157</v>
      </c>
      <c r="K6" s="309">
        <f>J6-I6</f>
        <v>-23346.347917594714</v>
      </c>
    </row>
    <row r="7" spans="1:11" s="473" customFormat="1" ht="15" x14ac:dyDescent="0.25">
      <c r="A7" s="149">
        <f>+'B) D RI'!A8</f>
        <v>5402</v>
      </c>
      <c r="B7" s="469" t="str">
        <f>+'B) D RI'!B8</f>
        <v>Bex</v>
      </c>
      <c r="C7" s="494">
        <v>3474347.8698994806</v>
      </c>
      <c r="D7" s="304">
        <f>+'E) PCS'!G13</f>
        <v>3251559.9550545244</v>
      </c>
      <c r="E7" s="309">
        <f t="shared" ref="E7:E69" si="0">D7-C7</f>
        <v>-222787.91484495625</v>
      </c>
      <c r="F7" s="496">
        <v>-5323954.8898024615</v>
      </c>
      <c r="G7" s="229">
        <f>+'H) Péréquation directe'!I17+'I) Dépenses thématiques'!T7+'J) Plafonnement effort'!J7+'K) Plafonnement aide'!J7+'L) Plafonnement taux'!Q8</f>
        <v>-6258793.5367009742</v>
      </c>
      <c r="H7" s="309">
        <f t="shared" ref="H7:H69" si="1">G7-F7</f>
        <v>-934838.64689851273</v>
      </c>
      <c r="I7" s="494">
        <v>238001.82497941566</v>
      </c>
      <c r="J7" s="229">
        <f>+'M) Police'!N7</f>
        <v>225260.07949689319</v>
      </c>
      <c r="K7" s="309">
        <f t="shared" ref="K7:K69" si="2">J7-I7</f>
        <v>-12741.74548252247</v>
      </c>
    </row>
    <row r="8" spans="1:11" s="473" customFormat="1" ht="15" x14ac:dyDescent="0.25">
      <c r="A8" s="149">
        <f>+'B) D RI'!A9</f>
        <v>5403</v>
      </c>
      <c r="B8" s="469" t="str">
        <f>+'B) D RI'!B9</f>
        <v>Chessel</v>
      </c>
      <c r="C8" s="494">
        <v>213740.41353671282</v>
      </c>
      <c r="D8" s="304">
        <f>+'E) PCS'!G14</f>
        <v>188013.46603948233</v>
      </c>
      <c r="E8" s="309">
        <f t="shared" si="0"/>
        <v>-25726.947497230489</v>
      </c>
      <c r="F8" s="496">
        <v>-86320.550677680119</v>
      </c>
      <c r="G8" s="229">
        <f>+'H) Péréquation directe'!I18+'I) Dépenses thématiques'!T8+'J) Plafonnement effort'!J8+'K) Plafonnement aide'!J8+'L) Plafonnement taux'!Q9</f>
        <v>-116242.45907015221</v>
      </c>
      <c r="H8" s="309">
        <f t="shared" si="1"/>
        <v>-29921.908392472091</v>
      </c>
      <c r="I8" s="494">
        <v>33189.90285309343</v>
      </c>
      <c r="J8" s="229">
        <f>+'M) Police'!N8</f>
        <v>35695.699909506053</v>
      </c>
      <c r="K8" s="309">
        <f t="shared" si="2"/>
        <v>2505.7970564126226</v>
      </c>
    </row>
    <row r="9" spans="1:11" s="473" customFormat="1" ht="15" x14ac:dyDescent="0.25">
      <c r="A9" s="149">
        <f>+'B) D RI'!A10</f>
        <v>5404</v>
      </c>
      <c r="B9" s="469" t="str">
        <f>+'B) D RI'!B10</f>
        <v>Corbeyrier</v>
      </c>
      <c r="C9" s="494">
        <v>319156.49370141374</v>
      </c>
      <c r="D9" s="304">
        <f>+'E) PCS'!G15</f>
        <v>195997.55829300047</v>
      </c>
      <c r="E9" s="309">
        <f t="shared" si="0"/>
        <v>-123158.93540841326</v>
      </c>
      <c r="F9" s="496">
        <v>-23297.155373121554</v>
      </c>
      <c r="G9" s="229">
        <f>+'H) Péréquation directe'!I19+'I) Dépenses thématiques'!T9+'J) Plafonnement effort'!J9+'K) Plafonnement aide'!J9+'L) Plafonnement taux'!Q10</f>
        <v>-221055.63987709556</v>
      </c>
      <c r="H9" s="309">
        <f t="shared" si="1"/>
        <v>-197758.484503974</v>
      </c>
      <c r="I9" s="494">
        <v>45669.713339080961</v>
      </c>
      <c r="J9" s="229">
        <f>+'M) Police'!N9</f>
        <v>34254.972785256068</v>
      </c>
      <c r="K9" s="309">
        <f t="shared" si="2"/>
        <v>-11414.740553824893</v>
      </c>
    </row>
    <row r="10" spans="1:11" s="473" customFormat="1" ht="15" x14ac:dyDescent="0.25">
      <c r="A10" s="149">
        <f>+'B) D RI'!A11</f>
        <v>5405</v>
      </c>
      <c r="B10" s="469" t="str">
        <f>+'B) D RI'!B11</f>
        <v>Gryon</v>
      </c>
      <c r="C10" s="494">
        <v>1374669.0064115447</v>
      </c>
      <c r="D10" s="304">
        <f>+'E) PCS'!G16</f>
        <v>1845859.7314959099</v>
      </c>
      <c r="E10" s="309">
        <f t="shared" si="0"/>
        <v>471190.72508436511</v>
      </c>
      <c r="F10" s="496">
        <v>25911.914669253747</v>
      </c>
      <c r="G10" s="229">
        <f>+'H) Péréquation directe'!I20+'I) Dépenses thématiques'!T10+'J) Plafonnement effort'!J10+'K) Plafonnement aide'!J10+'L) Plafonnement taux'!Q11</f>
        <v>315417.51818481553</v>
      </c>
      <c r="H10" s="309">
        <f t="shared" si="1"/>
        <v>289505.60351556179</v>
      </c>
      <c r="I10" s="494">
        <v>199018.46738474641</v>
      </c>
      <c r="J10" s="229">
        <f>+'M) Police'!N10</f>
        <v>214819.10073361913</v>
      </c>
      <c r="K10" s="309">
        <f t="shared" si="2"/>
        <v>15800.63334887271</v>
      </c>
    </row>
    <row r="11" spans="1:11" s="473" customFormat="1" ht="15" x14ac:dyDescent="0.25">
      <c r="A11" s="149">
        <f>+'B) D RI'!A12</f>
        <v>5406</v>
      </c>
      <c r="B11" s="469" t="str">
        <f>+'B) D RI'!B12</f>
        <v>Lavey-Morcles</v>
      </c>
      <c r="C11" s="494">
        <v>399030.05205480469</v>
      </c>
      <c r="D11" s="304">
        <f>+'E) PCS'!G17</f>
        <v>312975.4163207066</v>
      </c>
      <c r="E11" s="309">
        <f t="shared" si="0"/>
        <v>-86054.63573409809</v>
      </c>
      <c r="F11" s="496">
        <v>-109539.0016489078</v>
      </c>
      <c r="G11" s="229">
        <f>+'H) Péréquation directe'!I21+'I) Dépenses thématiques'!T11+'J) Plafonnement effort'!J11+'K) Plafonnement aide'!J11+'L) Plafonnement taux'!Q12</f>
        <v>-396468.59769334586</v>
      </c>
      <c r="H11" s="309">
        <f t="shared" si="1"/>
        <v>-286929.59604443808</v>
      </c>
      <c r="I11" s="494">
        <v>76422.740589622452</v>
      </c>
      <c r="J11" s="229">
        <f>+'M) Police'!N11</f>
        <v>63502.87612122525</v>
      </c>
      <c r="K11" s="309">
        <f t="shared" si="2"/>
        <v>-12919.864468397202</v>
      </c>
    </row>
    <row r="12" spans="1:11" s="473" customFormat="1" ht="15" x14ac:dyDescent="0.25">
      <c r="A12" s="149">
        <f>+'B) D RI'!A13</f>
        <v>5407</v>
      </c>
      <c r="B12" s="469" t="str">
        <f>+'B) D RI'!B13</f>
        <v>Leysin</v>
      </c>
      <c r="C12" s="494">
        <v>1764014.5050833237</v>
      </c>
      <c r="D12" s="304">
        <f>+'E) PCS'!G18</f>
        <v>1682915.4447912103</v>
      </c>
      <c r="E12" s="309">
        <f t="shared" si="0"/>
        <v>-81099.06029211334</v>
      </c>
      <c r="F12" s="496">
        <v>-3606253.136770444</v>
      </c>
      <c r="G12" s="229">
        <f>+'H) Péréquation directe'!I22+'I) Dépenses thématiques'!T12+'J) Plafonnement effort'!J12+'K) Plafonnement aide'!J12+'L) Plafonnement taux'!Q13</f>
        <v>-3569180.3289740123</v>
      </c>
      <c r="H12" s="309">
        <f t="shared" si="1"/>
        <v>37072.807796431705</v>
      </c>
      <c r="I12" s="494">
        <v>270184.83976957313</v>
      </c>
      <c r="J12" s="229">
        <f>+'M) Police'!N12</f>
        <v>264164.90793594805</v>
      </c>
      <c r="K12" s="309">
        <f t="shared" si="2"/>
        <v>-6019.9318336250726</v>
      </c>
    </row>
    <row r="13" spans="1:11" s="473" customFormat="1" ht="15" x14ac:dyDescent="0.25">
      <c r="A13" s="149">
        <f>+'B) D RI'!A14</f>
        <v>5408</v>
      </c>
      <c r="B13" s="469" t="str">
        <f>+'B) D RI'!B14</f>
        <v>Noville</v>
      </c>
      <c r="C13" s="494">
        <v>786003.70119977789</v>
      </c>
      <c r="D13" s="304">
        <f>+'E) PCS'!G19</f>
        <v>769089.23284110543</v>
      </c>
      <c r="E13" s="309">
        <f t="shared" si="0"/>
        <v>-16914.468358672457</v>
      </c>
      <c r="F13" s="496">
        <v>-519906.94575582782</v>
      </c>
      <c r="G13" s="229">
        <f>+'H) Péréquation directe'!I23+'I) Dépenses thématiques'!T13+'J) Plafonnement effort'!J13+'K) Plafonnement aide'!J13+'L) Plafonnement taux'!Q14</f>
        <v>-80254.8071657705</v>
      </c>
      <c r="H13" s="309">
        <f t="shared" si="1"/>
        <v>439652.13859005732</v>
      </c>
      <c r="I13" s="494">
        <v>85396.705031166115</v>
      </c>
      <c r="J13" s="229">
        <f>+'M) Police'!N13</f>
        <v>121705.98190404489</v>
      </c>
      <c r="K13" s="309">
        <f t="shared" si="2"/>
        <v>36309.276872878778</v>
      </c>
    </row>
    <row r="14" spans="1:11" s="473" customFormat="1" ht="15" x14ac:dyDescent="0.25">
      <c r="A14" s="149">
        <f>+'B) D RI'!A15</f>
        <v>5409</v>
      </c>
      <c r="B14" s="469" t="str">
        <f>+'B) D RI'!B15</f>
        <v>Ollon</v>
      </c>
      <c r="C14" s="494">
        <v>8353743.5387676517</v>
      </c>
      <c r="D14" s="304">
        <f>+'E) PCS'!G20</f>
        <v>9779269.4659243096</v>
      </c>
      <c r="E14" s="309">
        <f t="shared" si="0"/>
        <v>1425525.9271566579</v>
      </c>
      <c r="F14" s="496">
        <v>2136217.7744275564</v>
      </c>
      <c r="G14" s="229">
        <f>+'H) Péréquation directe'!I24+'I) Dépenses thématiques'!T14+'J) Plafonnement effort'!J14+'K) Plafonnement aide'!J14+'L) Plafonnement taux'!Q15</f>
        <v>875110.85162655916</v>
      </c>
      <c r="H14" s="309">
        <f t="shared" si="1"/>
        <v>-1261106.9228009973</v>
      </c>
      <c r="I14" s="494">
        <v>511570.05950794404</v>
      </c>
      <c r="J14" s="229">
        <f>+'M) Police'!N14</f>
        <v>500607.44120584964</v>
      </c>
      <c r="K14" s="309">
        <f t="shared" si="2"/>
        <v>-10962.618302094401</v>
      </c>
    </row>
    <row r="15" spans="1:11" s="473" customFormat="1" ht="15" x14ac:dyDescent="0.25">
      <c r="A15" s="149">
        <f>+'B) D RI'!A16</f>
        <v>5410</v>
      </c>
      <c r="B15" s="469" t="str">
        <f>+'B) D RI'!B16</f>
        <v>Ormont-Dessous</v>
      </c>
      <c r="C15" s="494">
        <v>770520.60222280037</v>
      </c>
      <c r="D15" s="304">
        <f>+'E) PCS'!G21</f>
        <v>800048.17252856912</v>
      </c>
      <c r="E15" s="309">
        <f t="shared" si="0"/>
        <v>29527.57030576875</v>
      </c>
      <c r="F15" s="496">
        <v>-738198.89142086788</v>
      </c>
      <c r="G15" s="229">
        <f>+'H) Péréquation directe'!I25+'I) Dépenses thématiques'!T15+'J) Plafonnement effort'!J15+'K) Plafonnement aide'!J15+'L) Plafonnement taux'!Q16</f>
        <v>-1179860.5605483931</v>
      </c>
      <c r="H15" s="309">
        <f t="shared" si="1"/>
        <v>-441661.66912752518</v>
      </c>
      <c r="I15" s="494">
        <v>115467.15960774705</v>
      </c>
      <c r="J15" s="229">
        <f>+'M) Police'!N15</f>
        <v>111840.83795960745</v>
      </c>
      <c r="K15" s="309">
        <f t="shared" si="2"/>
        <v>-3626.3216481395939</v>
      </c>
    </row>
    <row r="16" spans="1:11" s="473" customFormat="1" ht="15" x14ac:dyDescent="0.25">
      <c r="A16" s="149">
        <f>+'B) D RI'!A17</f>
        <v>5411</v>
      </c>
      <c r="B16" s="469" t="str">
        <f>+'B) D RI'!B17</f>
        <v>Ormont-Dessus</v>
      </c>
      <c r="C16" s="494">
        <v>1584836.4708388534</v>
      </c>
      <c r="D16" s="304">
        <f>+'E) PCS'!G22</f>
        <v>1568989.9654496242</v>
      </c>
      <c r="E16" s="309">
        <f t="shared" si="0"/>
        <v>-15846.505389229162</v>
      </c>
      <c r="F16" s="496">
        <v>253589.95637631672</v>
      </c>
      <c r="G16" s="229">
        <f>+'H) Péréquation directe'!I26+'I) Dépenses thématiques'!T16+'J) Plafonnement effort'!J16+'K) Plafonnement aide'!J16+'L) Plafonnement taux'!Q17</f>
        <v>204834.27956867602</v>
      </c>
      <c r="H16" s="309">
        <f t="shared" si="1"/>
        <v>-48755.676807640702</v>
      </c>
      <c r="I16" s="494">
        <v>215993.04078108049</v>
      </c>
      <c r="J16" s="229">
        <f>+'M) Police'!N16</f>
        <v>220167.88912663303</v>
      </c>
      <c r="K16" s="309">
        <f t="shared" si="2"/>
        <v>4174.848345552542</v>
      </c>
    </row>
    <row r="17" spans="1:11" s="473" customFormat="1" ht="15" x14ac:dyDescent="0.25">
      <c r="A17" s="149">
        <f>+'B) D RI'!A18</f>
        <v>5412</v>
      </c>
      <c r="B17" s="469" t="str">
        <f>+'B) D RI'!B18</f>
        <v>Rennaz</v>
      </c>
      <c r="C17" s="494">
        <v>424071.12577247736</v>
      </c>
      <c r="D17" s="304">
        <f>+'E) PCS'!G23</f>
        <v>695410.46678044857</v>
      </c>
      <c r="E17" s="309">
        <f t="shared" si="0"/>
        <v>271339.3410079712</v>
      </c>
      <c r="F17" s="496">
        <v>-21996.341534890846</v>
      </c>
      <c r="G17" s="229">
        <f>+'H) Péréquation directe'!I27+'I) Dépenses thématiques'!T17+'J) Plafonnement effort'!J17+'K) Plafonnement aide'!J17+'L) Plafonnement taux'!Q18</f>
        <v>73256.394384343599</v>
      </c>
      <c r="H17" s="309">
        <f t="shared" si="1"/>
        <v>95252.735919234445</v>
      </c>
      <c r="I17" s="494">
        <v>74367.844355610694</v>
      </c>
      <c r="J17" s="229">
        <f>+'M) Police'!N17</f>
        <v>79893.306079194212</v>
      </c>
      <c r="K17" s="309">
        <f t="shared" si="2"/>
        <v>5525.4617235835176</v>
      </c>
    </row>
    <row r="18" spans="1:11" s="473" customFormat="1" ht="15" x14ac:dyDescent="0.25">
      <c r="A18" s="149">
        <f>+'B) D RI'!A19</f>
        <v>5413</v>
      </c>
      <c r="B18" s="469" t="str">
        <f>+'B) D RI'!B19</f>
        <v>Roche</v>
      </c>
      <c r="C18" s="494">
        <v>954974.9824599101</v>
      </c>
      <c r="D18" s="304">
        <f>+'E) PCS'!G24</f>
        <v>1027463.862945958</v>
      </c>
      <c r="E18" s="309">
        <f t="shared" si="0"/>
        <v>72488.880486047943</v>
      </c>
      <c r="F18" s="496">
        <v>-257630.58414529555</v>
      </c>
      <c r="G18" s="229">
        <f>+'H) Péréquation directe'!I28+'I) Dépenses thématiques'!T18+'J) Plafonnement effort'!J18+'K) Plafonnement aide'!J18+'L) Plafonnement taux'!Q19</f>
        <v>-583752.02687062917</v>
      </c>
      <c r="H18" s="309">
        <f t="shared" si="1"/>
        <v>-326121.44272533362</v>
      </c>
      <c r="I18" s="494">
        <v>138607.57392300741</v>
      </c>
      <c r="J18" s="229">
        <f>+'M) Police'!N18</f>
        <v>127379.52409418562</v>
      </c>
      <c r="K18" s="309">
        <f t="shared" si="2"/>
        <v>-11228.049828821793</v>
      </c>
    </row>
    <row r="19" spans="1:11" s="473" customFormat="1" ht="15" x14ac:dyDescent="0.25">
      <c r="A19" s="149">
        <f>+'B) D RI'!A20</f>
        <v>5414</v>
      </c>
      <c r="B19" s="469" t="str">
        <f>+'B) D RI'!B20</f>
        <v>Villeneuve</v>
      </c>
      <c r="C19" s="494">
        <v>3875067.3177019847</v>
      </c>
      <c r="D19" s="304">
        <f>+'E) PCS'!G25</f>
        <v>3556711.6057216944</v>
      </c>
      <c r="E19" s="309">
        <f t="shared" si="0"/>
        <v>-318355.71198029025</v>
      </c>
      <c r="F19" s="496">
        <v>-2768432.3621148416</v>
      </c>
      <c r="G19" s="229">
        <f>+'H) Péréquation directe'!I29+'I) Dépenses thématiques'!T19+'J) Plafonnement effort'!J19+'K) Plafonnement aide'!J19+'L) Plafonnement taux'!Q20</f>
        <v>-3083680.6596661964</v>
      </c>
      <c r="H19" s="309">
        <f t="shared" si="1"/>
        <v>-315248.29755135486</v>
      </c>
      <c r="I19" s="494">
        <v>506832.86135327502</v>
      </c>
      <c r="J19" s="229">
        <f>+'M) Police'!N19</f>
        <v>545652.69262931088</v>
      </c>
      <c r="K19" s="309">
        <f t="shared" si="2"/>
        <v>38819.831276035868</v>
      </c>
    </row>
    <row r="20" spans="1:11" s="473" customFormat="1" ht="15" x14ac:dyDescent="0.25">
      <c r="A20" s="149">
        <f>+'B) D RI'!A21</f>
        <v>5415</v>
      </c>
      <c r="B20" s="469" t="str">
        <f>+'B) D RI'!B21</f>
        <v>Yvorne</v>
      </c>
      <c r="C20" s="494">
        <v>787734.74044719944</v>
      </c>
      <c r="D20" s="304">
        <f>+'E) PCS'!G26</f>
        <v>721825.92481901892</v>
      </c>
      <c r="E20" s="309">
        <f t="shared" si="0"/>
        <v>-65908.815628180513</v>
      </c>
      <c r="F20" s="496">
        <v>239367.8577298114</v>
      </c>
      <c r="G20" s="229">
        <f>+'H) Péréquation directe'!I30+'I) Dépenses thématiques'!T20+'J) Plafonnement effort'!J20+'K) Plafonnement aide'!J20+'L) Plafonnement taux'!Q21</f>
        <v>15354.891654388281</v>
      </c>
      <c r="H20" s="309">
        <f t="shared" si="1"/>
        <v>-224012.96607542312</v>
      </c>
      <c r="I20" s="494">
        <v>122133.08059869689</v>
      </c>
      <c r="J20" s="229">
        <f>+'M) Police'!N20</f>
        <v>106805.0904833922</v>
      </c>
      <c r="K20" s="309">
        <f t="shared" si="2"/>
        <v>-15327.990115304696</v>
      </c>
    </row>
    <row r="21" spans="1:11" s="473" customFormat="1" ht="15" x14ac:dyDescent="0.25">
      <c r="A21" s="149">
        <f>+'B) D RI'!A22</f>
        <v>5421</v>
      </c>
      <c r="B21" s="469" t="str">
        <f>+'B) D RI'!B22</f>
        <v>Apples</v>
      </c>
      <c r="C21" s="494">
        <v>1327863.5934451807</v>
      </c>
      <c r="D21" s="304">
        <f>+'E) PCS'!G27</f>
        <v>1262165.5988658695</v>
      </c>
      <c r="E21" s="309">
        <f t="shared" si="0"/>
        <v>-65697.994579311227</v>
      </c>
      <c r="F21" s="496">
        <v>850428.65937015275</v>
      </c>
      <c r="G21" s="229">
        <f>+'H) Péréquation directe'!I31+'I) Dépenses thématiques'!T21+'J) Plafonnement effort'!J21+'K) Plafonnement aide'!J21+'L) Plafonnement taux'!Q22</f>
        <v>635334.94464757724</v>
      </c>
      <c r="H21" s="309">
        <f t="shared" si="1"/>
        <v>-215093.7147225755</v>
      </c>
      <c r="I21" s="494">
        <v>214888.80116046482</v>
      </c>
      <c r="J21" s="229">
        <f>+'M) Police'!N21</f>
        <v>208611.96006429329</v>
      </c>
      <c r="K21" s="309">
        <f t="shared" si="2"/>
        <v>-6276.8410961715272</v>
      </c>
    </row>
    <row r="22" spans="1:11" s="473" customFormat="1" ht="15" x14ac:dyDescent="0.25">
      <c r="A22" s="149">
        <f>+'B) D RI'!A23</f>
        <v>5422</v>
      </c>
      <c r="B22" s="469" t="str">
        <f>+'B) D RI'!B23</f>
        <v>Aubonne</v>
      </c>
      <c r="C22" s="494">
        <v>5721120.1061410662</v>
      </c>
      <c r="D22" s="304">
        <f>+'E) PCS'!G28</f>
        <v>9661198.218757825</v>
      </c>
      <c r="E22" s="309">
        <f t="shared" si="0"/>
        <v>3940078.1126167588</v>
      </c>
      <c r="F22" s="496">
        <v>3582816.7193260258</v>
      </c>
      <c r="G22" s="229">
        <f>+'H) Péréquation directe'!I32+'I) Dépenses thématiques'!T22+'J) Plafonnement effort'!J22+'K) Plafonnement aide'!J22+'L) Plafonnement taux'!Q23</f>
        <v>5590256.6456051189</v>
      </c>
      <c r="H22" s="309">
        <f t="shared" si="1"/>
        <v>2007439.9262790931</v>
      </c>
      <c r="I22" s="494">
        <v>640375.69154272124</v>
      </c>
      <c r="J22" s="229">
        <f>+'M) Police'!N22</f>
        <v>764232.68296121876</v>
      </c>
      <c r="K22" s="309">
        <f t="shared" si="2"/>
        <v>123856.99141849752</v>
      </c>
    </row>
    <row r="23" spans="1:11" s="473" customFormat="1" ht="15" x14ac:dyDescent="0.25">
      <c r="A23" s="149">
        <f>+'B) D RI'!A24</f>
        <v>5423</v>
      </c>
      <c r="B23" s="469" t="str">
        <f>+'B) D RI'!B24</f>
        <v>Ballens</v>
      </c>
      <c r="C23" s="494">
        <v>300279.04766338418</v>
      </c>
      <c r="D23" s="304">
        <f>+'E) PCS'!G29</f>
        <v>277566.04962319392</v>
      </c>
      <c r="E23" s="309">
        <f t="shared" si="0"/>
        <v>-22712.998040190258</v>
      </c>
      <c r="F23" s="496">
        <v>-9898.2655270231189</v>
      </c>
      <c r="G23" s="229">
        <f>+'H) Péréquation directe'!I33+'I) Dépenses thématiques'!T23+'J) Plafonnement effort'!J23+'K) Plafonnement aide'!J23+'L) Plafonnement taux'!Q24</f>
        <v>-90902.169319324224</v>
      </c>
      <c r="H23" s="309">
        <f t="shared" si="1"/>
        <v>-81003.903792301106</v>
      </c>
      <c r="I23" s="494">
        <v>51334.956009771384</v>
      </c>
      <c r="J23" s="229">
        <f>+'M) Police'!N23</f>
        <v>49022.648030952492</v>
      </c>
      <c r="K23" s="309">
        <f t="shared" si="2"/>
        <v>-2312.3079788188916</v>
      </c>
    </row>
    <row r="24" spans="1:11" s="473" customFormat="1" ht="15" x14ac:dyDescent="0.25">
      <c r="A24" s="149">
        <f>+'B) D RI'!A25</f>
        <v>5424</v>
      </c>
      <c r="B24" s="469" t="str">
        <f>+'B) D RI'!B25</f>
        <v>Berolle</v>
      </c>
      <c r="C24" s="494">
        <v>147519.81566918339</v>
      </c>
      <c r="D24" s="304">
        <f>+'E) PCS'!G30</f>
        <v>117037.97233413621</v>
      </c>
      <c r="E24" s="309">
        <f t="shared" si="0"/>
        <v>-30481.843335047175</v>
      </c>
      <c r="F24" s="496">
        <v>-521.13659892412397</v>
      </c>
      <c r="G24" s="229">
        <f>+'H) Péréquation directe'!I34+'I) Dépenses thématiques'!T24+'J) Plafonnement effort'!J24+'K) Plafonnement aide'!J24+'L) Plafonnement taux'!Q25</f>
        <v>-108587.25138486238</v>
      </c>
      <c r="H24" s="309">
        <f t="shared" si="1"/>
        <v>-108066.11478593826</v>
      </c>
      <c r="I24" s="494">
        <v>29158.64595420262</v>
      </c>
      <c r="J24" s="229">
        <f>+'M) Police'!N24</f>
        <v>24949.522190724711</v>
      </c>
      <c r="K24" s="309">
        <f t="shared" si="2"/>
        <v>-4209.12376347791</v>
      </c>
    </row>
    <row r="25" spans="1:11" s="473" customFormat="1" ht="15" x14ac:dyDescent="0.25">
      <c r="A25" s="149">
        <f>+'B) D RI'!A26</f>
        <v>5425</v>
      </c>
      <c r="B25" s="469" t="str">
        <f>+'B) D RI'!B26</f>
        <v>Bière</v>
      </c>
      <c r="C25" s="494">
        <v>773741.0853781614</v>
      </c>
      <c r="D25" s="304">
        <f>+'E) PCS'!G31</f>
        <v>702546.04856466898</v>
      </c>
      <c r="E25" s="309">
        <f t="shared" si="0"/>
        <v>-71195.036813492421</v>
      </c>
      <c r="F25" s="496">
        <v>-784302.78551119857</v>
      </c>
      <c r="G25" s="229">
        <f>+'H) Péréquation directe'!I35+'I) Dépenses thématiques'!T25+'J) Plafonnement effort'!J25+'K) Plafonnement aide'!J25+'L) Plafonnement taux'!Q26</f>
        <v>-929653.9224063328</v>
      </c>
      <c r="H25" s="309">
        <f t="shared" si="1"/>
        <v>-145351.13689513423</v>
      </c>
      <c r="I25" s="494">
        <v>123135.35970013327</v>
      </c>
      <c r="J25" s="229">
        <f>+'M) Police'!N25</f>
        <v>133404.13819988843</v>
      </c>
      <c r="K25" s="309">
        <f t="shared" si="2"/>
        <v>10268.778499755164</v>
      </c>
    </row>
    <row r="26" spans="1:11" s="473" customFormat="1" ht="15" x14ac:dyDescent="0.25">
      <c r="A26" s="149">
        <f>+'B) D RI'!A27</f>
        <v>5426</v>
      </c>
      <c r="B26" s="469" t="str">
        <f>+'B) D RI'!B27</f>
        <v>Bougy-Villars</v>
      </c>
      <c r="C26" s="494">
        <v>1703712.3438071124</v>
      </c>
      <c r="D26" s="304">
        <f>+'E) PCS'!G32</f>
        <v>2426115.1481142547</v>
      </c>
      <c r="E26" s="309">
        <f t="shared" si="0"/>
        <v>722402.80430714227</v>
      </c>
      <c r="F26" s="496">
        <v>948914.58497789642</v>
      </c>
      <c r="G26" s="229">
        <f>+'H) Péréquation directe'!I36+'I) Dépenses thématiques'!T26+'J) Plafonnement effort'!J26+'K) Plafonnement aide'!J26+'L) Plafonnement taux'!Q27</f>
        <v>927488.60622765392</v>
      </c>
      <c r="H26" s="309">
        <f t="shared" si="1"/>
        <v>-21425.978750242502</v>
      </c>
      <c r="I26" s="494">
        <v>107231.56436348334</v>
      </c>
      <c r="J26" s="229">
        <f>+'M) Police'!N26</f>
        <v>106422.35924568991</v>
      </c>
      <c r="K26" s="309">
        <f t="shared" si="2"/>
        <v>-809.2051177934336</v>
      </c>
    </row>
    <row r="27" spans="1:11" s="473" customFormat="1" ht="15" x14ac:dyDescent="0.25">
      <c r="A27" s="149">
        <f>+'B) D RI'!A28</f>
        <v>5427</v>
      </c>
      <c r="B27" s="469" t="str">
        <f>+'B) D RI'!B28</f>
        <v>Féchy</v>
      </c>
      <c r="C27" s="494">
        <v>2639022.5475235153</v>
      </c>
      <c r="D27" s="304">
        <f>+'E) PCS'!G33</f>
        <v>2262611.5216879006</v>
      </c>
      <c r="E27" s="309">
        <f t="shared" si="0"/>
        <v>-376411.02583561465</v>
      </c>
      <c r="F27" s="496">
        <v>1595261.8731332677</v>
      </c>
      <c r="G27" s="229">
        <f>+'H) Péréquation directe'!I37+'I) Dépenses thématiques'!T27+'J) Plafonnement effort'!J27+'K) Plafonnement aide'!J27+'L) Plafonnement taux'!Q28</f>
        <v>1534186.674825473</v>
      </c>
      <c r="H27" s="309">
        <f t="shared" si="1"/>
        <v>-61075.198307794752</v>
      </c>
      <c r="I27" s="494">
        <v>184712.72849761209</v>
      </c>
      <c r="J27" s="229">
        <f>+'M) Police'!N27</f>
        <v>182926.91337780491</v>
      </c>
      <c r="K27" s="309">
        <f t="shared" si="2"/>
        <v>-1785.8151198071719</v>
      </c>
    </row>
    <row r="28" spans="1:11" s="473" customFormat="1" ht="15" x14ac:dyDescent="0.25">
      <c r="A28" s="149">
        <f>+'B) D RI'!A29</f>
        <v>5428</v>
      </c>
      <c r="B28" s="469" t="str">
        <f>+'B) D RI'!B29</f>
        <v>Gimel</v>
      </c>
      <c r="C28" s="494">
        <v>1264913.4936187777</v>
      </c>
      <c r="D28" s="304">
        <f>+'E) PCS'!G34</f>
        <v>1280724.3279973627</v>
      </c>
      <c r="E28" s="309">
        <f t="shared" si="0"/>
        <v>15810.834378584987</v>
      </c>
      <c r="F28" s="496">
        <v>-317613.70470921439</v>
      </c>
      <c r="G28" s="229">
        <f>+'H) Péréquation directe'!I38+'I) Dépenses thématiques'!T28+'J) Plafonnement effort'!J28+'K) Plafonnement aide'!J28+'L) Plafonnement taux'!Q29</f>
        <v>-878576.84358942625</v>
      </c>
      <c r="H28" s="309">
        <f t="shared" si="1"/>
        <v>-560963.13888021186</v>
      </c>
      <c r="I28" s="494">
        <v>207474.68676944129</v>
      </c>
      <c r="J28" s="229">
        <f>+'M) Police'!N28</f>
        <v>212553.53261503665</v>
      </c>
      <c r="K28" s="309">
        <f t="shared" si="2"/>
        <v>5078.8458455953514</v>
      </c>
    </row>
    <row r="29" spans="1:11" s="473" customFormat="1" ht="15" x14ac:dyDescent="0.25">
      <c r="A29" s="149">
        <f>+'B) D RI'!A30</f>
        <v>5429</v>
      </c>
      <c r="B29" s="469" t="str">
        <f>+'B) D RI'!B30</f>
        <v>Longirod</v>
      </c>
      <c r="C29" s="494">
        <v>273062.91152824025</v>
      </c>
      <c r="D29" s="304">
        <f>+'E) PCS'!G35</f>
        <v>321351.06311430276</v>
      </c>
      <c r="E29" s="309">
        <f t="shared" si="0"/>
        <v>48288.151586062508</v>
      </c>
      <c r="F29" s="496">
        <v>-8272.1167251202278</v>
      </c>
      <c r="G29" s="229">
        <f>+'H) Péréquation directe'!I39+'I) Dépenses thématiques'!T29+'J) Plafonnement effort'!J29+'K) Plafonnement aide'!J29+'L) Plafonnement taux'!Q30</f>
        <v>34390.888854121396</v>
      </c>
      <c r="H29" s="309">
        <f t="shared" si="1"/>
        <v>42663.005579241624</v>
      </c>
      <c r="I29" s="494">
        <v>47785.106619636863</v>
      </c>
      <c r="J29" s="229">
        <f>+'M) Police'!N29</f>
        <v>56062.443139638526</v>
      </c>
      <c r="K29" s="309">
        <f t="shared" si="2"/>
        <v>8277.3365200016633</v>
      </c>
    </row>
    <row r="30" spans="1:11" s="473" customFormat="1" ht="15" x14ac:dyDescent="0.25">
      <c r="A30" s="149">
        <f>+'B) D RI'!A31</f>
        <v>5430</v>
      </c>
      <c r="B30" s="469" t="str">
        <f>+'B) D RI'!B31</f>
        <v>Marchissy</v>
      </c>
      <c r="C30" s="494">
        <v>258214.27559764753</v>
      </c>
      <c r="D30" s="304">
        <f>+'E) PCS'!G36</f>
        <v>237818.52312521264</v>
      </c>
      <c r="E30" s="309">
        <f t="shared" si="0"/>
        <v>-20395.752472434891</v>
      </c>
      <c r="F30" s="496">
        <v>-4154.4837887419126</v>
      </c>
      <c r="G30" s="229">
        <f>+'H) Péréquation directe'!I40+'I) Dépenses thématiques'!T30+'J) Plafonnement effort'!J30+'K) Plafonnement aide'!J30+'L) Plafonnement taux'!Q31</f>
        <v>-19486.508707145433</v>
      </c>
      <c r="H30" s="309">
        <f t="shared" si="1"/>
        <v>-15332.02491840352</v>
      </c>
      <c r="I30" s="494">
        <v>46711.490272168725</v>
      </c>
      <c r="J30" s="229">
        <f>+'M) Police'!N30</f>
        <v>46918.301961134363</v>
      </c>
      <c r="K30" s="309">
        <f t="shared" si="2"/>
        <v>206.81168896563759</v>
      </c>
    </row>
    <row r="31" spans="1:11" s="473" customFormat="1" ht="15" x14ac:dyDescent="0.25">
      <c r="A31" s="149">
        <f>+'B) D RI'!A32</f>
        <v>5431</v>
      </c>
      <c r="B31" s="469" t="str">
        <f>+'B) D RI'!B32</f>
        <v>Mollens</v>
      </c>
      <c r="C31" s="494">
        <v>221192.70855664642</v>
      </c>
      <c r="D31" s="304">
        <f>+'E) PCS'!G37</f>
        <v>144803.04344126751</v>
      </c>
      <c r="E31" s="309">
        <f t="shared" si="0"/>
        <v>-76389.665115378913</v>
      </c>
      <c r="F31" s="496">
        <v>67044.208508729702</v>
      </c>
      <c r="G31" s="229">
        <f>+'H) Péréquation directe'!I41+'I) Dépenses thématiques'!T31+'J) Plafonnement effort'!J31+'K) Plafonnement aide'!J31+'L) Plafonnement taux'!Q32</f>
        <v>8230.5300802224665</v>
      </c>
      <c r="H31" s="309">
        <f t="shared" si="1"/>
        <v>-58813.678428507235</v>
      </c>
      <c r="I31" s="494">
        <v>33507.923553465909</v>
      </c>
      <c r="J31" s="229">
        <f>+'M) Police'!N31</f>
        <v>31700.146828628309</v>
      </c>
      <c r="K31" s="309">
        <f t="shared" si="2"/>
        <v>-1807.7767248376003</v>
      </c>
    </row>
    <row r="32" spans="1:11" s="473" customFormat="1" ht="15" x14ac:dyDescent="0.25">
      <c r="A32" s="149">
        <f>+'B) D RI'!A33</f>
        <v>5434</v>
      </c>
      <c r="B32" s="469" t="str">
        <f>+'B) D RI'!B33</f>
        <v>Saint-George</v>
      </c>
      <c r="C32" s="494">
        <v>726324.67011093104</v>
      </c>
      <c r="D32" s="304">
        <f>+'E) PCS'!G38</f>
        <v>673761.0133037715</v>
      </c>
      <c r="E32" s="309">
        <f t="shared" si="0"/>
        <v>-52563.656807159539</v>
      </c>
      <c r="F32" s="496">
        <v>395282.05141721747</v>
      </c>
      <c r="G32" s="229">
        <f>+'H) Péréquation directe'!I42+'I) Dépenses thématiques'!T32+'J) Plafonnement effort'!J32+'K) Plafonnement aide'!J32+'L) Plafonnement taux'!Q33</f>
        <v>429380.96193819295</v>
      </c>
      <c r="H32" s="309">
        <f t="shared" si="1"/>
        <v>34098.910520975478</v>
      </c>
      <c r="I32" s="494">
        <v>124314.84444803197</v>
      </c>
      <c r="J32" s="229">
        <f>+'M) Police'!N32</f>
        <v>130943.83565000186</v>
      </c>
      <c r="K32" s="309">
        <f t="shared" si="2"/>
        <v>6628.9912019698822</v>
      </c>
    </row>
    <row r="33" spans="1:11" s="473" customFormat="1" ht="15" x14ac:dyDescent="0.25">
      <c r="A33" s="149">
        <f>+'B) D RI'!A34</f>
        <v>5435</v>
      </c>
      <c r="B33" s="469" t="str">
        <f>+'B) D RI'!B34</f>
        <v>Saint-Livres</v>
      </c>
      <c r="C33" s="494">
        <v>406090.59310247941</v>
      </c>
      <c r="D33" s="304">
        <f>+'E) PCS'!G39</f>
        <v>452314.06291453284</v>
      </c>
      <c r="E33" s="309">
        <f t="shared" si="0"/>
        <v>46223.46981205343</v>
      </c>
      <c r="F33" s="496">
        <v>182852.48378213897</v>
      </c>
      <c r="G33" s="229">
        <f>+'H) Péréquation directe'!I43+'I) Dépenses thématiques'!T33+'J) Plafonnement effort'!J33+'K) Plafonnement aide'!J33+'L) Plafonnement taux'!Q34</f>
        <v>268242.9627334284</v>
      </c>
      <c r="H33" s="309">
        <f t="shared" si="1"/>
        <v>85390.478951289435</v>
      </c>
      <c r="I33" s="494">
        <v>76226.877829691875</v>
      </c>
      <c r="J33" s="229">
        <f>+'M) Police'!N33</f>
        <v>78205.227780914764</v>
      </c>
      <c r="K33" s="309">
        <f t="shared" si="2"/>
        <v>1978.3499512228882</v>
      </c>
    </row>
    <row r="34" spans="1:11" s="473" customFormat="1" ht="15" x14ac:dyDescent="0.25">
      <c r="A34" s="149">
        <f>+'B) D RI'!A35</f>
        <v>5436</v>
      </c>
      <c r="B34" s="469" t="str">
        <f>+'B) D RI'!B35</f>
        <v>Saint-Oyens</v>
      </c>
      <c r="C34" s="494">
        <v>279511.38257089938</v>
      </c>
      <c r="D34" s="304">
        <f>+'E) PCS'!G40</f>
        <v>281555.21350731852</v>
      </c>
      <c r="E34" s="309">
        <f t="shared" si="0"/>
        <v>2043.8309364191373</v>
      </c>
      <c r="F34" s="496">
        <v>169901.98487720499</v>
      </c>
      <c r="G34" s="229">
        <f>+'H) Péréquation directe'!I44+'I) Dépenses thématiques'!T34+'J) Plafonnement effort'!J34+'K) Plafonnement aide'!J34+'L) Plafonnement taux'!Q35</f>
        <v>118820.54838283241</v>
      </c>
      <c r="H34" s="309">
        <f t="shared" si="1"/>
        <v>-51081.436494372581</v>
      </c>
      <c r="I34" s="494">
        <v>52721.263527389332</v>
      </c>
      <c r="J34" s="229">
        <f>+'M) Police'!N34</f>
        <v>51215.781060529851</v>
      </c>
      <c r="K34" s="309">
        <f t="shared" si="2"/>
        <v>-1505.4824668594811</v>
      </c>
    </row>
    <row r="35" spans="1:11" s="473" customFormat="1" ht="15" x14ac:dyDescent="0.25">
      <c r="A35" s="149">
        <f>+'B) D RI'!A36</f>
        <v>5437</v>
      </c>
      <c r="B35" s="469" t="str">
        <f>+'B) D RI'!B36</f>
        <v>Saubraz</v>
      </c>
      <c r="C35" s="494">
        <v>224971.32888046349</v>
      </c>
      <c r="D35" s="304">
        <f>+'E) PCS'!G41</f>
        <v>323813.71453490865</v>
      </c>
      <c r="E35" s="309">
        <f t="shared" si="0"/>
        <v>98842.385654445156</v>
      </c>
      <c r="F35" s="496">
        <v>29903.767864030677</v>
      </c>
      <c r="G35" s="229">
        <f>+'H) Péréquation directe'!I45+'I) Dépenses thématiques'!T35+'J) Plafonnement effort'!J35+'K) Plafonnement aide'!J35+'L) Plafonnement taux'!Q36</f>
        <v>-362156.57051435043</v>
      </c>
      <c r="H35" s="309">
        <f t="shared" si="1"/>
        <v>-392060.3383783811</v>
      </c>
      <c r="I35" s="494">
        <v>41534.6428668511</v>
      </c>
      <c r="J35" s="229">
        <f>+'M) Police'!N35</f>
        <v>41171.27529668856</v>
      </c>
      <c r="K35" s="309">
        <f t="shared" si="2"/>
        <v>-363.36757016253978</v>
      </c>
    </row>
    <row r="36" spans="1:11" s="473" customFormat="1" ht="15" x14ac:dyDescent="0.25">
      <c r="A36" s="149">
        <f>+'B) D RI'!A37</f>
        <v>5451</v>
      </c>
      <c r="B36" s="469" t="str">
        <f>+'B) D RI'!B37</f>
        <v>Avenches</v>
      </c>
      <c r="C36" s="494">
        <v>2508348.7970377402</v>
      </c>
      <c r="D36" s="304">
        <f>+'E) PCS'!G42</f>
        <v>2247611.0012824079</v>
      </c>
      <c r="E36" s="309">
        <f t="shared" si="0"/>
        <v>-260737.79575533234</v>
      </c>
      <c r="F36" s="496">
        <v>-1457231.7390009111</v>
      </c>
      <c r="G36" s="229">
        <f>+'H) Péréquation directe'!I46+'I) Dépenses thématiques'!T36+'J) Plafonnement effort'!J36+'K) Plafonnement aide'!J36+'L) Plafonnement taux'!Q37</f>
        <v>-1994121.1731602843</v>
      </c>
      <c r="H36" s="309">
        <f t="shared" si="1"/>
        <v>-536889.43415937317</v>
      </c>
      <c r="I36" s="494">
        <v>401527.73902720702</v>
      </c>
      <c r="J36" s="229">
        <f>+'M) Police'!N36</f>
        <v>403484.84958260378</v>
      </c>
      <c r="K36" s="309">
        <f t="shared" si="2"/>
        <v>1957.1105553967645</v>
      </c>
    </row>
    <row r="37" spans="1:11" s="473" customFormat="1" ht="15" x14ac:dyDescent="0.25">
      <c r="A37" s="149">
        <f>+'B) D RI'!A38</f>
        <v>5456</v>
      </c>
      <c r="B37" s="469" t="str">
        <f>+'B) D RI'!B38</f>
        <v>Cudrefin</v>
      </c>
      <c r="C37" s="494">
        <v>1458955.0672770939</v>
      </c>
      <c r="D37" s="304">
        <f>+'E) PCS'!G43</f>
        <v>981813.26204541372</v>
      </c>
      <c r="E37" s="309">
        <f t="shared" si="0"/>
        <v>-477141.80523168016</v>
      </c>
      <c r="F37" s="496">
        <v>108652.34119727521</v>
      </c>
      <c r="G37" s="229">
        <f>+'H) Péréquation directe'!I47+'I) Dépenses thématiques'!T37+'J) Plafonnement effort'!J37+'K) Plafonnement aide'!J37+'L) Plafonnement taux'!Q38</f>
        <v>154795.12266818614</v>
      </c>
      <c r="H37" s="309">
        <f t="shared" si="1"/>
        <v>46142.781470910937</v>
      </c>
      <c r="I37" s="494">
        <v>177925.09272244538</v>
      </c>
      <c r="J37" s="229">
        <f>+'M) Police'!N37</f>
        <v>190900.43447834137</v>
      </c>
      <c r="K37" s="309">
        <f t="shared" si="2"/>
        <v>12975.341755895992</v>
      </c>
    </row>
    <row r="38" spans="1:11" s="473" customFormat="1" ht="15" x14ac:dyDescent="0.25">
      <c r="A38" s="149">
        <f>+'B) D RI'!A39</f>
        <v>5458</v>
      </c>
      <c r="B38" s="469" t="str">
        <f>+'B) D RI'!B39</f>
        <v>Faoug</v>
      </c>
      <c r="C38" s="494">
        <v>732222.28728932282</v>
      </c>
      <c r="D38" s="304">
        <f>+'E) PCS'!G44</f>
        <v>547618.69882986334</v>
      </c>
      <c r="E38" s="309">
        <f t="shared" si="0"/>
        <v>-184603.58845945948</v>
      </c>
      <c r="F38" s="496">
        <v>347440.24825995305</v>
      </c>
      <c r="G38" s="229">
        <f>+'H) Péréquation directe'!I48+'I) Dépenses thématiques'!T38+'J) Plafonnement effort'!J38+'K) Plafonnement aide'!J38+'L) Plafonnement taux'!Q39</f>
        <v>286516.14756973006</v>
      </c>
      <c r="H38" s="309">
        <f t="shared" si="1"/>
        <v>-60924.100690222986</v>
      </c>
      <c r="I38" s="494">
        <v>103208.27275508306</v>
      </c>
      <c r="J38" s="229">
        <f>+'M) Police'!N38</f>
        <v>103788.99578122076</v>
      </c>
      <c r="K38" s="309">
        <f t="shared" si="2"/>
        <v>580.72302613769716</v>
      </c>
    </row>
    <row r="39" spans="1:11" s="473" customFormat="1" ht="15" x14ac:dyDescent="0.25">
      <c r="A39" s="149">
        <f>+'B) D RI'!A40</f>
        <v>5464</v>
      </c>
      <c r="B39" s="469" t="str">
        <f>+'B) D RI'!B40</f>
        <v>Vully-les-Lacs</v>
      </c>
      <c r="C39" s="494">
        <v>2109043.6937075015</v>
      </c>
      <c r="D39" s="304">
        <f>+'E) PCS'!G45</f>
        <v>2193846.3653075467</v>
      </c>
      <c r="E39" s="309">
        <f t="shared" si="0"/>
        <v>84802.671600045171</v>
      </c>
      <c r="F39" s="496">
        <v>79185.082192192669</v>
      </c>
      <c r="G39" s="229">
        <f>+'H) Péréquation directe'!I49+'I) Dépenses thématiques'!T39+'J) Plafonnement effort'!J39+'K) Plafonnement aide'!J39+'L) Plafonnement taux'!Q40</f>
        <v>-1754.3645368107827</v>
      </c>
      <c r="H39" s="309">
        <f t="shared" si="1"/>
        <v>-80939.446729003452</v>
      </c>
      <c r="I39" s="494">
        <v>350114.25562553847</v>
      </c>
      <c r="J39" s="229">
        <f>+'M) Police'!N39</f>
        <v>355793.87062710954</v>
      </c>
      <c r="K39" s="309">
        <f t="shared" si="2"/>
        <v>5679.6150015710737</v>
      </c>
    </row>
    <row r="40" spans="1:11" s="473" customFormat="1" ht="15" x14ac:dyDescent="0.25">
      <c r="A40" s="149">
        <f>+'B) D RI'!A41</f>
        <v>5471</v>
      </c>
      <c r="B40" s="469" t="str">
        <f>+'B) D RI'!B41</f>
        <v>Bettens</v>
      </c>
      <c r="C40" s="494">
        <v>362854.06861390069</v>
      </c>
      <c r="D40" s="304">
        <f>+'E) PCS'!G46</f>
        <v>319664.01246364886</v>
      </c>
      <c r="E40" s="309">
        <f t="shared" si="0"/>
        <v>-43190.056150251825</v>
      </c>
      <c r="F40" s="496">
        <v>184602.41114580591</v>
      </c>
      <c r="G40" s="229">
        <f>+'H) Péréquation directe'!I50+'I) Dépenses thématiques'!T40+'J) Plafonnement effort'!J40+'K) Plafonnement aide'!J40+'L) Plafonnement taux'!Q41</f>
        <v>177840.95024521361</v>
      </c>
      <c r="H40" s="309">
        <f t="shared" si="1"/>
        <v>-6761.4609005922975</v>
      </c>
      <c r="I40" s="494">
        <v>67750.46797711197</v>
      </c>
      <c r="J40" s="229">
        <f>+'M) Police'!N40</f>
        <v>68504.551126812061</v>
      </c>
      <c r="K40" s="309">
        <f t="shared" si="2"/>
        <v>754.08314970009087</v>
      </c>
    </row>
    <row r="41" spans="1:11" s="473" customFormat="1" ht="15" x14ac:dyDescent="0.25">
      <c r="A41" s="149">
        <f>+'B) D RI'!A42</f>
        <v>5472</v>
      </c>
      <c r="B41" s="469" t="str">
        <f>+'B) D RI'!B42</f>
        <v>Bournens</v>
      </c>
      <c r="C41" s="494">
        <v>260423.63271484227</v>
      </c>
      <c r="D41" s="304">
        <f>+'E) PCS'!G47</f>
        <v>368874.87189217866</v>
      </c>
      <c r="E41" s="309">
        <f t="shared" si="0"/>
        <v>108451.23917733639</v>
      </c>
      <c r="F41" s="496">
        <v>137435.72164232004</v>
      </c>
      <c r="G41" s="229">
        <f>+'H) Péréquation directe'!I51+'I) Dépenses thématiques'!T41+'J) Plafonnement effort'!J41+'K) Plafonnement aide'!J41+'L) Plafonnement taux'!Q42</f>
        <v>284352.88280679792</v>
      </c>
      <c r="H41" s="309">
        <f t="shared" si="1"/>
        <v>146917.16116447787</v>
      </c>
      <c r="I41" s="494">
        <v>46932.981636884746</v>
      </c>
      <c r="J41" s="229">
        <f>+'M) Police'!N41</f>
        <v>67150.227415139903</v>
      </c>
      <c r="K41" s="309">
        <f t="shared" si="2"/>
        <v>20217.245778255157</v>
      </c>
    </row>
    <row r="42" spans="1:11" s="473" customFormat="1" ht="15" x14ac:dyDescent="0.25">
      <c r="A42" s="149">
        <f>+'B) D RI'!A43</f>
        <v>5473</v>
      </c>
      <c r="B42" s="469" t="str">
        <f>+'B) D RI'!B43</f>
        <v>Boussens</v>
      </c>
      <c r="C42" s="494">
        <v>571034.92432017345</v>
      </c>
      <c r="D42" s="304">
        <f>+'E) PCS'!G48</f>
        <v>580204.58746489766</v>
      </c>
      <c r="E42" s="309">
        <f t="shared" si="0"/>
        <v>9169.6631447242107</v>
      </c>
      <c r="F42" s="496">
        <v>334623.70330954401</v>
      </c>
      <c r="G42" s="229">
        <f>+'H) Péréquation directe'!I52+'I) Dépenses thématiques'!T42+'J) Plafonnement effort'!J42+'K) Plafonnement aide'!J42+'L) Plafonnement taux'!Q43</f>
        <v>359167.9139334294</v>
      </c>
      <c r="H42" s="309">
        <f t="shared" si="1"/>
        <v>24544.210623885388</v>
      </c>
      <c r="I42" s="494">
        <v>107326.14695184772</v>
      </c>
      <c r="J42" s="229">
        <f>+'M) Police'!N42</f>
        <v>111475.83587788393</v>
      </c>
      <c r="K42" s="309">
        <f t="shared" si="2"/>
        <v>4149.6889260362077</v>
      </c>
    </row>
    <row r="43" spans="1:11" s="473" customFormat="1" ht="15" x14ac:dyDescent="0.25">
      <c r="A43" s="149">
        <f>+'B) D RI'!A44</f>
        <v>5474</v>
      </c>
      <c r="B43" s="469" t="str">
        <f>+'B) D RI'!B44</f>
        <v>La Chaux (Cossonay)</v>
      </c>
      <c r="C43" s="494">
        <v>286216.46393842075</v>
      </c>
      <c r="D43" s="304">
        <f>+'E) PCS'!G49</f>
        <v>204710.08351228252</v>
      </c>
      <c r="E43" s="309">
        <f t="shared" si="0"/>
        <v>-81506.380426138232</v>
      </c>
      <c r="F43" s="496">
        <v>39420.043547669251</v>
      </c>
      <c r="G43" s="229">
        <f>+'H) Péréquation directe'!I53+'I) Dépenses thématiques'!T43+'J) Plafonnement effort'!J43+'K) Plafonnement aide'!J43+'L) Plafonnement taux'!Q44</f>
        <v>-185253.99737891127</v>
      </c>
      <c r="H43" s="309">
        <f t="shared" si="1"/>
        <v>-224674.04092658052</v>
      </c>
      <c r="I43" s="494">
        <v>48468.317634462714</v>
      </c>
      <c r="J43" s="229">
        <f>+'M) Police'!N43</f>
        <v>38922.550940993708</v>
      </c>
      <c r="K43" s="309">
        <f t="shared" si="2"/>
        <v>-9545.766693469006</v>
      </c>
    </row>
    <row r="44" spans="1:11" s="473" customFormat="1" ht="15" x14ac:dyDescent="0.25">
      <c r="A44" s="149">
        <f>+'B) D RI'!A45</f>
        <v>5475</v>
      </c>
      <c r="B44" s="469" t="str">
        <f>+'B) D RI'!B45</f>
        <v>Chavannes-le-Veyron</v>
      </c>
      <c r="C44" s="494">
        <v>59481.972194499554</v>
      </c>
      <c r="D44" s="304">
        <f>+'E) PCS'!G50</f>
        <v>56867.901752879967</v>
      </c>
      <c r="E44" s="309">
        <f t="shared" si="0"/>
        <v>-2614.0704416195877</v>
      </c>
      <c r="F44" s="496">
        <v>-69255.805393352319</v>
      </c>
      <c r="G44" s="229">
        <f>+'H) Péréquation directe'!I54+'I) Dépenses thématiques'!T44+'J) Plafonnement effort'!J44+'K) Plafonnement aide'!J44+'L) Plafonnement taux'!Q45</f>
        <v>-39736.679913115229</v>
      </c>
      <c r="H44" s="309">
        <f t="shared" si="1"/>
        <v>29519.12548023709</v>
      </c>
      <c r="I44" s="494">
        <v>9411.548203957489</v>
      </c>
      <c r="J44" s="229">
        <f>+'M) Police'!N44</f>
        <v>12877.041947132027</v>
      </c>
      <c r="K44" s="309">
        <f t="shared" si="2"/>
        <v>3465.4937431745384</v>
      </c>
    </row>
    <row r="45" spans="1:11" s="473" customFormat="1" ht="15" x14ac:dyDescent="0.25">
      <c r="A45" s="149">
        <f>+'B) D RI'!A46</f>
        <v>5476</v>
      </c>
      <c r="B45" s="469" t="str">
        <f>+'B) D RI'!B46</f>
        <v>Chevilly</v>
      </c>
      <c r="C45" s="494">
        <v>193757.51334715457</v>
      </c>
      <c r="D45" s="304">
        <f>+'E) PCS'!G51</f>
        <v>191887.16264329804</v>
      </c>
      <c r="E45" s="309">
        <f t="shared" si="0"/>
        <v>-1870.3507038565294</v>
      </c>
      <c r="F45" s="496">
        <v>156246.25047713213</v>
      </c>
      <c r="G45" s="229">
        <f>+'H) Péréquation directe'!I55+'I) Dépenses thématiques'!T45+'J) Plafonnement effort'!J45+'K) Plafonnement aide'!J45+'L) Plafonnement taux'!Q46</f>
        <v>102556.89942324182</v>
      </c>
      <c r="H45" s="309">
        <f t="shared" si="1"/>
        <v>-53689.351053890307</v>
      </c>
      <c r="I45" s="494">
        <v>39911.66386240939</v>
      </c>
      <c r="J45" s="229">
        <f>+'M) Police'!N45</f>
        <v>36562.650667735332</v>
      </c>
      <c r="K45" s="309">
        <f t="shared" si="2"/>
        <v>-3349.0131946740585</v>
      </c>
    </row>
    <row r="46" spans="1:11" s="473" customFormat="1" ht="15" x14ac:dyDescent="0.25">
      <c r="A46" s="149">
        <f>+'B) D RI'!A47</f>
        <v>5477</v>
      </c>
      <c r="B46" s="469" t="str">
        <f>+'B) D RI'!B47</f>
        <v>Cossonay</v>
      </c>
      <c r="C46" s="494">
        <v>2467444.8868554663</v>
      </c>
      <c r="D46" s="304">
        <f>+'E) PCS'!G52</f>
        <v>2307521.4580445201</v>
      </c>
      <c r="E46" s="309">
        <f t="shared" si="0"/>
        <v>-159923.42881094618</v>
      </c>
      <c r="F46" s="496">
        <v>120113.55332270055</v>
      </c>
      <c r="G46" s="229">
        <f>+'H) Péréquation directe'!I56+'I) Dépenses thématiques'!T46+'J) Plafonnement effort'!J46+'K) Plafonnement aide'!J46+'L) Plafonnement taux'!Q47</f>
        <v>-927869.11494897201</v>
      </c>
      <c r="H46" s="309">
        <f t="shared" si="1"/>
        <v>-1047982.6682716726</v>
      </c>
      <c r="I46" s="494">
        <v>454839.62167872291</v>
      </c>
      <c r="J46" s="229">
        <f>+'M) Police'!N46</f>
        <v>428469.6158658925</v>
      </c>
      <c r="K46" s="309">
        <f t="shared" si="2"/>
        <v>-26370.005812830408</v>
      </c>
    </row>
    <row r="47" spans="1:11" s="473" customFormat="1" ht="15" x14ac:dyDescent="0.25">
      <c r="A47" s="149">
        <f>+'B) D RI'!A48</f>
        <v>5478</v>
      </c>
      <c r="B47" s="469" t="str">
        <f>+'B) D RI'!B48</f>
        <v>Cottens</v>
      </c>
      <c r="C47" s="494">
        <v>321180.49514346675</v>
      </c>
      <c r="D47" s="304">
        <f>+'E) PCS'!G53</f>
        <v>217546.21881383957</v>
      </c>
      <c r="E47" s="309">
        <f t="shared" si="0"/>
        <v>-103634.27632962717</v>
      </c>
      <c r="F47" s="496">
        <v>-353139.1315538424</v>
      </c>
      <c r="G47" s="229">
        <f>+'H) Péréquation directe'!I57+'I) Dépenses thématiques'!T47+'J) Plafonnement effort'!J47+'K) Plafonnement aide'!J47+'L) Plafonnement taux'!Q48</f>
        <v>65323.361806660658</v>
      </c>
      <c r="H47" s="309">
        <f t="shared" si="1"/>
        <v>418462.49336050305</v>
      </c>
      <c r="I47" s="494">
        <v>55385.492004865024</v>
      </c>
      <c r="J47" s="229">
        <f>+'M) Police'!N47</f>
        <v>47716.091393325245</v>
      </c>
      <c r="K47" s="309">
        <f t="shared" si="2"/>
        <v>-7669.4006115397788</v>
      </c>
    </row>
    <row r="48" spans="1:11" s="473" customFormat="1" ht="15" x14ac:dyDescent="0.25">
      <c r="A48" s="149">
        <f>+'B) D RI'!A49</f>
        <v>5479</v>
      </c>
      <c r="B48" s="469" t="str">
        <f>+'B) D RI'!B49</f>
        <v>Cuarnens</v>
      </c>
      <c r="C48" s="494">
        <v>289782.71623758494</v>
      </c>
      <c r="D48" s="304">
        <f>+'E) PCS'!G54</f>
        <v>279430.49288187857</v>
      </c>
      <c r="E48" s="309">
        <f t="shared" si="0"/>
        <v>-10352.223355706374</v>
      </c>
      <c r="F48" s="496">
        <v>-133799.43367725867</v>
      </c>
      <c r="G48" s="229">
        <f>+'H) Péréquation directe'!I58+'I) Dépenses thématiques'!T48+'J) Plafonnement effort'!J48+'K) Plafonnement aide'!J48+'L) Plafonnement taux'!Q49</f>
        <v>-10291.884487375297</v>
      </c>
      <c r="H48" s="309">
        <f t="shared" si="1"/>
        <v>123507.54918988337</v>
      </c>
      <c r="I48" s="494">
        <v>54569.465357491295</v>
      </c>
      <c r="J48" s="229">
        <f>+'M) Police'!N48</f>
        <v>54596.167817247595</v>
      </c>
      <c r="K48" s="309">
        <f t="shared" si="2"/>
        <v>26.702459756299504</v>
      </c>
    </row>
    <row r="49" spans="1:11" s="473" customFormat="1" ht="15" x14ac:dyDescent="0.25">
      <c r="A49" s="149">
        <f>+'B) D RI'!A50</f>
        <v>5480</v>
      </c>
      <c r="B49" s="469" t="str">
        <f>+'B) D RI'!B50</f>
        <v>Daillens</v>
      </c>
      <c r="C49" s="494">
        <v>721488.66973476729</v>
      </c>
      <c r="D49" s="304">
        <f>+'E) PCS'!G55</f>
        <v>721862.33621376567</v>
      </c>
      <c r="E49" s="309">
        <f t="shared" si="0"/>
        <v>373.66647899837699</v>
      </c>
      <c r="F49" s="496">
        <v>114864.28096304508</v>
      </c>
      <c r="G49" s="229">
        <f>+'H) Péréquation directe'!I59+'I) Dépenses thématiques'!T49+'J) Plafonnement effort'!J49+'K) Plafonnement aide'!J49+'L) Plafonnement taux'!Q50</f>
        <v>322198.2143295164</v>
      </c>
      <c r="H49" s="309">
        <f t="shared" si="1"/>
        <v>207333.93336647132</v>
      </c>
      <c r="I49" s="494">
        <v>123719.02120496256</v>
      </c>
      <c r="J49" s="229">
        <f>+'M) Police'!N49</f>
        <v>120973.94953659699</v>
      </c>
      <c r="K49" s="309">
        <f t="shared" si="2"/>
        <v>-2745.0716683655628</v>
      </c>
    </row>
    <row r="50" spans="1:11" s="473" customFormat="1" ht="15" x14ac:dyDescent="0.25">
      <c r="A50" s="149">
        <f>+'B) D RI'!A51</f>
        <v>5481</v>
      </c>
      <c r="B50" s="469" t="str">
        <f>+'B) D RI'!B51</f>
        <v>Dizy</v>
      </c>
      <c r="C50" s="494">
        <v>148828.80556839472</v>
      </c>
      <c r="D50" s="304">
        <f>+'E) PCS'!G56</f>
        <v>108015.74108324491</v>
      </c>
      <c r="E50" s="309">
        <f t="shared" si="0"/>
        <v>-40813.064485149807</v>
      </c>
      <c r="F50" s="496">
        <v>121494.49006190864</v>
      </c>
      <c r="G50" s="229">
        <f>+'H) Péréquation directe'!I60+'I) Dépenses thématiques'!T50+'J) Plafonnement effort'!J50+'K) Plafonnement aide'!J50+'L) Plafonnement taux'!Q51</f>
        <v>43997.182234889493</v>
      </c>
      <c r="H50" s="309">
        <f t="shared" si="1"/>
        <v>-77497.307827019147</v>
      </c>
      <c r="I50" s="494">
        <v>30951.920602022663</v>
      </c>
      <c r="J50" s="229">
        <f>+'M) Police'!N50</f>
        <v>24629.863256592627</v>
      </c>
      <c r="K50" s="309">
        <f t="shared" si="2"/>
        <v>-6322.0573454300356</v>
      </c>
    </row>
    <row r="51" spans="1:11" s="473" customFormat="1" ht="15" x14ac:dyDescent="0.25">
      <c r="A51" s="149">
        <f>+'B) D RI'!A52</f>
        <v>5482</v>
      </c>
      <c r="B51" s="469" t="str">
        <f>+'B) D RI'!B52</f>
        <v>Eclépens</v>
      </c>
      <c r="C51" s="494">
        <v>1119297.4117954555</v>
      </c>
      <c r="D51" s="304">
        <f>+'E) PCS'!G57</f>
        <v>857325.85123857553</v>
      </c>
      <c r="E51" s="309">
        <f t="shared" si="0"/>
        <v>-261971.56055687997</v>
      </c>
      <c r="F51" s="496">
        <v>925677.06622679229</v>
      </c>
      <c r="G51" s="229">
        <f>+'H) Péréquation directe'!I61+'I) Dépenses thématiques'!T51+'J) Plafonnement effort'!J51+'K) Plafonnement aide'!J51+'L) Plafonnement taux'!Q52</f>
        <v>712020.28711790871</v>
      </c>
      <c r="H51" s="309">
        <f t="shared" si="1"/>
        <v>-213656.77910888358</v>
      </c>
      <c r="I51" s="494">
        <v>177959.72741005069</v>
      </c>
      <c r="J51" s="229">
        <f>+'M) Police'!N51</f>
        <v>150085.45325448719</v>
      </c>
      <c r="K51" s="309">
        <f t="shared" si="2"/>
        <v>-27874.2741555635</v>
      </c>
    </row>
    <row r="52" spans="1:11" s="473" customFormat="1" ht="15" x14ac:dyDescent="0.25">
      <c r="A52" s="149">
        <f>+'B) D RI'!A53</f>
        <v>5483</v>
      </c>
      <c r="B52" s="469" t="str">
        <f>+'B) D RI'!B53</f>
        <v>Ferreyres</v>
      </c>
      <c r="C52" s="494">
        <v>200973.49755558258</v>
      </c>
      <c r="D52" s="304">
        <f>+'E) PCS'!G58</f>
        <v>135064.03299297264</v>
      </c>
      <c r="E52" s="309">
        <f t="shared" si="0"/>
        <v>-65909.464562609937</v>
      </c>
      <c r="F52" s="496">
        <v>95770.542039660184</v>
      </c>
      <c r="G52" s="229">
        <f>+'H) Péréquation directe'!I62+'I) Dépenses thématiques'!T52+'J) Plafonnement effort'!J52+'K) Plafonnement aide'!J52+'L) Plafonnement taux'!Q53</f>
        <v>43758.570960184879</v>
      </c>
      <c r="H52" s="309">
        <f t="shared" si="1"/>
        <v>-52011.971079475305</v>
      </c>
      <c r="I52" s="494">
        <v>35228.122043680443</v>
      </c>
      <c r="J52" s="229">
        <f>+'M) Police'!N52</f>
        <v>31884.278534666781</v>
      </c>
      <c r="K52" s="309">
        <f t="shared" si="2"/>
        <v>-3343.8435090136627</v>
      </c>
    </row>
    <row r="53" spans="1:11" s="473" customFormat="1" ht="15" x14ac:dyDescent="0.25">
      <c r="A53" s="149">
        <f>+'B) D RI'!A54</f>
        <v>5484</v>
      </c>
      <c r="B53" s="469" t="str">
        <f>+'B) D RI'!B54</f>
        <v>Gollion</v>
      </c>
      <c r="C53" s="494">
        <v>658142.69854527398</v>
      </c>
      <c r="D53" s="304">
        <f>+'E) PCS'!G59</f>
        <v>567578.77287089359</v>
      </c>
      <c r="E53" s="309">
        <f t="shared" si="0"/>
        <v>-90563.925674380385</v>
      </c>
      <c r="F53" s="496">
        <v>225461.56211147332</v>
      </c>
      <c r="G53" s="229">
        <f>+'H) Péréquation directe'!I63+'I) Dépenses thématiques'!T53+'J) Plafonnement effort'!J53+'K) Plafonnement aide'!J53+'L) Plafonnement taux'!Q54</f>
        <v>85458.683415067324</v>
      </c>
      <c r="H53" s="309">
        <f t="shared" si="1"/>
        <v>-140002.878696406</v>
      </c>
      <c r="I53" s="494">
        <v>105966.21411653073</v>
      </c>
      <c r="J53" s="229">
        <f>+'M) Police'!N53</f>
        <v>108372.29819698985</v>
      </c>
      <c r="K53" s="309">
        <f t="shared" si="2"/>
        <v>2406.084080459128</v>
      </c>
    </row>
    <row r="54" spans="1:11" s="473" customFormat="1" ht="15" x14ac:dyDescent="0.25">
      <c r="A54" s="149">
        <f>+'B) D RI'!A55</f>
        <v>5485</v>
      </c>
      <c r="B54" s="469" t="str">
        <f>+'B) D RI'!B55</f>
        <v>Grancy</v>
      </c>
      <c r="C54" s="494">
        <v>303903.901233632</v>
      </c>
      <c r="D54" s="304">
        <f>+'E) PCS'!G60</f>
        <v>415184.36507647822</v>
      </c>
      <c r="E54" s="309">
        <f t="shared" si="0"/>
        <v>111280.46384284622</v>
      </c>
      <c r="F54" s="496">
        <v>228375.30394037237</v>
      </c>
      <c r="G54" s="229">
        <f>+'H) Péréquation directe'!I64+'I) Dépenses thématiques'!T54+'J) Plafonnement effort'!J54+'K) Plafonnement aide'!J54+'L) Plafonnement taux'!Q55</f>
        <v>360558.73841955874</v>
      </c>
      <c r="H54" s="309">
        <f t="shared" si="1"/>
        <v>132183.43447918637</v>
      </c>
      <c r="I54" s="494">
        <v>53465.504191560787</v>
      </c>
      <c r="J54" s="229">
        <f>+'M) Police'!N54</f>
        <v>68396.24821874022</v>
      </c>
      <c r="K54" s="309">
        <f t="shared" si="2"/>
        <v>14930.744027179433</v>
      </c>
    </row>
    <row r="55" spans="1:11" s="473" customFormat="1" ht="15" x14ac:dyDescent="0.25">
      <c r="A55" s="149">
        <f>+'B) D RI'!A56</f>
        <v>5486</v>
      </c>
      <c r="B55" s="469" t="str">
        <f>+'B) D RI'!B56</f>
        <v>L'Isle</v>
      </c>
      <c r="C55" s="494">
        <v>868029.67263062694</v>
      </c>
      <c r="D55" s="304">
        <f>+'E) PCS'!G61</f>
        <v>533686.04015572811</v>
      </c>
      <c r="E55" s="309">
        <f t="shared" si="0"/>
        <v>-334343.63247489883</v>
      </c>
      <c r="F55" s="496">
        <v>50504.196095282154</v>
      </c>
      <c r="G55" s="229">
        <f>+'H) Péréquation directe'!I65+'I) Dépenses thématiques'!T55+'J) Plafonnement effort'!J55+'K) Plafonnement aide'!J55+'L) Plafonnement taux'!Q56</f>
        <v>-476160.50948896375</v>
      </c>
      <c r="H55" s="309">
        <f t="shared" si="1"/>
        <v>-526664.70558424597</v>
      </c>
      <c r="I55" s="494">
        <v>112461.45151463448</v>
      </c>
      <c r="J55" s="229">
        <f>+'M) Police'!N55</f>
        <v>86956.763111629814</v>
      </c>
      <c r="K55" s="309">
        <f t="shared" si="2"/>
        <v>-25504.688403004664</v>
      </c>
    </row>
    <row r="56" spans="1:11" s="473" customFormat="1" ht="15" x14ac:dyDescent="0.25">
      <c r="A56" s="149">
        <f>+'B) D RI'!A57</f>
        <v>5487</v>
      </c>
      <c r="B56" s="469" t="str">
        <f>+'B) D RI'!B57</f>
        <v>Lussery-Villars</v>
      </c>
      <c r="C56" s="494">
        <v>272688.54706928151</v>
      </c>
      <c r="D56" s="304">
        <f>+'E) PCS'!G62</f>
        <v>220279.37859575241</v>
      </c>
      <c r="E56" s="309">
        <f t="shared" si="0"/>
        <v>-52409.168473529106</v>
      </c>
      <c r="F56" s="496">
        <v>82520.356503975243</v>
      </c>
      <c r="G56" s="229">
        <f>+'H) Péréquation directe'!I66+'I) Dépenses thématiques'!T56+'J) Plafonnement effort'!J56+'K) Plafonnement aide'!J56+'L) Plafonnement taux'!Q57</f>
        <v>84141.206614015522</v>
      </c>
      <c r="H56" s="309">
        <f t="shared" si="1"/>
        <v>1620.8501100402791</v>
      </c>
      <c r="I56" s="494">
        <v>48837.275298109453</v>
      </c>
      <c r="J56" s="229">
        <f>+'M) Police'!N56</f>
        <v>50395.40979533238</v>
      </c>
      <c r="K56" s="309">
        <f t="shared" si="2"/>
        <v>1558.1344972229272</v>
      </c>
    </row>
    <row r="57" spans="1:11" s="473" customFormat="1" ht="15" x14ac:dyDescent="0.25">
      <c r="A57" s="149">
        <f>+'B) D RI'!A58</f>
        <v>5488</v>
      </c>
      <c r="B57" s="469" t="str">
        <f>+'B) D RI'!B58</f>
        <v>Mauraz</v>
      </c>
      <c r="C57" s="494">
        <v>26842.036907526184</v>
      </c>
      <c r="D57" s="304">
        <f>+'E) PCS'!G63</f>
        <v>21089.963253512771</v>
      </c>
      <c r="E57" s="309">
        <f t="shared" si="0"/>
        <v>-5752.073654013413</v>
      </c>
      <c r="F57" s="496">
        <v>6303.4811302019989</v>
      </c>
      <c r="G57" s="229">
        <f>+'H) Péréquation directe'!I67+'I) Dépenses thématiques'!T57+'J) Plafonnement effort'!J57+'K) Plafonnement aide'!J57+'L) Plafonnement taux'!Q58</f>
        <v>-3031.3203428887136</v>
      </c>
      <c r="H57" s="309">
        <f t="shared" si="1"/>
        <v>-9334.8014730907125</v>
      </c>
      <c r="I57" s="494">
        <v>5534.8776474031174</v>
      </c>
      <c r="J57" s="229">
        <f>+'M) Police'!N57</f>
        <v>5256.7513940149429</v>
      </c>
      <c r="K57" s="309">
        <f t="shared" si="2"/>
        <v>-278.12625338817452</v>
      </c>
    </row>
    <row r="58" spans="1:11" s="473" customFormat="1" ht="15" x14ac:dyDescent="0.25">
      <c r="A58" s="149">
        <f>+'B) D RI'!A59</f>
        <v>5489</v>
      </c>
      <c r="B58" s="469" t="str">
        <f>+'B) D RI'!B59</f>
        <v>Mex</v>
      </c>
      <c r="C58" s="494">
        <v>1654590.8007153366</v>
      </c>
      <c r="D58" s="304">
        <f>+'E) PCS'!G64</f>
        <v>987989.89094217529</v>
      </c>
      <c r="E58" s="309">
        <f t="shared" si="0"/>
        <v>-666600.90977316129</v>
      </c>
      <c r="F58" s="496">
        <v>1156979.8865876205</v>
      </c>
      <c r="G58" s="229">
        <f>+'H) Péréquation directe'!I68+'I) Dépenses thématiques'!T58+'J) Plafonnement effort'!J58+'K) Plafonnement aide'!J58+'L) Plafonnement taux'!Q59</f>
        <v>849949.79300757358</v>
      </c>
      <c r="H58" s="309">
        <f t="shared" si="1"/>
        <v>-307030.0935800469</v>
      </c>
      <c r="I58" s="494">
        <v>142698.04315865794</v>
      </c>
      <c r="J58" s="229">
        <f>+'M) Police'!N58</f>
        <v>130526.10396089085</v>
      </c>
      <c r="K58" s="309">
        <f t="shared" si="2"/>
        <v>-12171.939197767089</v>
      </c>
    </row>
    <row r="59" spans="1:11" s="473" customFormat="1" ht="15" x14ac:dyDescent="0.25">
      <c r="A59" s="149">
        <f>+'B) D RI'!A60</f>
        <v>5490</v>
      </c>
      <c r="B59" s="469" t="str">
        <f>+'B) D RI'!B60</f>
        <v>Moiry</v>
      </c>
      <c r="C59" s="494">
        <v>137112.14482833442</v>
      </c>
      <c r="D59" s="304">
        <f>+'E) PCS'!G65</f>
        <v>129829.36733889434</v>
      </c>
      <c r="E59" s="309">
        <f t="shared" si="0"/>
        <v>-7282.7774894400791</v>
      </c>
      <c r="F59" s="496">
        <v>-80622.098614539718</v>
      </c>
      <c r="G59" s="229">
        <f>+'H) Péréquation directe'!I69+'I) Dépenses thématiques'!T59+'J) Plafonnement effort'!J59+'K) Plafonnement aide'!J59+'L) Plafonnement taux'!Q60</f>
        <v>-13858.346374554003</v>
      </c>
      <c r="H59" s="309">
        <f t="shared" si="1"/>
        <v>66763.752239985712</v>
      </c>
      <c r="I59" s="494">
        <v>26243.967368974547</v>
      </c>
      <c r="J59" s="229">
        <f>+'M) Police'!N59</f>
        <v>27477.475050977991</v>
      </c>
      <c r="K59" s="309">
        <f t="shared" si="2"/>
        <v>1233.5076820034446</v>
      </c>
    </row>
    <row r="60" spans="1:11" s="473" customFormat="1" ht="15" x14ac:dyDescent="0.25">
      <c r="A60" s="149">
        <f>+'B) D RI'!A61</f>
        <v>5491</v>
      </c>
      <c r="B60" s="469" t="str">
        <f>+'B) D RI'!B61</f>
        <v>Mont-la-Ville</v>
      </c>
      <c r="C60" s="494">
        <v>230157.84227581552</v>
      </c>
      <c r="D60" s="304">
        <f>+'E) PCS'!G66</f>
        <v>190274.75225727001</v>
      </c>
      <c r="E60" s="309">
        <f t="shared" si="0"/>
        <v>-39883.09001854551</v>
      </c>
      <c r="F60" s="496">
        <v>-54661.767310982337</v>
      </c>
      <c r="G60" s="229">
        <f>+'H) Péréquation directe'!I70+'I) Dépenses thématiques'!T60+'J) Plafonnement effort'!J60+'K) Plafonnement aide'!J60+'L) Plafonnement taux'!Q61</f>
        <v>-234554.5591116515</v>
      </c>
      <c r="H60" s="309">
        <f t="shared" si="1"/>
        <v>-179892.79180066916</v>
      </c>
      <c r="I60" s="494">
        <v>44288.526914968395</v>
      </c>
      <c r="J60" s="229">
        <f>+'M) Police'!N60</f>
        <v>40829.397042780271</v>
      </c>
      <c r="K60" s="309">
        <f t="shared" si="2"/>
        <v>-3459.1298721881249</v>
      </c>
    </row>
    <row r="61" spans="1:11" s="473" customFormat="1" ht="15" x14ac:dyDescent="0.25">
      <c r="A61" s="149">
        <f>+'B) D RI'!A62</f>
        <v>5492</v>
      </c>
      <c r="B61" s="469" t="str">
        <f>+'B) D RI'!B62</f>
        <v>Montricher</v>
      </c>
      <c r="C61" s="494">
        <v>7509835.1834885944</v>
      </c>
      <c r="D61" s="304">
        <f>+'E) PCS'!G67</f>
        <v>6132913.6134219579</v>
      </c>
      <c r="E61" s="309">
        <f t="shared" si="0"/>
        <v>-1376921.5700666364</v>
      </c>
      <c r="F61" s="496">
        <v>1665195.9090114036</v>
      </c>
      <c r="G61" s="229">
        <f>+'H) Péréquation directe'!I71+'I) Dépenses thématiques'!T61+'J) Plafonnement effort'!J61+'K) Plafonnement aide'!J61+'L) Plafonnement taux'!Q62</f>
        <v>2491769.8815780431</v>
      </c>
      <c r="H61" s="309">
        <f t="shared" si="1"/>
        <v>826573.97256663954</v>
      </c>
      <c r="I61" s="494">
        <v>325893.43790574686</v>
      </c>
      <c r="J61" s="229">
        <f>+'M) Police'!N61</f>
        <v>292550.32176632888</v>
      </c>
      <c r="K61" s="309">
        <f t="shared" si="2"/>
        <v>-33343.11613941798</v>
      </c>
    </row>
    <row r="62" spans="1:11" s="473" customFormat="1" ht="15" x14ac:dyDescent="0.25">
      <c r="A62" s="149">
        <f>+'B) D RI'!A63</f>
        <v>5493</v>
      </c>
      <c r="B62" s="469" t="str">
        <f>+'B) D RI'!B63</f>
        <v>Orny</v>
      </c>
      <c r="C62" s="494">
        <v>249008.94118633866</v>
      </c>
      <c r="D62" s="304">
        <f>+'E) PCS'!G68</f>
        <v>260344.47937304463</v>
      </c>
      <c r="E62" s="309">
        <f t="shared" si="0"/>
        <v>11335.538186705962</v>
      </c>
      <c r="F62" s="496">
        <v>-20703.804496386962</v>
      </c>
      <c r="G62" s="229">
        <f>+'H) Péréquation directe'!I72+'I) Dépenses thématiques'!T62+'J) Plafonnement effort'!J62+'K) Plafonnement aide'!J62+'L) Plafonnement taux'!Q63</f>
        <v>-15462.164809920127</v>
      </c>
      <c r="H62" s="309">
        <f t="shared" si="1"/>
        <v>5241.639686466835</v>
      </c>
      <c r="I62" s="494">
        <v>33552.167502357479</v>
      </c>
      <c r="J62" s="229">
        <f>+'M) Police'!N62</f>
        <v>40427.735481344149</v>
      </c>
      <c r="K62" s="309">
        <f t="shared" si="2"/>
        <v>6875.5679789866699</v>
      </c>
    </row>
    <row r="63" spans="1:11" s="473" customFormat="1" ht="15" x14ac:dyDescent="0.25">
      <c r="A63" s="149">
        <f>+'B) D RI'!A64</f>
        <v>5494</v>
      </c>
      <c r="B63" s="469" t="str">
        <f>+'B) D RI'!B64</f>
        <v>Pampigny</v>
      </c>
      <c r="C63" s="494">
        <v>665664.7737498075</v>
      </c>
      <c r="D63" s="304">
        <f>+'E) PCS'!G69</f>
        <v>779044.01517593348</v>
      </c>
      <c r="E63" s="309">
        <f t="shared" si="0"/>
        <v>113379.24142612598</v>
      </c>
      <c r="F63" s="496">
        <v>31222.67226537125</v>
      </c>
      <c r="G63" s="229">
        <f>+'H) Péréquation directe'!I73+'I) Dépenses thématiques'!T63+'J) Plafonnement effort'!J63+'K) Plafonnement aide'!J63+'L) Plafonnement taux'!Q64</f>
        <v>-897253.80277004093</v>
      </c>
      <c r="H63" s="309">
        <f t="shared" si="1"/>
        <v>-928476.47503541224</v>
      </c>
      <c r="I63" s="494">
        <v>115722.01928194231</v>
      </c>
      <c r="J63" s="229">
        <f>+'M) Police'!N63</f>
        <v>130499.66369202675</v>
      </c>
      <c r="K63" s="309">
        <f t="shared" si="2"/>
        <v>14777.644410084438</v>
      </c>
    </row>
    <row r="64" spans="1:11" s="473" customFormat="1" ht="15" x14ac:dyDescent="0.25">
      <c r="A64" s="149">
        <f>+'B) D RI'!A65</f>
        <v>5495</v>
      </c>
      <c r="B64" s="469" t="str">
        <f>+'B) D RI'!B65</f>
        <v>Penthalaz</v>
      </c>
      <c r="C64" s="494">
        <v>1676158.0051539443</v>
      </c>
      <c r="D64" s="304">
        <f>+'E) PCS'!G70</f>
        <v>1494856.5416458962</v>
      </c>
      <c r="E64" s="309">
        <f t="shared" si="0"/>
        <v>-181301.46350804809</v>
      </c>
      <c r="F64" s="496">
        <v>-831420.35775271384</v>
      </c>
      <c r="G64" s="229">
        <f>+'H) Péréquation directe'!I74+'I) Dépenses thématiques'!T64+'J) Plafonnement effort'!J64+'K) Plafonnement aide'!J64+'L) Plafonnement taux'!Q65</f>
        <v>-1107845.4865229889</v>
      </c>
      <c r="H64" s="309">
        <f t="shared" si="1"/>
        <v>-276425.12877027504</v>
      </c>
      <c r="I64" s="494">
        <v>297379.65239315911</v>
      </c>
      <c r="J64" s="229">
        <f>+'M) Police'!N64</f>
        <v>286398.55263915588</v>
      </c>
      <c r="K64" s="309">
        <f t="shared" si="2"/>
        <v>-10981.099754003226</v>
      </c>
    </row>
    <row r="65" spans="1:11" s="473" customFormat="1" ht="15" x14ac:dyDescent="0.25">
      <c r="A65" s="149">
        <f>+'B) D RI'!A66</f>
        <v>5496</v>
      </c>
      <c r="B65" s="469" t="str">
        <f>+'B) D RI'!B66</f>
        <v>Penthaz</v>
      </c>
      <c r="C65" s="494">
        <v>1127193.7234743854</v>
      </c>
      <c r="D65" s="304">
        <f>+'E) PCS'!G71</f>
        <v>931219.78737764084</v>
      </c>
      <c r="E65" s="309">
        <f t="shared" si="0"/>
        <v>-195973.93609674461</v>
      </c>
      <c r="F65" s="496">
        <v>91305.028838860191</v>
      </c>
      <c r="G65" s="229">
        <f>+'H) Péréquation directe'!I75+'I) Dépenses thématiques'!T65+'J) Plafonnement effort'!J65+'K) Plafonnement aide'!J65+'L) Plafonnement taux'!Q66</f>
        <v>-346404.10900374944</v>
      </c>
      <c r="H65" s="309">
        <f t="shared" si="1"/>
        <v>-437709.13784260966</v>
      </c>
      <c r="I65" s="494">
        <v>185432.87257959286</v>
      </c>
      <c r="J65" s="229">
        <f>+'M) Police'!N65</f>
        <v>167731.15394501653</v>
      </c>
      <c r="K65" s="309">
        <f t="shared" si="2"/>
        <v>-17701.718634576333</v>
      </c>
    </row>
    <row r="66" spans="1:11" s="473" customFormat="1" ht="15" x14ac:dyDescent="0.25">
      <c r="A66" s="149">
        <f>+'B) D RI'!A67</f>
        <v>5497</v>
      </c>
      <c r="B66" s="469" t="str">
        <f>+'B) D RI'!B67</f>
        <v>Pompaples</v>
      </c>
      <c r="C66" s="494">
        <v>467955.86007974314</v>
      </c>
      <c r="D66" s="304">
        <f>+'E) PCS'!G72</f>
        <v>360352.27289114235</v>
      </c>
      <c r="E66" s="309">
        <f t="shared" si="0"/>
        <v>-107603.5871886008</v>
      </c>
      <c r="F66" s="496">
        <v>-111879.23736861302</v>
      </c>
      <c r="G66" s="229">
        <f>+'H) Péréquation directe'!I76+'I) Dépenses thématiques'!T66+'J) Plafonnement effort'!J66+'K) Plafonnement aide'!J66+'L) Plafonnement taux'!Q67</f>
        <v>-139880.51501168997</v>
      </c>
      <c r="H66" s="309">
        <f t="shared" si="1"/>
        <v>-28001.277643076959</v>
      </c>
      <c r="I66" s="494">
        <v>71189.171256131143</v>
      </c>
      <c r="J66" s="229">
        <f>+'M) Police'!N66</f>
        <v>66360.34250765355</v>
      </c>
      <c r="K66" s="309">
        <f t="shared" si="2"/>
        <v>-4828.8287484775938</v>
      </c>
    </row>
    <row r="67" spans="1:11" s="473" customFormat="1" ht="15" x14ac:dyDescent="0.25">
      <c r="A67" s="149">
        <f>+'B) D RI'!A68</f>
        <v>5498</v>
      </c>
      <c r="B67" s="469" t="str">
        <f>+'B) D RI'!B68</f>
        <v>La Sarraz</v>
      </c>
      <c r="C67" s="494">
        <v>1469048.992898352</v>
      </c>
      <c r="D67" s="304">
        <f>+'E) PCS'!G73</f>
        <v>1057747.4485051963</v>
      </c>
      <c r="E67" s="309">
        <f t="shared" si="0"/>
        <v>-411301.54439315572</v>
      </c>
      <c r="F67" s="496">
        <v>-501058.44788767223</v>
      </c>
      <c r="G67" s="229">
        <f>+'H) Péréquation directe'!I77+'I) Dépenses thématiques'!T67+'J) Plafonnement effort'!J67+'K) Plafonnement aide'!J67+'L) Plafonnement taux'!Q68</f>
        <v>-737142.46025743301</v>
      </c>
      <c r="H67" s="309">
        <f t="shared" si="1"/>
        <v>-236084.01236976078</v>
      </c>
      <c r="I67" s="494">
        <v>241955.06897321553</v>
      </c>
      <c r="J67" s="229">
        <f>+'M) Police'!N67</f>
        <v>223072.41475284507</v>
      </c>
      <c r="K67" s="309">
        <f t="shared" si="2"/>
        <v>-18882.654220370459</v>
      </c>
    </row>
    <row r="68" spans="1:11" s="473" customFormat="1" ht="15" x14ac:dyDescent="0.25">
      <c r="A68" s="149">
        <f>+'B) D RI'!A69</f>
        <v>5499</v>
      </c>
      <c r="B68" s="469" t="str">
        <f>+'B) D RI'!B69</f>
        <v>Senarclens</v>
      </c>
      <c r="C68" s="494">
        <v>359295.45244904741</v>
      </c>
      <c r="D68" s="304">
        <f>+'E) PCS'!G74</f>
        <v>447125.86482269026</v>
      </c>
      <c r="E68" s="309">
        <f t="shared" si="0"/>
        <v>87830.412373642845</v>
      </c>
      <c r="F68" s="496">
        <v>278416.82803762727</v>
      </c>
      <c r="G68" s="229">
        <f>+'H) Péréquation directe'!I78+'I) Dépenses thématiques'!T68+'J) Plafonnement effort'!J68+'K) Plafonnement aide'!J68+'L) Plafonnement taux'!Q69</f>
        <v>6648.3364297903026</v>
      </c>
      <c r="H68" s="309">
        <f t="shared" si="1"/>
        <v>-271768.49160783697</v>
      </c>
      <c r="I68" s="494">
        <v>61337.616852839899</v>
      </c>
      <c r="J68" s="229">
        <f>+'M) Police'!N68</f>
        <v>54927.402317017462</v>
      </c>
      <c r="K68" s="309">
        <f t="shared" si="2"/>
        <v>-6410.214535822437</v>
      </c>
    </row>
    <row r="69" spans="1:11" s="473" customFormat="1" ht="15" x14ac:dyDescent="0.25">
      <c r="A69" s="149">
        <f>+'B) D RI'!A70</f>
        <v>5500</v>
      </c>
      <c r="B69" s="469" t="str">
        <f>+'B) D RI'!B70</f>
        <v>Sévery</v>
      </c>
      <c r="C69" s="494">
        <v>123065.842249469</v>
      </c>
      <c r="D69" s="304">
        <f>+'E) PCS'!G75</f>
        <v>142441.61991326674</v>
      </c>
      <c r="E69" s="309">
        <f t="shared" si="0"/>
        <v>19375.777663797737</v>
      </c>
      <c r="F69" s="496">
        <v>14840.12830979938</v>
      </c>
      <c r="G69" s="229">
        <f>+'H) Péréquation directe'!I79+'I) Dépenses thématiques'!T69+'J) Plafonnement effort'!J69+'K) Plafonnement aide'!J69+'L) Plafonnement taux'!Q70</f>
        <v>17465.769187705388</v>
      </c>
      <c r="H69" s="309">
        <f t="shared" si="1"/>
        <v>2625.6408779060075</v>
      </c>
      <c r="I69" s="494">
        <v>21829.884021568829</v>
      </c>
      <c r="J69" s="229">
        <f>+'M) Police'!N69</f>
        <v>21742.882448084398</v>
      </c>
      <c r="K69" s="309">
        <f t="shared" si="2"/>
        <v>-87.001573484430992</v>
      </c>
    </row>
    <row r="70" spans="1:11" s="473" customFormat="1" ht="15" x14ac:dyDescent="0.25">
      <c r="A70" s="149">
        <f>+'B) D RI'!A71</f>
        <v>5501</v>
      </c>
      <c r="B70" s="469" t="str">
        <f>+'B) D RI'!B71</f>
        <v>Sullens</v>
      </c>
      <c r="C70" s="494">
        <v>710146.67958410049</v>
      </c>
      <c r="D70" s="304">
        <f>+'E) PCS'!G76</f>
        <v>-809415.45384239103</v>
      </c>
      <c r="E70" s="309">
        <f t="shared" ref="E70:E133" si="3">D70-C70</f>
        <v>-1519562.1334264916</v>
      </c>
      <c r="F70" s="496">
        <v>511059.80794225307</v>
      </c>
      <c r="G70" s="229">
        <f>+'H) Péréquation directe'!I80+'I) Dépenses thématiques'!T70+'J) Plafonnement effort'!J70+'K) Plafonnement aide'!J70+'L) Plafonnement taux'!Q71</f>
        <v>371776.41786462162</v>
      </c>
      <c r="H70" s="309">
        <f t="shared" ref="H70:H133" si="4">G70-F70</f>
        <v>-139283.39007763145</v>
      </c>
      <c r="I70" s="494">
        <v>126446.91637093431</v>
      </c>
      <c r="J70" s="229">
        <f>+'M) Police'!N70</f>
        <v>130039.85150881796</v>
      </c>
      <c r="K70" s="309">
        <f t="shared" ref="K70:K133" si="5">J70-I70</f>
        <v>3592.9351378836436</v>
      </c>
    </row>
    <row r="71" spans="1:11" s="473" customFormat="1" ht="15" x14ac:dyDescent="0.25">
      <c r="A71" s="149">
        <f>+'B) D RI'!A72</f>
        <v>5503</v>
      </c>
      <c r="B71" s="469" t="str">
        <f>+'B) D RI'!B72</f>
        <v>Vufflens-la-Ville</v>
      </c>
      <c r="C71" s="494">
        <v>2104165.4022526066</v>
      </c>
      <c r="D71" s="304">
        <f>+'E) PCS'!G77</f>
        <v>1364877.3888966546</v>
      </c>
      <c r="E71" s="309">
        <f t="shared" si="3"/>
        <v>-739288.01335595199</v>
      </c>
      <c r="F71" s="496">
        <v>1530284.4836864597</v>
      </c>
      <c r="G71" s="229">
        <f>+'H) Péréquation directe'!I81+'I) Dépenses thématiques'!T71+'J) Plafonnement effort'!J71+'K) Plafonnement aide'!J71+'L) Plafonnement taux'!Q72</f>
        <v>1228631.9844808022</v>
      </c>
      <c r="H71" s="309">
        <f t="shared" si="4"/>
        <v>-301652.49920565751</v>
      </c>
      <c r="I71" s="494">
        <v>225341.14398482989</v>
      </c>
      <c r="J71" s="229">
        <f>+'M) Police'!N71</f>
        <v>212675.43625988555</v>
      </c>
      <c r="K71" s="309">
        <f t="shared" si="5"/>
        <v>-12665.707724944339</v>
      </c>
    </row>
    <row r="72" spans="1:11" s="473" customFormat="1" ht="15" x14ac:dyDescent="0.25">
      <c r="A72" s="149">
        <f>+'B) D RI'!A73</f>
        <v>5511</v>
      </c>
      <c r="B72" s="469" t="str">
        <f>+'B) D RI'!B73</f>
        <v>Assens</v>
      </c>
      <c r="C72" s="494">
        <v>900004.34760993172</v>
      </c>
      <c r="D72" s="304">
        <f>+'E) PCS'!G78</f>
        <v>1022561.8134798432</v>
      </c>
      <c r="E72" s="309">
        <f t="shared" si="3"/>
        <v>122557.46586991148</v>
      </c>
      <c r="F72" s="496">
        <v>625288.31776317907</v>
      </c>
      <c r="G72" s="229">
        <f>+'H) Péréquation directe'!I82+'I) Dépenses thématiques'!T72+'J) Plafonnement effort'!J72+'K) Plafonnement aide'!J72+'L) Plafonnement taux'!Q73</f>
        <v>238062.12048186886</v>
      </c>
      <c r="H72" s="309">
        <f t="shared" si="4"/>
        <v>-387226.19728131022</v>
      </c>
      <c r="I72" s="494">
        <v>155764.49274755461</v>
      </c>
      <c r="J72" s="229">
        <f>+'M) Police'!N72</f>
        <v>142096.34557345844</v>
      </c>
      <c r="K72" s="309">
        <f t="shared" si="5"/>
        <v>-13668.147174096172</v>
      </c>
    </row>
    <row r="73" spans="1:11" s="473" customFormat="1" ht="15" x14ac:dyDescent="0.25">
      <c r="A73" s="149">
        <f>+'B) D RI'!A74</f>
        <v>5512</v>
      </c>
      <c r="B73" s="469" t="str">
        <f>+'B) D RI'!B74</f>
        <v>Bercher</v>
      </c>
      <c r="C73" s="494">
        <v>701390.54744132201</v>
      </c>
      <c r="D73" s="304">
        <f>+'E) PCS'!G79</f>
        <v>724113.89993108157</v>
      </c>
      <c r="E73" s="309">
        <f t="shared" si="3"/>
        <v>22723.352489759563</v>
      </c>
      <c r="F73" s="496">
        <v>-130806.92612670833</v>
      </c>
      <c r="G73" s="229">
        <f>+'H) Péréquation directe'!I83+'I) Dépenses thématiques'!T73+'J) Plafonnement effort'!J73+'K) Plafonnement aide'!J73+'L) Plafonnement taux'!Q74</f>
        <v>-282890.82446133229</v>
      </c>
      <c r="H73" s="309">
        <f t="shared" si="4"/>
        <v>-152083.89833462395</v>
      </c>
      <c r="I73" s="494">
        <v>124928.4798234211</v>
      </c>
      <c r="J73" s="229">
        <f>+'M) Police'!N73</f>
        <v>122145.44358344877</v>
      </c>
      <c r="K73" s="309">
        <f t="shared" si="5"/>
        <v>-2783.0362399723381</v>
      </c>
    </row>
    <row r="74" spans="1:11" s="473" customFormat="1" ht="15" x14ac:dyDescent="0.25">
      <c r="A74" s="149">
        <f>+'B) D RI'!A75</f>
        <v>5513</v>
      </c>
      <c r="B74" s="469" t="str">
        <f>+'B) D RI'!B75</f>
        <v>Bioley-Orjulaz</v>
      </c>
      <c r="C74" s="494">
        <v>386750.71469450428</v>
      </c>
      <c r="D74" s="304">
        <f>+'E) PCS'!G80</f>
        <v>423543.15812148224</v>
      </c>
      <c r="E74" s="309">
        <f t="shared" si="3"/>
        <v>36792.443426977959</v>
      </c>
      <c r="F74" s="496">
        <v>296204.59701711463</v>
      </c>
      <c r="G74" s="229">
        <f>+'H) Péréquation directe'!I84+'I) Dépenses thématiques'!T74+'J) Plafonnement effort'!J74+'K) Plafonnement aide'!J74+'L) Plafonnement taux'!Q75</f>
        <v>65580.167323805159</v>
      </c>
      <c r="H74" s="309">
        <f t="shared" si="4"/>
        <v>-230624.42969330947</v>
      </c>
      <c r="I74" s="494">
        <v>65580.019865924769</v>
      </c>
      <c r="J74" s="229">
        <f>+'M) Police'!N74</f>
        <v>68184.064356776129</v>
      </c>
      <c r="K74" s="309">
        <f t="shared" si="5"/>
        <v>2604.04449085136</v>
      </c>
    </row>
    <row r="75" spans="1:11" s="473" customFormat="1" ht="15" x14ac:dyDescent="0.25">
      <c r="A75" s="149">
        <f>+'B) D RI'!A76</f>
        <v>5514</v>
      </c>
      <c r="B75" s="469" t="str">
        <f>+'B) D RI'!B76</f>
        <v>Bottens</v>
      </c>
      <c r="C75" s="494">
        <v>689001.93126061256</v>
      </c>
      <c r="D75" s="304">
        <f>+'E) PCS'!G81</f>
        <v>619462.54483169364</v>
      </c>
      <c r="E75" s="309">
        <f t="shared" si="3"/>
        <v>-69539.386428918922</v>
      </c>
      <c r="F75" s="496">
        <v>161391.01097154082</v>
      </c>
      <c r="G75" s="229">
        <f>+'H) Péréquation directe'!I85+'I) Dépenses thématiques'!T75+'J) Plafonnement effort'!J75+'K) Plafonnement aide'!J75+'L) Plafonnement taux'!Q76</f>
        <v>83101.382929509738</v>
      </c>
      <c r="H75" s="309">
        <f t="shared" si="4"/>
        <v>-78289.62804203108</v>
      </c>
      <c r="I75" s="494">
        <v>127566.9606107439</v>
      </c>
      <c r="J75" s="229">
        <f>+'M) Police'!N75</f>
        <v>133198.20399195884</v>
      </c>
      <c r="K75" s="309">
        <f t="shared" si="5"/>
        <v>5631.2433812149393</v>
      </c>
    </row>
    <row r="76" spans="1:11" s="473" customFormat="1" ht="15" x14ac:dyDescent="0.25">
      <c r="A76" s="149">
        <f>+'B) D RI'!A77</f>
        <v>5515</v>
      </c>
      <c r="B76" s="469" t="str">
        <f>+'B) D RI'!B77</f>
        <v>Bretigny-sur-Morrens</v>
      </c>
      <c r="C76" s="494">
        <v>538037.52332478319</v>
      </c>
      <c r="D76" s="304">
        <f>+'E) PCS'!G82</f>
        <v>497065.51122504793</v>
      </c>
      <c r="E76" s="309">
        <f t="shared" si="3"/>
        <v>-40972.012099735264</v>
      </c>
      <c r="F76" s="496">
        <v>121374.91922148348</v>
      </c>
      <c r="G76" s="229">
        <f>+'H) Péréquation directe'!I86+'I) Dépenses thématiques'!T76+'J) Plafonnement effort'!J76+'K) Plafonnement aide'!J76+'L) Plafonnement taux'!Q77</f>
        <v>-38101.684947878821</v>
      </c>
      <c r="H76" s="309">
        <f t="shared" si="4"/>
        <v>-159476.60416936228</v>
      </c>
      <c r="I76" s="494">
        <v>90552.404434327749</v>
      </c>
      <c r="J76" s="229">
        <f>+'M) Police'!N76</f>
        <v>97611.926495901775</v>
      </c>
      <c r="K76" s="309">
        <f t="shared" si="5"/>
        <v>7059.5220615740254</v>
      </c>
    </row>
    <row r="77" spans="1:11" s="473" customFormat="1" ht="15" x14ac:dyDescent="0.25">
      <c r="A77" s="149">
        <f>+'B) D RI'!A78</f>
        <v>5516</v>
      </c>
      <c r="B77" s="469" t="str">
        <f>+'B) D RI'!B78</f>
        <v>Cugy</v>
      </c>
      <c r="C77" s="494">
        <v>1848301.0423102221</v>
      </c>
      <c r="D77" s="304">
        <f>+'E) PCS'!G83</f>
        <v>1678739.4484997785</v>
      </c>
      <c r="E77" s="309">
        <f t="shared" si="3"/>
        <v>-169561.59381044353</v>
      </c>
      <c r="F77" s="496">
        <v>842316.79754588264</v>
      </c>
      <c r="G77" s="229">
        <f>+'H) Péréquation directe'!I87+'I) Dépenses thématiques'!T77+'J) Plafonnement effort'!J77+'K) Plafonnement aide'!J77+'L) Plafonnement taux'!Q78</f>
        <v>585244.43773339468</v>
      </c>
      <c r="H77" s="309">
        <f t="shared" si="4"/>
        <v>-257072.35981248796</v>
      </c>
      <c r="I77" s="494">
        <v>348908.79146588023</v>
      </c>
      <c r="J77" s="229">
        <f>+'M) Police'!N77</f>
        <v>337675.39756850241</v>
      </c>
      <c r="K77" s="309">
        <f t="shared" si="5"/>
        <v>-11233.393897377828</v>
      </c>
    </row>
    <row r="78" spans="1:11" s="473" customFormat="1" ht="15" x14ac:dyDescent="0.25">
      <c r="A78" s="149">
        <f>+'B) D RI'!A79</f>
        <v>5518</v>
      </c>
      <c r="B78" s="469" t="str">
        <f>+'B) D RI'!B79</f>
        <v>Echallens</v>
      </c>
      <c r="C78" s="494">
        <v>3612461.9584235372</v>
      </c>
      <c r="D78" s="304">
        <f>+'E) PCS'!G84</f>
        <v>2775727.219276309</v>
      </c>
      <c r="E78" s="309">
        <f t="shared" si="3"/>
        <v>-836734.73914722819</v>
      </c>
      <c r="F78" s="496">
        <v>-1288107.0667827525</v>
      </c>
      <c r="G78" s="229">
        <f>+'H) Péréquation directe'!I88+'I) Dépenses thématiques'!T78+'J) Plafonnement effort'!J78+'K) Plafonnement aide'!J78+'L) Plafonnement taux'!Q79</f>
        <v>-2238187.2629655222</v>
      </c>
      <c r="H78" s="309">
        <f t="shared" si="4"/>
        <v>-950080.19618276972</v>
      </c>
      <c r="I78" s="494">
        <v>580356.89172089973</v>
      </c>
      <c r="J78" s="229">
        <f>+'M) Police'!N78</f>
        <v>547654.38671267522</v>
      </c>
      <c r="K78" s="309">
        <f t="shared" si="5"/>
        <v>-32702.505008224514</v>
      </c>
    </row>
    <row r="79" spans="1:11" s="473" customFormat="1" ht="15" x14ac:dyDescent="0.25">
      <c r="A79" s="149">
        <f>+'B) D RI'!A80</f>
        <v>5520</v>
      </c>
      <c r="B79" s="469" t="str">
        <f>+'B) D RI'!B80</f>
        <v>Essertines-sur-Yverdon</v>
      </c>
      <c r="C79" s="494">
        <v>520414.34192896698</v>
      </c>
      <c r="D79" s="304">
        <f>+'E) PCS'!G85</f>
        <v>444657.90930791647</v>
      </c>
      <c r="E79" s="309">
        <f t="shared" si="3"/>
        <v>-75756.43262105051</v>
      </c>
      <c r="F79" s="496">
        <v>6606.2919497941621</v>
      </c>
      <c r="G79" s="229">
        <f>+'H) Péréquation directe'!I89+'I) Dépenses thématiques'!T79+'J) Plafonnement effort'!J79+'K) Plafonnement aide'!J79+'L) Plafonnement taux'!Q80</f>
        <v>-194105.48068089917</v>
      </c>
      <c r="H79" s="309">
        <f t="shared" si="4"/>
        <v>-200711.77263069333</v>
      </c>
      <c r="I79" s="494">
        <v>92925.56341217288</v>
      </c>
      <c r="J79" s="229">
        <f>+'M) Police'!N79</f>
        <v>94918.308517753991</v>
      </c>
      <c r="K79" s="309">
        <f t="shared" si="5"/>
        <v>1992.7451055811107</v>
      </c>
    </row>
    <row r="80" spans="1:11" s="473" customFormat="1" ht="15" x14ac:dyDescent="0.25">
      <c r="A80" s="149">
        <f>+'B) D RI'!A81</f>
        <v>5521</v>
      </c>
      <c r="B80" s="469" t="str">
        <f>+'B) D RI'!B81</f>
        <v>Etagnières</v>
      </c>
      <c r="C80" s="494">
        <v>869264.90856611717</v>
      </c>
      <c r="D80" s="304">
        <f>+'E) PCS'!G86</f>
        <v>645460.35398194625</v>
      </c>
      <c r="E80" s="309">
        <f t="shared" si="3"/>
        <v>-223804.55458417092</v>
      </c>
      <c r="F80" s="496">
        <v>666892.24733166257</v>
      </c>
      <c r="G80" s="229">
        <f>+'H) Péréquation directe'!I90+'I) Dépenses thématiques'!T80+'J) Plafonnement effort'!J80+'K) Plafonnement aide'!J80+'L) Plafonnement taux'!Q81</f>
        <v>247387.95396526935</v>
      </c>
      <c r="H80" s="309">
        <f t="shared" si="4"/>
        <v>-419504.29336639319</v>
      </c>
      <c r="I80" s="494">
        <v>150743.31274988834</v>
      </c>
      <c r="J80" s="229">
        <f>+'M) Police'!N80</f>
        <v>127403.4619247095</v>
      </c>
      <c r="K80" s="309">
        <f t="shared" si="5"/>
        <v>-23339.850825178844</v>
      </c>
    </row>
    <row r="81" spans="1:11" s="473" customFormat="1" ht="15" x14ac:dyDescent="0.25">
      <c r="A81" s="149">
        <f>+'B) D RI'!A82</f>
        <v>5522</v>
      </c>
      <c r="B81" s="469" t="str">
        <f>+'B) D RI'!B82</f>
        <v>Fey</v>
      </c>
      <c r="C81" s="494">
        <v>399663.23086185777</v>
      </c>
      <c r="D81" s="304">
        <f>+'E) PCS'!G87</f>
        <v>334121.41391515185</v>
      </c>
      <c r="E81" s="309">
        <f t="shared" si="3"/>
        <v>-65541.81694670592</v>
      </c>
      <c r="F81" s="496">
        <v>71463.740463334791</v>
      </c>
      <c r="G81" s="229">
        <f>+'H) Péréquation directe'!I91+'I) Dépenses thématiques'!T81+'J) Plafonnement effort'!J81+'K) Plafonnement aide'!J81+'L) Plafonnement taux'!Q82</f>
        <v>35308.502081782768</v>
      </c>
      <c r="H81" s="309">
        <f t="shared" si="4"/>
        <v>-36155.238381552022</v>
      </c>
      <c r="I81" s="494">
        <v>70860.736406921264</v>
      </c>
      <c r="J81" s="229">
        <f>+'M) Police'!N81</f>
        <v>71866.693246096329</v>
      </c>
      <c r="K81" s="309">
        <f t="shared" si="5"/>
        <v>1005.9568391750654</v>
      </c>
    </row>
    <row r="82" spans="1:11" s="473" customFormat="1" ht="15" x14ac:dyDescent="0.25">
      <c r="A82" s="149">
        <f>+'B) D RI'!A83</f>
        <v>5523</v>
      </c>
      <c r="B82" s="469" t="str">
        <f>+'B) D RI'!B83</f>
        <v>Froideville</v>
      </c>
      <c r="C82" s="494">
        <v>1491572.8523105411</v>
      </c>
      <c r="D82" s="304">
        <f>+'E) PCS'!G88</f>
        <v>1648647.7775752372</v>
      </c>
      <c r="E82" s="309">
        <f t="shared" si="3"/>
        <v>157074.92526469612</v>
      </c>
      <c r="F82" s="496">
        <v>261393.70451143733</v>
      </c>
      <c r="G82" s="229">
        <f>+'H) Péréquation directe'!I92+'I) Dépenses thématiques'!T82+'J) Plafonnement effort'!J82+'K) Plafonnement aide'!J82+'L) Plafonnement taux'!Q83</f>
        <v>131930.8785170413</v>
      </c>
      <c r="H82" s="309">
        <f t="shared" si="4"/>
        <v>-129462.82599439603</v>
      </c>
      <c r="I82" s="494">
        <v>278752.44297858595</v>
      </c>
      <c r="J82" s="229">
        <f>+'M) Police'!N82</f>
        <v>281041.09646999539</v>
      </c>
      <c r="K82" s="309">
        <f t="shared" si="5"/>
        <v>2288.6534914094373</v>
      </c>
    </row>
    <row r="83" spans="1:11" s="473" customFormat="1" ht="15" x14ac:dyDescent="0.25">
      <c r="A83" s="149">
        <f>+'B) D RI'!A84</f>
        <v>5527</v>
      </c>
      <c r="B83" s="469" t="str">
        <f>+'B) D RI'!B84</f>
        <v>Morrens</v>
      </c>
      <c r="C83" s="494">
        <v>734481.18449082971</v>
      </c>
      <c r="D83" s="304">
        <f>+'E) PCS'!G89</f>
        <v>612288.12993679277</v>
      </c>
      <c r="E83" s="309">
        <f t="shared" si="3"/>
        <v>-122193.05455403693</v>
      </c>
      <c r="F83" s="496">
        <v>367543.04819354322</v>
      </c>
      <c r="G83" s="229">
        <f>+'H) Péréquation directe'!I93+'I) Dépenses thématiques'!T83+'J) Plafonnement effort'!J83+'K) Plafonnement aide'!J83+'L) Plafonnement taux'!Q84</f>
        <v>166228.18499531806</v>
      </c>
      <c r="H83" s="309">
        <f t="shared" si="4"/>
        <v>-201314.86319822515</v>
      </c>
      <c r="I83" s="494">
        <v>125678.53171108066</v>
      </c>
      <c r="J83" s="229">
        <f>+'M) Police'!N83</f>
        <v>118058.76487179483</v>
      </c>
      <c r="K83" s="309">
        <f t="shared" si="5"/>
        <v>-7619.7668392858322</v>
      </c>
    </row>
    <row r="84" spans="1:11" s="473" customFormat="1" ht="15" x14ac:dyDescent="0.25">
      <c r="A84" s="149">
        <f>+'B) D RI'!A85</f>
        <v>5529</v>
      </c>
      <c r="B84" s="469" t="str">
        <f>+'B) D RI'!B85</f>
        <v>Oulens-sous-Echallens</v>
      </c>
      <c r="C84" s="494">
        <v>370589.39739383408</v>
      </c>
      <c r="D84" s="304">
        <f>+'E) PCS'!G90</f>
        <v>401023.42012910463</v>
      </c>
      <c r="E84" s="309">
        <f t="shared" si="3"/>
        <v>30434.022735270555</v>
      </c>
      <c r="F84" s="496">
        <v>161700.39712557342</v>
      </c>
      <c r="G84" s="229">
        <f>+'H) Péréquation directe'!I94+'I) Dépenses thématiques'!T84+'J) Plafonnement effort'!J84+'K) Plafonnement aide'!J84+'L) Plafonnement taux'!Q85</f>
        <v>7570.0980503098108</v>
      </c>
      <c r="H84" s="309">
        <f t="shared" si="4"/>
        <v>-154130.29907526361</v>
      </c>
      <c r="I84" s="494">
        <v>67496.741463785613</v>
      </c>
      <c r="J84" s="229">
        <f>+'M) Police'!N84</f>
        <v>63305.500627875183</v>
      </c>
      <c r="K84" s="309">
        <f t="shared" si="5"/>
        <v>-4191.2408359104302</v>
      </c>
    </row>
    <row r="85" spans="1:11" s="473" customFormat="1" ht="15" x14ac:dyDescent="0.25">
      <c r="A85" s="149">
        <f>+'B) D RI'!A86</f>
        <v>5530</v>
      </c>
      <c r="B85" s="469" t="str">
        <f>+'B) D RI'!B86</f>
        <v>Pailly</v>
      </c>
      <c r="C85" s="494">
        <v>322844.82619769458</v>
      </c>
      <c r="D85" s="304">
        <f>+'E) PCS'!G91</f>
        <v>297587.06344739161</v>
      </c>
      <c r="E85" s="309">
        <f t="shared" si="3"/>
        <v>-25257.762750302965</v>
      </c>
      <c r="F85" s="496">
        <v>-279780.70159192238</v>
      </c>
      <c r="G85" s="229">
        <f>+'H) Péréquation directe'!I95+'I) Dépenses thématiques'!T85+'J) Plafonnement effort'!J85+'K) Plafonnement aide'!J85+'L) Plafonnement taux'!Q86</f>
        <v>-699993.90597571724</v>
      </c>
      <c r="H85" s="309">
        <f t="shared" si="4"/>
        <v>-420213.20438379486</v>
      </c>
      <c r="I85" s="494">
        <v>55187.90428713859</v>
      </c>
      <c r="J85" s="229">
        <f>+'M) Police'!N85</f>
        <v>58239.209739864542</v>
      </c>
      <c r="K85" s="309">
        <f t="shared" si="5"/>
        <v>3051.3054527259519</v>
      </c>
    </row>
    <row r="86" spans="1:11" s="473" customFormat="1" ht="15" x14ac:dyDescent="0.25">
      <c r="A86" s="149">
        <f>+'B) D RI'!A87</f>
        <v>5531</v>
      </c>
      <c r="B86" s="469" t="str">
        <f>+'B) D RI'!B87</f>
        <v>Penthéréaz</v>
      </c>
      <c r="C86" s="494">
        <v>231695.31975445751</v>
      </c>
      <c r="D86" s="304">
        <f>+'E) PCS'!G92</f>
        <v>236383.35373143133</v>
      </c>
      <c r="E86" s="309">
        <f t="shared" si="3"/>
        <v>4688.0339769738202</v>
      </c>
      <c r="F86" s="496">
        <v>58257.98375540632</v>
      </c>
      <c r="G86" s="229">
        <f>+'H) Péréquation directe'!I96+'I) Dépenses thématiques'!T86+'J) Plafonnement effort'!J86+'K) Plafonnement aide'!J86+'L) Plafonnement taux'!Q87</f>
        <v>-96.798548354941886</v>
      </c>
      <c r="H86" s="309">
        <f t="shared" si="4"/>
        <v>-58354.782303761262</v>
      </c>
      <c r="I86" s="494">
        <v>46125.948754935511</v>
      </c>
      <c r="J86" s="229">
        <f>+'M) Police'!N86</f>
        <v>43043.944840336408</v>
      </c>
      <c r="K86" s="309">
        <f t="shared" si="5"/>
        <v>-3082.0039145991032</v>
      </c>
    </row>
    <row r="87" spans="1:11" s="473" customFormat="1" ht="15" x14ac:dyDescent="0.25">
      <c r="A87" s="149">
        <f>+'B) D RI'!A88</f>
        <v>5533</v>
      </c>
      <c r="B87" s="469" t="str">
        <f>+'B) D RI'!B88</f>
        <v>Poliez-Pittet</v>
      </c>
      <c r="C87" s="494">
        <v>416696.47629704664</v>
      </c>
      <c r="D87" s="304">
        <f>+'E) PCS'!G93</f>
        <v>351783.6571121068</v>
      </c>
      <c r="E87" s="309">
        <f t="shared" si="3"/>
        <v>-64912.819184939843</v>
      </c>
      <c r="F87" s="496">
        <v>-67067.397422209382</v>
      </c>
      <c r="G87" s="229">
        <f>+'H) Péréquation directe'!I97+'I) Dépenses thématiques'!T87+'J) Plafonnement effort'!J87+'K) Plafonnement aide'!J87+'L) Plafonnement taux'!Q88</f>
        <v>63567.193691494744</v>
      </c>
      <c r="H87" s="309">
        <f t="shared" si="4"/>
        <v>130634.59111370413</v>
      </c>
      <c r="I87" s="494">
        <v>70165.596697510729</v>
      </c>
      <c r="J87" s="229">
        <f>+'M) Police'!N87</f>
        <v>82861.271689595509</v>
      </c>
      <c r="K87" s="309">
        <f t="shared" si="5"/>
        <v>12695.67499208478</v>
      </c>
    </row>
    <row r="88" spans="1:11" s="473" customFormat="1" ht="15" x14ac:dyDescent="0.25">
      <c r="A88" s="149">
        <f>+'B) D RI'!A89</f>
        <v>5534</v>
      </c>
      <c r="B88" s="469" t="str">
        <f>+'B) D RI'!B89</f>
        <v>Rueyres</v>
      </c>
      <c r="C88" s="494">
        <v>183941.48778114794</v>
      </c>
      <c r="D88" s="304">
        <f>+'E) PCS'!G94</f>
        <v>221032.68501983309</v>
      </c>
      <c r="E88" s="309">
        <f t="shared" si="3"/>
        <v>37091.197238685156</v>
      </c>
      <c r="F88" s="496">
        <v>129574.77082196854</v>
      </c>
      <c r="G88" s="229">
        <f>+'H) Péréquation directe'!I98+'I) Dépenses thématiques'!T88+'J) Plafonnement effort'!J88+'K) Plafonnement aide'!J88+'L) Plafonnement taux'!Q89</f>
        <v>168729.37492360538</v>
      </c>
      <c r="H88" s="309">
        <f t="shared" si="4"/>
        <v>39154.60410163684</v>
      </c>
      <c r="I88" s="494">
        <v>31839.252215101391</v>
      </c>
      <c r="J88" s="229">
        <f>+'M) Police'!N88</f>
        <v>39307.793721456095</v>
      </c>
      <c r="K88" s="309">
        <f t="shared" si="5"/>
        <v>7468.5415063547043</v>
      </c>
    </row>
    <row r="89" spans="1:11" s="473" customFormat="1" ht="15" x14ac:dyDescent="0.25">
      <c r="A89" s="149">
        <f>+'B) D RI'!A90</f>
        <v>5535</v>
      </c>
      <c r="B89" s="469" t="str">
        <f>+'B) D RI'!B90</f>
        <v>Saint-Barthélemy</v>
      </c>
      <c r="C89" s="494">
        <v>392521.81592681445</v>
      </c>
      <c r="D89" s="304">
        <f>+'E) PCS'!G95</f>
        <v>367171.12527827022</v>
      </c>
      <c r="E89" s="309">
        <f t="shared" si="3"/>
        <v>-25350.69064854423</v>
      </c>
      <c r="F89" s="496">
        <v>-2891.5463040154573</v>
      </c>
      <c r="G89" s="229">
        <f>+'H) Péréquation directe'!I99+'I) Dépenses thématiques'!T89+'J) Plafonnement effort'!J89+'K) Plafonnement aide'!J89+'L) Plafonnement taux'!Q90</f>
        <v>11180.119764722585</v>
      </c>
      <c r="H89" s="309">
        <f t="shared" si="4"/>
        <v>14071.666068738043</v>
      </c>
      <c r="I89" s="494">
        <v>69882.497904955206</v>
      </c>
      <c r="J89" s="229">
        <f>+'M) Police'!N89</f>
        <v>75486.345767479477</v>
      </c>
      <c r="K89" s="309">
        <f t="shared" si="5"/>
        <v>5603.8478625242715</v>
      </c>
    </row>
    <row r="90" spans="1:11" s="473" customFormat="1" ht="15" x14ac:dyDescent="0.25">
      <c r="A90" s="149">
        <f>+'B) D RI'!A91</f>
        <v>5537</v>
      </c>
      <c r="B90" s="469" t="str">
        <f>+'B) D RI'!B91</f>
        <v>Villars-le-Terroir</v>
      </c>
      <c r="C90" s="494">
        <v>603358.52293535927</v>
      </c>
      <c r="D90" s="304">
        <f>+'E) PCS'!G96</f>
        <v>580916.54478921904</v>
      </c>
      <c r="E90" s="309">
        <f t="shared" si="3"/>
        <v>-22441.978146140231</v>
      </c>
      <c r="F90" s="496">
        <v>50323.162744632995</v>
      </c>
      <c r="G90" s="229">
        <f>+'H) Péréquation directe'!I100+'I) Dépenses thématiques'!T90+'J) Plafonnement effort'!J90+'K) Plafonnement aide'!J90+'L) Plafonnement taux'!Q91</f>
        <v>46784.914171458877</v>
      </c>
      <c r="H90" s="309">
        <f t="shared" si="4"/>
        <v>-3538.2485731741181</v>
      </c>
      <c r="I90" s="494">
        <v>112805.84704384916</v>
      </c>
      <c r="J90" s="229">
        <f>+'M) Police'!N90</f>
        <v>129365.65361867144</v>
      </c>
      <c r="K90" s="309">
        <f t="shared" si="5"/>
        <v>16559.806574822273</v>
      </c>
    </row>
    <row r="91" spans="1:11" s="473" customFormat="1" ht="15" x14ac:dyDescent="0.25">
      <c r="A91" s="149">
        <f>+'B) D RI'!A92</f>
        <v>5539</v>
      </c>
      <c r="B91" s="469" t="str">
        <f>+'B) D RI'!B92</f>
        <v>Vuarrens</v>
      </c>
      <c r="C91" s="494">
        <v>563357.84614285314</v>
      </c>
      <c r="D91" s="304">
        <f>+'E) PCS'!G97</f>
        <v>546825.64565764484</v>
      </c>
      <c r="E91" s="309">
        <f t="shared" si="3"/>
        <v>-16532.200485208305</v>
      </c>
      <c r="F91" s="496">
        <v>12654.051726541195</v>
      </c>
      <c r="G91" s="229">
        <f>+'H) Péréquation directe'!I101+'I) Dépenses thématiques'!T91+'J) Plafonnement effort'!J91+'K) Plafonnement aide'!J91+'L) Plafonnement taux'!Q92</f>
        <v>51927.006770532389</v>
      </c>
      <c r="H91" s="309">
        <f t="shared" si="4"/>
        <v>39272.955043991198</v>
      </c>
      <c r="I91" s="494">
        <v>93669.607743119326</v>
      </c>
      <c r="J91" s="229">
        <f>+'M) Police'!N91</f>
        <v>104076.59324398078</v>
      </c>
      <c r="K91" s="309">
        <f t="shared" si="5"/>
        <v>10406.985500861454</v>
      </c>
    </row>
    <row r="92" spans="1:11" s="473" customFormat="1" ht="15" x14ac:dyDescent="0.25">
      <c r="A92" s="149">
        <f>+'B) D RI'!A93</f>
        <v>5540</v>
      </c>
      <c r="B92" s="469" t="str">
        <f>+'B) D RI'!B93</f>
        <v>Montilliez</v>
      </c>
      <c r="C92" s="494">
        <v>1070001.9036690088</v>
      </c>
      <c r="D92" s="304">
        <f>+'E) PCS'!G98</f>
        <v>920985.30784286663</v>
      </c>
      <c r="E92" s="309">
        <f t="shared" si="3"/>
        <v>-149016.59582614212</v>
      </c>
      <c r="F92" s="496">
        <v>160348.33567751624</v>
      </c>
      <c r="G92" s="229">
        <f>+'H) Péréquation directe'!I102+'I) Dépenses thématiques'!T92+'J) Plafonnement effort'!J92+'K) Plafonnement aide'!J92+'L) Plafonnement taux'!Q93</f>
        <v>47417.400016076193</v>
      </c>
      <c r="H92" s="309">
        <f t="shared" si="4"/>
        <v>-112930.93566144005</v>
      </c>
      <c r="I92" s="494">
        <v>203096.10519111314</v>
      </c>
      <c r="J92" s="229">
        <f>+'M) Police'!N92</f>
        <v>190586.06138357054</v>
      </c>
      <c r="K92" s="309">
        <f t="shared" si="5"/>
        <v>-12510.043807542592</v>
      </c>
    </row>
    <row r="93" spans="1:11" s="473" customFormat="1" ht="15" x14ac:dyDescent="0.25">
      <c r="A93" s="149">
        <f>+'B) D RI'!A94</f>
        <v>5541</v>
      </c>
      <c r="B93" s="469" t="str">
        <f>+'B) D RI'!B94</f>
        <v>Goumoëns</v>
      </c>
      <c r="C93" s="494">
        <v>680314.53119509318</v>
      </c>
      <c r="D93" s="304">
        <f>+'E) PCS'!G99</f>
        <v>582556.53149513225</v>
      </c>
      <c r="E93" s="309">
        <f t="shared" si="3"/>
        <v>-97757.999699960928</v>
      </c>
      <c r="F93" s="496">
        <v>200195.2311608725</v>
      </c>
      <c r="G93" s="229">
        <f>+'H) Péréquation directe'!I103+'I) Dépenses thématiques'!T93+'J) Plafonnement effort'!J93+'K) Plafonnement aide'!J93+'L) Plafonnement taux'!Q94</f>
        <v>213042.49651520792</v>
      </c>
      <c r="H93" s="309">
        <f t="shared" si="4"/>
        <v>12847.265354335424</v>
      </c>
      <c r="I93" s="494">
        <v>117070.82481553093</v>
      </c>
      <c r="J93" s="229">
        <f>+'M) Police'!N93</f>
        <v>124932.9556081887</v>
      </c>
      <c r="K93" s="309">
        <f t="shared" si="5"/>
        <v>7862.130792657772</v>
      </c>
    </row>
    <row r="94" spans="1:11" s="473" customFormat="1" ht="15" x14ac:dyDescent="0.25">
      <c r="A94" s="149">
        <f>+'B) D RI'!A95</f>
        <v>5551</v>
      </c>
      <c r="B94" s="469" t="str">
        <f>+'B) D RI'!B95</f>
        <v>Bonvillars</v>
      </c>
      <c r="C94" s="494">
        <v>292351.03545096633</v>
      </c>
      <c r="D94" s="304">
        <f>+'E) PCS'!G100</f>
        <v>282770.83116460824</v>
      </c>
      <c r="E94" s="309">
        <f t="shared" si="3"/>
        <v>-9580.2042863580864</v>
      </c>
      <c r="F94" s="496">
        <v>156356.3626028852</v>
      </c>
      <c r="G94" s="229">
        <f>+'H) Péréquation directe'!I104+'I) Dépenses thématiques'!T94+'J) Plafonnement effort'!J94+'K) Plafonnement aide'!J94+'L) Plafonnement taux'!Q95</f>
        <v>108789.56254611113</v>
      </c>
      <c r="H94" s="309">
        <f t="shared" si="4"/>
        <v>-47566.800056774067</v>
      </c>
      <c r="I94" s="494">
        <v>55658.064174805855</v>
      </c>
      <c r="J94" s="229">
        <f>+'M) Police'!N94</f>
        <v>54678.619825882415</v>
      </c>
      <c r="K94" s="309">
        <f t="shared" si="5"/>
        <v>-979.44434892343997</v>
      </c>
    </row>
    <row r="95" spans="1:11" s="473" customFormat="1" ht="15" x14ac:dyDescent="0.25">
      <c r="A95" s="149">
        <f>+'B) D RI'!A96</f>
        <v>5552</v>
      </c>
      <c r="B95" s="469" t="str">
        <f>+'B) D RI'!B96</f>
        <v>Bullet</v>
      </c>
      <c r="C95" s="494">
        <v>348241.21703164652</v>
      </c>
      <c r="D95" s="304">
        <f>+'E) PCS'!G101</f>
        <v>440002.85232933227</v>
      </c>
      <c r="E95" s="309">
        <f t="shared" si="3"/>
        <v>91761.635297685745</v>
      </c>
      <c r="F95" s="496">
        <v>-175568.86086192488</v>
      </c>
      <c r="G95" s="229">
        <f>+'H) Péréquation directe'!I105+'I) Dépenses thématiques'!T95+'J) Plafonnement effort'!J95+'K) Plafonnement aide'!J95+'L) Plafonnement taux'!Q96</f>
        <v>-172437.06191619436</v>
      </c>
      <c r="H95" s="309">
        <f t="shared" si="4"/>
        <v>3131.798945730523</v>
      </c>
      <c r="I95" s="494">
        <v>57045.879720680561</v>
      </c>
      <c r="J95" s="229">
        <f>+'M) Police'!N95</f>
        <v>58336.389423588465</v>
      </c>
      <c r="K95" s="309">
        <f t="shared" si="5"/>
        <v>1290.5097029079043</v>
      </c>
    </row>
    <row r="96" spans="1:11" s="473" customFormat="1" ht="15" x14ac:dyDescent="0.25">
      <c r="A96" s="149">
        <f>+'B) D RI'!A97</f>
        <v>5553</v>
      </c>
      <c r="B96" s="469" t="str">
        <f>+'B) D RI'!B97</f>
        <v>Champagne</v>
      </c>
      <c r="C96" s="494">
        <v>687942.51519072067</v>
      </c>
      <c r="D96" s="304">
        <f>+'E) PCS'!G102</f>
        <v>612527.35888063419</v>
      </c>
      <c r="E96" s="309">
        <f t="shared" si="3"/>
        <v>-75415.156310086488</v>
      </c>
      <c r="F96" s="496">
        <v>238472.57135754652</v>
      </c>
      <c r="G96" s="229">
        <f>+'H) Péréquation directe'!I106+'I) Dépenses thématiques'!T96+'J) Plafonnement effort'!J96+'K) Plafonnement aide'!J96+'L) Plafonnement taux'!Q97</f>
        <v>145318.30987742994</v>
      </c>
      <c r="H96" s="309">
        <f t="shared" si="4"/>
        <v>-93154.261480116576</v>
      </c>
      <c r="I96" s="494">
        <v>116043.16806188499</v>
      </c>
      <c r="J96" s="229">
        <f>+'M) Police'!N96</f>
        <v>119190.11528799147</v>
      </c>
      <c r="K96" s="309">
        <f t="shared" si="5"/>
        <v>3146.9472261064802</v>
      </c>
    </row>
    <row r="97" spans="1:11" s="473" customFormat="1" ht="15" x14ac:dyDescent="0.25">
      <c r="A97" s="149">
        <f>+'B) D RI'!A98</f>
        <v>5554</v>
      </c>
      <c r="B97" s="469" t="str">
        <f>+'B) D RI'!B98</f>
        <v>Concise</v>
      </c>
      <c r="C97" s="494">
        <v>695451.36943692435</v>
      </c>
      <c r="D97" s="304">
        <f>+'E) PCS'!G103</f>
        <v>1059579.0887571147</v>
      </c>
      <c r="E97" s="309">
        <f t="shared" si="3"/>
        <v>364127.71932019037</v>
      </c>
      <c r="F97" s="496">
        <v>63992.19017802141</v>
      </c>
      <c r="G97" s="229">
        <f>+'H) Péréquation directe'!I107+'I) Dépenses thématiques'!T97+'J) Plafonnement effort'!J97+'K) Plafonnement aide'!J97+'L) Plafonnement taux'!Q98</f>
        <v>-166935.86480947174</v>
      </c>
      <c r="H97" s="309">
        <f t="shared" si="4"/>
        <v>-230928.05498749315</v>
      </c>
      <c r="I97" s="494">
        <v>104630.11765110394</v>
      </c>
      <c r="J97" s="229">
        <f>+'M) Police'!N97</f>
        <v>94822.533772691153</v>
      </c>
      <c r="K97" s="309">
        <f t="shared" si="5"/>
        <v>-9807.5838784127845</v>
      </c>
    </row>
    <row r="98" spans="1:11" s="473" customFormat="1" ht="15" x14ac:dyDescent="0.25">
      <c r="A98" s="149">
        <f>+'B) D RI'!A99</f>
        <v>5555</v>
      </c>
      <c r="B98" s="469" t="str">
        <f>+'B) D RI'!B99</f>
        <v>Corcelles-près-Concise</v>
      </c>
      <c r="C98" s="494">
        <v>253602.35617999925</v>
      </c>
      <c r="D98" s="304">
        <f>+'E) PCS'!G104</f>
        <v>222063.37021670252</v>
      </c>
      <c r="E98" s="309">
        <f t="shared" si="3"/>
        <v>-31538.985963296727</v>
      </c>
      <c r="F98" s="496">
        <v>9729.7653482027818</v>
      </c>
      <c r="G98" s="229">
        <f>+'H) Péréquation directe'!I108+'I) Dépenses thématiques'!T98+'J) Plafonnement effort'!J98+'K) Plafonnement aide'!J98+'L) Plafonnement taux'!Q99</f>
        <v>-121522.58544329408</v>
      </c>
      <c r="H98" s="309">
        <f t="shared" si="4"/>
        <v>-131252.35079149686</v>
      </c>
      <c r="I98" s="494">
        <v>41844.658769863352</v>
      </c>
      <c r="J98" s="229">
        <f>+'M) Police'!N98</f>
        <v>41237.046306952987</v>
      </c>
      <c r="K98" s="309">
        <f t="shared" si="5"/>
        <v>-607.61246291036514</v>
      </c>
    </row>
    <row r="99" spans="1:11" s="473" customFormat="1" ht="15" x14ac:dyDescent="0.25">
      <c r="A99" s="149">
        <f>+'B) D RI'!A100</f>
        <v>5556</v>
      </c>
      <c r="B99" s="469" t="str">
        <f>+'B) D RI'!B100</f>
        <v>Fiez</v>
      </c>
      <c r="C99" s="494">
        <v>214904.53217573345</v>
      </c>
      <c r="D99" s="304">
        <f>+'E) PCS'!G105</f>
        <v>206714.47620805746</v>
      </c>
      <c r="E99" s="309">
        <f t="shared" si="3"/>
        <v>-8190.0559676759876</v>
      </c>
      <c r="F99" s="496">
        <v>-67883.949824189564</v>
      </c>
      <c r="G99" s="229">
        <f>+'H) Péréquation directe'!I109+'I) Dépenses thématiques'!T99+'J) Plafonnement effort'!J99+'K) Plafonnement aide'!J99+'L) Plafonnement taux'!Q100</f>
        <v>13933.021670210437</v>
      </c>
      <c r="H99" s="309">
        <f t="shared" si="4"/>
        <v>81816.971494400001</v>
      </c>
      <c r="I99" s="494">
        <v>40795.565803375153</v>
      </c>
      <c r="J99" s="229">
        <f>+'M) Police'!N99</f>
        <v>43920.965775330049</v>
      </c>
      <c r="K99" s="309">
        <f t="shared" si="5"/>
        <v>3125.3999719548956</v>
      </c>
    </row>
    <row r="100" spans="1:11" s="473" customFormat="1" ht="15" x14ac:dyDescent="0.25">
      <c r="A100" s="149">
        <f>+'B) D RI'!A101</f>
        <v>5557</v>
      </c>
      <c r="B100" s="469" t="str">
        <f>+'B) D RI'!B101</f>
        <v>Fontaines-sur-Grandson</v>
      </c>
      <c r="C100" s="494">
        <v>102280.70490223638</v>
      </c>
      <c r="D100" s="304">
        <f>+'E) PCS'!G106</f>
        <v>58255.952124305972</v>
      </c>
      <c r="E100" s="309">
        <f t="shared" si="3"/>
        <v>-44024.752777930407</v>
      </c>
      <c r="F100" s="496">
        <v>3269.6615135820175</v>
      </c>
      <c r="G100" s="229">
        <f>+'H) Péréquation directe'!I110+'I) Dépenses thématiques'!T100+'J) Plafonnement effort'!J100+'K) Plafonnement aide'!J100+'L) Plafonnement taux'!Q101</f>
        <v>-104014.97591930395</v>
      </c>
      <c r="H100" s="309">
        <f t="shared" si="4"/>
        <v>-107284.63743288597</v>
      </c>
      <c r="I100" s="494">
        <v>20338.832818901566</v>
      </c>
      <c r="J100" s="229">
        <f>+'M) Police'!N100</f>
        <v>12359.212678582888</v>
      </c>
      <c r="K100" s="309">
        <f t="shared" si="5"/>
        <v>-7979.6201403186788</v>
      </c>
    </row>
    <row r="101" spans="1:11" s="473" customFormat="1" ht="15" x14ac:dyDescent="0.25">
      <c r="A101" s="149">
        <f>+'B) D RI'!A102</f>
        <v>5559</v>
      </c>
      <c r="B101" s="469" t="str">
        <f>+'B) D RI'!B102</f>
        <v>Giez</v>
      </c>
      <c r="C101" s="494">
        <v>386852.95938721136</v>
      </c>
      <c r="D101" s="304">
        <f>+'E) PCS'!G107</f>
        <v>406669.9111783345</v>
      </c>
      <c r="E101" s="309">
        <f t="shared" si="3"/>
        <v>19816.951791123138</v>
      </c>
      <c r="F101" s="496">
        <v>359225.83488842606</v>
      </c>
      <c r="G101" s="229">
        <f>+'H) Péréquation directe'!I111+'I) Dépenses thématiques'!T101+'J) Plafonnement effort'!J101+'K) Plafonnement aide'!J101+'L) Plafonnement taux'!Q102</f>
        <v>381934.93245844357</v>
      </c>
      <c r="H101" s="309">
        <f t="shared" si="4"/>
        <v>22709.097570017504</v>
      </c>
      <c r="I101" s="494">
        <v>62142.771880251501</v>
      </c>
      <c r="J101" s="229">
        <f>+'M) Police'!N101</f>
        <v>66988.180011261691</v>
      </c>
      <c r="K101" s="309">
        <f t="shared" si="5"/>
        <v>4845.4081310101901</v>
      </c>
    </row>
    <row r="102" spans="1:11" s="473" customFormat="1" ht="15" x14ac:dyDescent="0.25">
      <c r="A102" s="149">
        <f>+'B) D RI'!A103</f>
        <v>5560</v>
      </c>
      <c r="B102" s="469" t="str">
        <f>+'B) D RI'!B103</f>
        <v>Grandevent</v>
      </c>
      <c r="C102" s="494">
        <v>127894.05689598151</v>
      </c>
      <c r="D102" s="304">
        <f>+'E) PCS'!G108</f>
        <v>129277.09184766041</v>
      </c>
      <c r="E102" s="309">
        <f t="shared" si="3"/>
        <v>1383.0349516788992</v>
      </c>
      <c r="F102" s="496">
        <v>56977.338324379845</v>
      </c>
      <c r="G102" s="229">
        <f>+'H) Péréquation directe'!I112+'I) Dépenses thématiques'!T102+'J) Plafonnement effort'!J102+'K) Plafonnement aide'!J102+'L) Plafonnement taux'!Q103</f>
        <v>2413.1057863900387</v>
      </c>
      <c r="H102" s="309">
        <f t="shared" si="4"/>
        <v>-54564.23253798981</v>
      </c>
      <c r="I102" s="494">
        <v>23121.896432300968</v>
      </c>
      <c r="J102" s="229">
        <f>+'M) Police'!N102</f>
        <v>20919.293010977977</v>
      </c>
      <c r="K102" s="309">
        <f t="shared" si="5"/>
        <v>-2202.6034213229905</v>
      </c>
    </row>
    <row r="103" spans="1:11" s="473" customFormat="1" ht="15" x14ac:dyDescent="0.25">
      <c r="A103" s="149">
        <f>+'B) D RI'!A104</f>
        <v>5561</v>
      </c>
      <c r="B103" s="469" t="str">
        <f>+'B) D RI'!B104</f>
        <v>Grandson</v>
      </c>
      <c r="C103" s="494">
        <v>3055056.4575302796</v>
      </c>
      <c r="D103" s="304">
        <f>+'E) PCS'!G109</f>
        <v>2034520.712566701</v>
      </c>
      <c r="E103" s="309">
        <f t="shared" si="3"/>
        <v>-1020535.7449635786</v>
      </c>
      <c r="F103" s="496">
        <v>-563970.82439840818</v>
      </c>
      <c r="G103" s="229">
        <f>+'H) Péréquation directe'!I113+'I) Dépenses thématiques'!T103+'J) Plafonnement effort'!J103+'K) Plafonnement aide'!J103+'L) Plafonnement taux'!Q104</f>
        <v>-802900.91243634</v>
      </c>
      <c r="H103" s="309">
        <f t="shared" si="4"/>
        <v>-238930.08803793183</v>
      </c>
      <c r="I103" s="494">
        <v>354100.98692301032</v>
      </c>
      <c r="J103" s="229">
        <f>+'M) Police'!N103</f>
        <v>343149.38802461867</v>
      </c>
      <c r="K103" s="309">
        <f t="shared" si="5"/>
        <v>-10951.598898391647</v>
      </c>
    </row>
    <row r="104" spans="1:11" s="473" customFormat="1" ht="15" x14ac:dyDescent="0.25">
      <c r="A104" s="149">
        <f>+'B) D RI'!A105</f>
        <v>5562</v>
      </c>
      <c r="B104" s="469" t="str">
        <f>+'B) D RI'!B105</f>
        <v>Mauborget</v>
      </c>
      <c r="C104" s="494">
        <v>125660.23414561417</v>
      </c>
      <c r="D104" s="304">
        <f>+'E) PCS'!G110</f>
        <v>96405.987937777929</v>
      </c>
      <c r="E104" s="309">
        <f t="shared" si="3"/>
        <v>-29254.246207836244</v>
      </c>
      <c r="F104" s="496">
        <v>91036.064926291467</v>
      </c>
      <c r="G104" s="229">
        <f>+'H) Péréquation directe'!I114+'I) Dépenses thématiques'!T104+'J) Plafonnement effort'!J104+'K) Plafonnement aide'!J104+'L) Plafonnement taux'!Q105</f>
        <v>78988.748000033243</v>
      </c>
      <c r="H104" s="309">
        <f t="shared" si="4"/>
        <v>-12047.316926258223</v>
      </c>
      <c r="I104" s="494">
        <v>17093.831306198321</v>
      </c>
      <c r="J104" s="229">
        <f>+'M) Police'!N104</f>
        <v>18377.342314726237</v>
      </c>
      <c r="K104" s="309">
        <f t="shared" si="5"/>
        <v>1283.5110085279157</v>
      </c>
    </row>
    <row r="105" spans="1:11" s="473" customFormat="1" ht="15" x14ac:dyDescent="0.25">
      <c r="A105" s="149">
        <f>+'B) D RI'!A106</f>
        <v>5563</v>
      </c>
      <c r="B105" s="469" t="str">
        <f>+'B) D RI'!B106</f>
        <v>Mutrux</v>
      </c>
      <c r="C105" s="494">
        <v>64074.882262322768</v>
      </c>
      <c r="D105" s="304">
        <f>+'E) PCS'!G111</f>
        <v>91688.036897940736</v>
      </c>
      <c r="E105" s="309">
        <f t="shared" si="3"/>
        <v>27613.154635617968</v>
      </c>
      <c r="F105" s="496">
        <v>-44731.037363321971</v>
      </c>
      <c r="G105" s="229">
        <f>+'H) Péréquation directe'!I115+'I) Dépenses thématiques'!T105+'J) Plafonnement effort'!J105+'K) Plafonnement aide'!J105+'L) Plafonnement taux'!Q106</f>
        <v>-37439.747725940775</v>
      </c>
      <c r="H105" s="309">
        <f t="shared" si="4"/>
        <v>7291.2896373811964</v>
      </c>
      <c r="I105" s="494">
        <v>12661.526652411125</v>
      </c>
      <c r="J105" s="229">
        <f>+'M) Police'!N105</f>
        <v>13009.728304140168</v>
      </c>
      <c r="K105" s="309">
        <f t="shared" si="5"/>
        <v>348.20165172904308</v>
      </c>
    </row>
    <row r="106" spans="1:11" s="473" customFormat="1" ht="15" x14ac:dyDescent="0.25">
      <c r="A106" s="149">
        <f>+'B) D RI'!A107</f>
        <v>5564</v>
      </c>
      <c r="B106" s="469" t="str">
        <f>+'B) D RI'!B107</f>
        <v>Novalles</v>
      </c>
      <c r="C106" s="494">
        <v>34706.831090843472</v>
      </c>
      <c r="D106" s="304">
        <f>+'E) PCS'!G112</f>
        <v>27432.851817671275</v>
      </c>
      <c r="E106" s="309">
        <f t="shared" si="3"/>
        <v>-7273.9792731721973</v>
      </c>
      <c r="F106" s="496">
        <v>-31280.106196575245</v>
      </c>
      <c r="G106" s="229">
        <f>+'H) Péréquation directe'!I116+'I) Dépenses thématiques'!T106+'J) Plafonnement effort'!J106+'K) Plafonnement aide'!J106+'L) Plafonnement taux'!Q107</f>
        <v>-71392.252189477702</v>
      </c>
      <c r="H106" s="309">
        <f t="shared" si="4"/>
        <v>-40112.145992902457</v>
      </c>
      <c r="I106" s="494">
        <v>7075.3367305182783</v>
      </c>
      <c r="J106" s="229">
        <f>+'M) Police'!N106</f>
        <v>6277.8357880758431</v>
      </c>
      <c r="K106" s="309">
        <f t="shared" si="5"/>
        <v>-797.50094244243519</v>
      </c>
    </row>
    <row r="107" spans="1:11" s="473" customFormat="1" ht="15" x14ac:dyDescent="0.25">
      <c r="A107" s="149">
        <f>+'B) D RI'!A108</f>
        <v>5565</v>
      </c>
      <c r="B107" s="469" t="str">
        <f>+'B) D RI'!B108</f>
        <v>Onnens</v>
      </c>
      <c r="C107" s="494">
        <v>376069.61296092864</v>
      </c>
      <c r="D107" s="304">
        <f>+'E) PCS'!G113</f>
        <v>333449.91058699053</v>
      </c>
      <c r="E107" s="309">
        <f t="shared" si="3"/>
        <v>-42619.702373938111</v>
      </c>
      <c r="F107" s="496">
        <v>173614.71244646393</v>
      </c>
      <c r="G107" s="229">
        <f>+'H) Péréquation directe'!I117+'I) Dépenses thématiques'!T107+'J) Plafonnement effort'!J107+'K) Plafonnement aide'!J107+'L) Plafonnement taux'!Q108</f>
        <v>273713.52683722327</v>
      </c>
      <c r="H107" s="309">
        <f t="shared" si="4"/>
        <v>100098.81439075933</v>
      </c>
      <c r="I107" s="494">
        <v>56645.496983579418</v>
      </c>
      <c r="J107" s="229">
        <f>+'M) Police'!N107</f>
        <v>67084.441377219016</v>
      </c>
      <c r="K107" s="309">
        <f t="shared" si="5"/>
        <v>10438.944393639598</v>
      </c>
    </row>
    <row r="108" spans="1:11" s="473" customFormat="1" ht="15" x14ac:dyDescent="0.25">
      <c r="A108" s="149">
        <f>+'B) D RI'!A109</f>
        <v>5566</v>
      </c>
      <c r="B108" s="469" t="str">
        <f>+'B) D RI'!B109</f>
        <v>Provence</v>
      </c>
      <c r="C108" s="494">
        <v>174244.16487126285</v>
      </c>
      <c r="D108" s="304">
        <f>+'E) PCS'!G114</f>
        <v>141907.52427423242</v>
      </c>
      <c r="E108" s="309">
        <f t="shared" si="3"/>
        <v>-32336.640597030433</v>
      </c>
      <c r="F108" s="496">
        <v>-323266.39896625082</v>
      </c>
      <c r="G108" s="229">
        <f>+'H) Péréquation directe'!I118+'I) Dépenses thématiques'!T108+'J) Plafonnement effort'!J108+'K) Plafonnement aide'!J108+'L) Plafonnement taux'!Q109</f>
        <v>-535710.80461584451</v>
      </c>
      <c r="H108" s="309">
        <f t="shared" si="4"/>
        <v>-212444.40564959368</v>
      </c>
      <c r="I108" s="494">
        <v>26550.24065864797</v>
      </c>
      <c r="J108" s="229">
        <f>+'M) Police'!N108</f>
        <v>28314.458437358255</v>
      </c>
      <c r="K108" s="309">
        <f t="shared" si="5"/>
        <v>1764.2177787102846</v>
      </c>
    </row>
    <row r="109" spans="1:11" s="473" customFormat="1" ht="15" x14ac:dyDescent="0.25">
      <c r="A109" s="149">
        <f>+'B) D RI'!A110</f>
        <v>5568</v>
      </c>
      <c r="B109" s="469" t="str">
        <f>+'B) D RI'!B110</f>
        <v>Sainte-Croix</v>
      </c>
      <c r="C109" s="494">
        <v>2737880.3515944583</v>
      </c>
      <c r="D109" s="304">
        <f>+'E) PCS'!G115</f>
        <v>2582670.4454851495</v>
      </c>
      <c r="E109" s="309">
        <f t="shared" si="3"/>
        <v>-155209.90610930882</v>
      </c>
      <c r="F109" s="496">
        <v>-3167955.286153446</v>
      </c>
      <c r="G109" s="229">
        <f>+'H) Péréquation directe'!I119+'I) Dépenses thématiques'!T109+'J) Plafonnement effort'!J109+'K) Plafonnement aide'!J109+'L) Plafonnement taux'!Q110</f>
        <v>-3905681.3257665457</v>
      </c>
      <c r="H109" s="309">
        <f t="shared" si="4"/>
        <v>-737726.03961309977</v>
      </c>
      <c r="I109" s="494">
        <v>340914.08669274906</v>
      </c>
      <c r="J109" s="229">
        <f>+'M) Police'!N109</f>
        <v>325957.50236018415</v>
      </c>
      <c r="K109" s="309">
        <f t="shared" si="5"/>
        <v>-14956.584332564904</v>
      </c>
    </row>
    <row r="110" spans="1:11" s="473" customFormat="1" ht="15" x14ac:dyDescent="0.25">
      <c r="A110" s="149">
        <f>+'B) D RI'!A111</f>
        <v>5571</v>
      </c>
      <c r="B110" s="469" t="str">
        <f>+'B) D RI'!B111</f>
        <v>Tévenon</v>
      </c>
      <c r="C110" s="494">
        <v>450118.74495583097</v>
      </c>
      <c r="D110" s="304">
        <f>+'E) PCS'!G116</f>
        <v>430084.31026176387</v>
      </c>
      <c r="E110" s="309">
        <f t="shared" si="3"/>
        <v>-20034.434694067109</v>
      </c>
      <c r="F110" s="496">
        <v>-88302.702127242941</v>
      </c>
      <c r="G110" s="229">
        <f>+'H) Péréquation directe'!I120+'I) Dépenses thématiques'!T110+'J) Plafonnement effort'!J110+'K) Plafonnement aide'!J110+'L) Plafonnement taux'!Q111</f>
        <v>-214763.58343759389</v>
      </c>
      <c r="H110" s="309">
        <f t="shared" si="4"/>
        <v>-126460.88131035095</v>
      </c>
      <c r="I110" s="494">
        <v>76803.428242151334</v>
      </c>
      <c r="J110" s="229">
        <f>+'M) Police'!N110</f>
        <v>75351.562085691257</v>
      </c>
      <c r="K110" s="309">
        <f t="shared" si="5"/>
        <v>-1451.866156460077</v>
      </c>
    </row>
    <row r="111" spans="1:11" s="473" customFormat="1" ht="15" x14ac:dyDescent="0.25">
      <c r="A111" s="149">
        <f>+'B) D RI'!A112</f>
        <v>5581</v>
      </c>
      <c r="B111" s="469" t="str">
        <f>+'B) D RI'!B112</f>
        <v>Belmont-sur-Lausanne</v>
      </c>
      <c r="C111" s="494">
        <v>3442571.2929367595</v>
      </c>
      <c r="D111" s="304">
        <f>+'E) PCS'!G117</f>
        <v>3838931.4900307707</v>
      </c>
      <c r="E111" s="309">
        <f t="shared" si="3"/>
        <v>396360.19709401112</v>
      </c>
      <c r="F111" s="496">
        <v>1471041.9231748572</v>
      </c>
      <c r="G111" s="229">
        <f>+'H) Péréquation directe'!I121+'I) Dépenses thématiques'!T111+'J) Plafonnement effort'!J111+'K) Plafonnement aide'!J111+'L) Plafonnement taux'!Q112</f>
        <v>1944744.967470387</v>
      </c>
      <c r="H111" s="309">
        <f t="shared" si="4"/>
        <v>473703.04429552983</v>
      </c>
      <c r="I111" s="494">
        <v>240814.73170357899</v>
      </c>
      <c r="J111" s="229">
        <f>+'M) Police'!N111</f>
        <v>251828.54002232992</v>
      </c>
      <c r="K111" s="309">
        <f t="shared" si="5"/>
        <v>11013.808318750933</v>
      </c>
    </row>
    <row r="112" spans="1:11" s="473" customFormat="1" ht="15" x14ac:dyDescent="0.25">
      <c r="A112" s="149">
        <f>+'B) D RI'!A113</f>
        <v>5582</v>
      </c>
      <c r="B112" s="469" t="str">
        <f>+'B) D RI'!B113</f>
        <v>Cheseaux-sur-Lausanne</v>
      </c>
      <c r="C112" s="494">
        <v>3145727.1267413516</v>
      </c>
      <c r="D112" s="304">
        <f>+'E) PCS'!G118</f>
        <v>3068966.4556456115</v>
      </c>
      <c r="E112" s="309">
        <f t="shared" si="3"/>
        <v>-76760.67109574005</v>
      </c>
      <c r="F112" s="496">
        <v>652464.60794709972</v>
      </c>
      <c r="G112" s="229">
        <f>+'H) Péréquation directe'!I122+'I) Dépenses thématiques'!T112+'J) Plafonnement effort'!J112+'K) Plafonnement aide'!J112+'L) Plafonnement taux'!Q113</f>
        <v>80051.801878980594</v>
      </c>
      <c r="H112" s="309">
        <f t="shared" si="4"/>
        <v>-572412.80606811913</v>
      </c>
      <c r="I112" s="494">
        <v>518846.92782499746</v>
      </c>
      <c r="J112" s="229">
        <f>+'M) Police'!N112</f>
        <v>502472.83869057696</v>
      </c>
      <c r="K112" s="309">
        <f t="shared" si="5"/>
        <v>-16374.089134420501</v>
      </c>
    </row>
    <row r="113" spans="1:11" s="473" customFormat="1" ht="15" x14ac:dyDescent="0.25">
      <c r="A113" s="149">
        <f>+'B) D RI'!A114</f>
        <v>5583</v>
      </c>
      <c r="B113" s="469" t="str">
        <f>+'B) D RI'!B114</f>
        <v>Crissier</v>
      </c>
      <c r="C113" s="494">
        <v>6153930.8445186354</v>
      </c>
      <c r="D113" s="304">
        <f>+'E) PCS'!G119</f>
        <v>6224859.3608176522</v>
      </c>
      <c r="E113" s="309">
        <f t="shared" si="3"/>
        <v>70928.516299016774</v>
      </c>
      <c r="F113" s="496">
        <v>-888468.00027601235</v>
      </c>
      <c r="G113" s="229">
        <f>+'H) Péréquation directe'!I123+'I) Dépenses thématiques'!T113+'J) Plafonnement effort'!J113+'K) Plafonnement aide'!J113+'L) Plafonnement taux'!Q114</f>
        <v>-2376715.4799423283</v>
      </c>
      <c r="H113" s="309">
        <f t="shared" si="4"/>
        <v>-1488247.479666316</v>
      </c>
      <c r="I113" s="494">
        <v>395021.02000613982</v>
      </c>
      <c r="J113" s="229">
        <f>+'M) Police'!N113</f>
        <v>394571.18255176215</v>
      </c>
      <c r="K113" s="309">
        <f t="shared" si="5"/>
        <v>-449.83745437767357</v>
      </c>
    </row>
    <row r="114" spans="1:11" s="473" customFormat="1" ht="15" x14ac:dyDescent="0.25">
      <c r="A114" s="149">
        <f>+'B) D RI'!A115</f>
        <v>5584</v>
      </c>
      <c r="B114" s="469" t="str">
        <f>+'B) D RI'!B115</f>
        <v>Epalinges</v>
      </c>
      <c r="C114" s="494">
        <v>8858440.4903187305</v>
      </c>
      <c r="D114" s="304">
        <f>+'E) PCS'!G120</f>
        <v>8723064.1961067878</v>
      </c>
      <c r="E114" s="309">
        <f t="shared" si="3"/>
        <v>-135376.2942119427</v>
      </c>
      <c r="F114" s="496">
        <v>958696.2510617082</v>
      </c>
      <c r="G114" s="229">
        <f>+'H) Péréquation directe'!I124+'I) Dépenses thématiques'!T114+'J) Plafonnement effort'!J114+'K) Plafonnement aide'!J114+'L) Plafonnement taux'!Q115</f>
        <v>730220.89301963523</v>
      </c>
      <c r="H114" s="309">
        <f t="shared" si="4"/>
        <v>-228475.35804207297</v>
      </c>
      <c r="I114" s="494">
        <v>1435313.5848349724</v>
      </c>
      <c r="J114" s="229">
        <f>+'M) Police'!N114</f>
        <v>1481075.7639697301</v>
      </c>
      <c r="K114" s="309">
        <f t="shared" si="5"/>
        <v>45762.179134757724</v>
      </c>
    </row>
    <row r="115" spans="1:11" s="473" customFormat="1" ht="15" x14ac:dyDescent="0.25">
      <c r="A115" s="149">
        <f>+'B) D RI'!A116</f>
        <v>5585</v>
      </c>
      <c r="B115" s="469" t="str">
        <f>+'B) D RI'!B116</f>
        <v>Jouxtens-Mézery</v>
      </c>
      <c r="C115" s="494">
        <v>8125139.7971763806</v>
      </c>
      <c r="D115" s="304">
        <f>+'E) PCS'!G121</f>
        <v>5645261.0276123285</v>
      </c>
      <c r="E115" s="309">
        <f t="shared" si="3"/>
        <v>-2479878.7695640521</v>
      </c>
      <c r="F115" s="496">
        <v>3118540.1844239412</v>
      </c>
      <c r="G115" s="229">
        <f>+'H) Péréquation directe'!I125+'I) Dépenses thématiques'!T115+'J) Plafonnement effort'!J115+'K) Plafonnement aide'!J115+'L) Plafonnement taux'!Q116</f>
        <v>3291424.3296174589</v>
      </c>
      <c r="H115" s="309">
        <f t="shared" si="4"/>
        <v>172884.14519351767</v>
      </c>
      <c r="I115" s="494">
        <v>416293.77122600016</v>
      </c>
      <c r="J115" s="229">
        <f>+'M) Police'!N115</f>
        <v>354619.52460144757</v>
      </c>
      <c r="K115" s="309">
        <f t="shared" si="5"/>
        <v>-61674.246624552587</v>
      </c>
    </row>
    <row r="116" spans="1:11" s="473" customFormat="1" ht="15" x14ac:dyDescent="0.25">
      <c r="A116" s="149">
        <f>+'B) D RI'!A117</f>
        <v>5586</v>
      </c>
      <c r="B116" s="469" t="str">
        <f>+'B) D RI'!B117</f>
        <v>Lausanne</v>
      </c>
      <c r="C116" s="494">
        <v>110999482.16580413</v>
      </c>
      <c r="D116" s="304">
        <f>+'E) PCS'!G122</f>
        <v>106920340.9338015</v>
      </c>
      <c r="E116" s="309">
        <f t="shared" si="3"/>
        <v>-4079141.2320026308</v>
      </c>
      <c r="F116" s="496">
        <v>-94223884.377949923</v>
      </c>
      <c r="G116" s="229">
        <f>+'H) Péréquation directe'!I126+'I) Dépenses thématiques'!T116+'J) Plafonnement effort'!J116+'K) Plafonnement aide'!J116+'L) Plafonnement taux'!Q117</f>
        <v>-79301370.280863807</v>
      </c>
      <c r="H116" s="309">
        <f t="shared" si="4"/>
        <v>14922514.097086117</v>
      </c>
      <c r="I116" s="494">
        <v>7609251.9307691418</v>
      </c>
      <c r="J116" s="229">
        <f>+'M) Police'!N116</f>
        <v>7553001.6126932791</v>
      </c>
      <c r="K116" s="309">
        <f t="shared" si="5"/>
        <v>-56250.318075862713</v>
      </c>
    </row>
    <row r="117" spans="1:11" s="473" customFormat="1" ht="15" x14ac:dyDescent="0.25">
      <c r="A117" s="149">
        <f>+'B) D RI'!A118</f>
        <v>5587</v>
      </c>
      <c r="B117" s="469" t="str">
        <f>+'B) D RI'!B118</f>
        <v>Le Mont-sur-Lausanne</v>
      </c>
      <c r="C117" s="494">
        <v>7924595.189131137</v>
      </c>
      <c r="D117" s="304">
        <f>+'E) PCS'!G123</f>
        <v>9455090.3402914442</v>
      </c>
      <c r="E117" s="309">
        <f t="shared" si="3"/>
        <v>1530495.1511603072</v>
      </c>
      <c r="F117" s="496">
        <v>1810332.9928723853</v>
      </c>
      <c r="G117" s="229">
        <f>+'H) Péréquation directe'!I127+'I) Dépenses thématiques'!T117+'J) Plafonnement effort'!J117+'K) Plafonnement aide'!J117+'L) Plafonnement taux'!Q118</f>
        <v>2484060.0763842305</v>
      </c>
      <c r="H117" s="309">
        <f t="shared" si="4"/>
        <v>673727.08351184521</v>
      </c>
      <c r="I117" s="494">
        <v>1324896.6257945597</v>
      </c>
      <c r="J117" s="229">
        <f>+'M) Police'!N117</f>
        <v>1402433.7065801674</v>
      </c>
      <c r="K117" s="309">
        <f t="shared" si="5"/>
        <v>77537.080785607686</v>
      </c>
    </row>
    <row r="118" spans="1:11" s="473" customFormat="1" ht="15" x14ac:dyDescent="0.25">
      <c r="A118" s="149">
        <f>+'B) D RI'!A119</f>
        <v>5588</v>
      </c>
      <c r="B118" s="469" t="str">
        <f>+'B) D RI'!B119</f>
        <v>Paudex</v>
      </c>
      <c r="C118" s="494">
        <v>3497221.8336182917</v>
      </c>
      <c r="D118" s="304">
        <f>+'E) PCS'!G124</f>
        <v>6669197.4164674971</v>
      </c>
      <c r="E118" s="309">
        <f t="shared" si="3"/>
        <v>3171975.5828492055</v>
      </c>
      <c r="F118" s="496">
        <v>2304261.7033556635</v>
      </c>
      <c r="G118" s="229">
        <f>+'H) Péréquation directe'!I128+'I) Dépenses thématiques'!T118+'J) Plafonnement effort'!J118+'K) Plafonnement aide'!J118+'L) Plafonnement taux'!Q119</f>
        <v>3709648.3712895815</v>
      </c>
      <c r="H118" s="309">
        <f t="shared" si="4"/>
        <v>1405386.6679339181</v>
      </c>
      <c r="I118" s="494">
        <v>171162.97652902111</v>
      </c>
      <c r="J118" s="229">
        <f>+'M) Police'!N118</f>
        <v>252203.0109802784</v>
      </c>
      <c r="K118" s="309">
        <f t="shared" si="5"/>
        <v>81040.034451257292</v>
      </c>
    </row>
    <row r="119" spans="1:11" s="473" customFormat="1" ht="15" x14ac:dyDescent="0.25">
      <c r="A119" s="149">
        <f>+'B) D RI'!A120</f>
        <v>5589</v>
      </c>
      <c r="B119" s="469" t="str">
        <f>+'B) D RI'!B120</f>
        <v>Prilly</v>
      </c>
      <c r="C119" s="494">
        <v>7323931.4910125881</v>
      </c>
      <c r="D119" s="304">
        <f>+'E) PCS'!G125</f>
        <v>6767025.5491905231</v>
      </c>
      <c r="E119" s="309">
        <f t="shared" si="3"/>
        <v>-556905.94182206504</v>
      </c>
      <c r="F119" s="496">
        <v>-5569527.508586077</v>
      </c>
      <c r="G119" s="229">
        <f>+'H) Péréquation directe'!I129+'I) Dépenses thématiques'!T119+'J) Plafonnement effort'!J119+'K) Plafonnement aide'!J119+'L) Plafonnement taux'!Q120</f>
        <v>-6317462.2376787094</v>
      </c>
      <c r="H119" s="309">
        <f t="shared" si="4"/>
        <v>-747934.72909263242</v>
      </c>
      <c r="I119" s="494">
        <v>522398.75034063542</v>
      </c>
      <c r="J119" s="229">
        <f>+'M) Police'!N119</f>
        <v>490422.42572752951</v>
      </c>
      <c r="K119" s="309">
        <f t="shared" si="5"/>
        <v>-31976.324613105913</v>
      </c>
    </row>
    <row r="120" spans="1:11" s="473" customFormat="1" ht="15" x14ac:dyDescent="0.25">
      <c r="A120" s="149">
        <f>+'B) D RI'!A121</f>
        <v>5590</v>
      </c>
      <c r="B120" s="469" t="str">
        <f>+'B) D RI'!B121</f>
        <v>Pully</v>
      </c>
      <c r="C120" s="494">
        <v>41210205.702481292</v>
      </c>
      <c r="D120" s="304">
        <f>+'E) PCS'!G126</f>
        <v>37194396.709037408</v>
      </c>
      <c r="E120" s="309">
        <f t="shared" si="3"/>
        <v>-4015808.993443884</v>
      </c>
      <c r="F120" s="496">
        <v>14390925.709947489</v>
      </c>
      <c r="G120" s="229">
        <f>+'H) Péréquation directe'!I130+'I) Dépenses thématiques'!T120+'J) Plafonnement effort'!J120+'K) Plafonnement aide'!J120+'L) Plafonnement taux'!Q121</f>
        <v>13526276.075375739</v>
      </c>
      <c r="H120" s="309">
        <f t="shared" si="4"/>
        <v>-864649.63457174972</v>
      </c>
      <c r="I120" s="494">
        <v>1959949.3666966318</v>
      </c>
      <c r="J120" s="229">
        <f>+'M) Police'!N120</f>
        <v>1873823.5739625574</v>
      </c>
      <c r="K120" s="309">
        <f t="shared" si="5"/>
        <v>-86125.792734074406</v>
      </c>
    </row>
    <row r="121" spans="1:11" s="473" customFormat="1" ht="15" x14ac:dyDescent="0.25">
      <c r="A121" s="149">
        <f>+'B) D RI'!A122</f>
        <v>5591</v>
      </c>
      <c r="B121" s="469" t="str">
        <f>+'B) D RI'!B122</f>
        <v>Renens</v>
      </c>
      <c r="C121" s="494">
        <v>10572092.008102294</v>
      </c>
      <c r="D121" s="304">
        <f>+'E) PCS'!G127</f>
        <v>10071404.864467423</v>
      </c>
      <c r="E121" s="309">
        <f t="shared" si="3"/>
        <v>-500687.14363487065</v>
      </c>
      <c r="F121" s="496">
        <v>-20860303.40184084</v>
      </c>
      <c r="G121" s="229">
        <f>+'H) Péréquation directe'!I131+'I) Dépenses thématiques'!T121+'J) Plafonnement effort'!J121+'K) Plafonnement aide'!J121+'L) Plafonnement taux'!Q122</f>
        <v>-21659703.806767978</v>
      </c>
      <c r="H121" s="309">
        <f t="shared" si="4"/>
        <v>-799400.40492713824</v>
      </c>
      <c r="I121" s="494">
        <v>720804.53633973352</v>
      </c>
      <c r="J121" s="229">
        <f>+'M) Police'!N121</f>
        <v>666035.5255661211</v>
      </c>
      <c r="K121" s="309">
        <f t="shared" si="5"/>
        <v>-54769.010773612419</v>
      </c>
    </row>
    <row r="122" spans="1:11" s="473" customFormat="1" ht="15" x14ac:dyDescent="0.25">
      <c r="A122" s="149">
        <f>+'B) D RI'!A123</f>
        <v>5592</v>
      </c>
      <c r="B122" s="469" t="str">
        <f>+'B) D RI'!B123</f>
        <v>Romanel-sur-Lausanne</v>
      </c>
      <c r="C122" s="494">
        <v>2085067.0730195497</v>
      </c>
      <c r="D122" s="304">
        <f>+'E) PCS'!G128</f>
        <v>2344158.1059984057</v>
      </c>
      <c r="E122" s="309">
        <f t="shared" si="3"/>
        <v>259091.032978856</v>
      </c>
      <c r="F122" s="496">
        <v>165953.96771418519</v>
      </c>
      <c r="G122" s="229">
        <f>+'H) Péréquation directe'!I132+'I) Dépenses thématiques'!T122+'J) Plafonnement effort'!J122+'K) Plafonnement aide'!J122+'L) Plafonnement taux'!Q123</f>
        <v>4610.9950268515386</v>
      </c>
      <c r="H122" s="309">
        <f t="shared" si="4"/>
        <v>-161342.97268733365</v>
      </c>
      <c r="I122" s="494">
        <v>343290.58868159517</v>
      </c>
      <c r="J122" s="229">
        <f>+'M) Police'!N122</f>
        <v>361267.18841791776</v>
      </c>
      <c r="K122" s="309">
        <f t="shared" si="5"/>
        <v>17976.599736322591</v>
      </c>
    </row>
    <row r="123" spans="1:11" s="473" customFormat="1" ht="15" x14ac:dyDescent="0.25">
      <c r="A123" s="149">
        <f>+'B) D RI'!A124</f>
        <v>5601</v>
      </c>
      <c r="B123" s="469" t="str">
        <f>+'B) D RI'!B124</f>
        <v>Chexbres</v>
      </c>
      <c r="C123" s="494">
        <v>2015414.1155110963</v>
      </c>
      <c r="D123" s="304">
        <f>+'E) PCS'!G129</f>
        <v>1575198.7234174507</v>
      </c>
      <c r="E123" s="309">
        <f t="shared" si="3"/>
        <v>-440215.39209364564</v>
      </c>
      <c r="F123" s="496">
        <v>1175226.3752770908</v>
      </c>
      <c r="G123" s="229">
        <f>+'H) Péréquation directe'!I133+'I) Dépenses thématiques'!T123+'J) Plafonnement effort'!J123+'K) Plafonnement aide'!J123+'L) Plafonnement taux'!Q124</f>
        <v>1101291.4104616914</v>
      </c>
      <c r="H123" s="309">
        <f t="shared" si="4"/>
        <v>-73934.964815399377</v>
      </c>
      <c r="I123" s="494">
        <v>132729.86350589184</v>
      </c>
      <c r="J123" s="229">
        <f>+'M) Police'!N123</f>
        <v>123874.59922604704</v>
      </c>
      <c r="K123" s="309">
        <f t="shared" si="5"/>
        <v>-8855.2642798448069</v>
      </c>
    </row>
    <row r="124" spans="1:11" s="473" customFormat="1" ht="15" x14ac:dyDescent="0.25">
      <c r="A124" s="149">
        <f>+'B) D RI'!A125</f>
        <v>5604</v>
      </c>
      <c r="B124" s="469" t="str">
        <f>+'B) D RI'!B125</f>
        <v>Forel (Lavaux)</v>
      </c>
      <c r="C124" s="494">
        <v>1327659.0954345963</v>
      </c>
      <c r="D124" s="304">
        <f>+'E) PCS'!G130</f>
        <v>1149912.8362178716</v>
      </c>
      <c r="E124" s="309">
        <f t="shared" si="3"/>
        <v>-177746.25921672466</v>
      </c>
      <c r="F124" s="496">
        <v>195945.1668002684</v>
      </c>
      <c r="G124" s="229">
        <f>+'H) Péréquation directe'!I134+'I) Dépenses thématiques'!T124+'J) Plafonnement effort'!J124+'K) Plafonnement aide'!J124+'L) Plafonnement taux'!Q125</f>
        <v>64086.761951799912</v>
      </c>
      <c r="H124" s="309">
        <f t="shared" si="4"/>
        <v>-131858.40484846849</v>
      </c>
      <c r="I124" s="494">
        <v>229677.19082887255</v>
      </c>
      <c r="J124" s="229">
        <f>+'M) Police'!N124</f>
        <v>227376.38065677148</v>
      </c>
      <c r="K124" s="309">
        <f t="shared" si="5"/>
        <v>-2300.8101721010753</v>
      </c>
    </row>
    <row r="125" spans="1:11" s="473" customFormat="1" ht="15" x14ac:dyDescent="0.25">
      <c r="A125" s="149">
        <f>+'B) D RI'!A126</f>
        <v>5606</v>
      </c>
      <c r="B125" s="469" t="str">
        <f>+'B) D RI'!B126</f>
        <v>Lutry</v>
      </c>
      <c r="C125" s="494">
        <v>21578348.835654393</v>
      </c>
      <c r="D125" s="304">
        <f>+'E) PCS'!G131</f>
        <v>24676075.513569705</v>
      </c>
      <c r="E125" s="309">
        <f t="shared" si="3"/>
        <v>3097726.6779153123</v>
      </c>
      <c r="F125" s="496">
        <v>7992178.8585163755</v>
      </c>
      <c r="G125" s="229">
        <f>+'H) Péréquation directe'!I135+'I) Dépenses thématiques'!T125+'J) Plafonnement effort'!J125+'K) Plafonnement aide'!J125+'L) Plafonnement taux'!Q126</f>
        <v>9730248.8420423083</v>
      </c>
      <c r="H125" s="309">
        <f t="shared" si="4"/>
        <v>1738069.9835259328</v>
      </c>
      <c r="I125" s="494">
        <v>1038273.5585570101</v>
      </c>
      <c r="J125" s="229">
        <f>+'M) Police'!N125</f>
        <v>1100119.1472102192</v>
      </c>
      <c r="K125" s="309">
        <f t="shared" si="5"/>
        <v>61845.588653209037</v>
      </c>
    </row>
    <row r="126" spans="1:11" s="473" customFormat="1" ht="15" x14ac:dyDescent="0.25">
      <c r="A126" s="149">
        <f>+'B) D RI'!A127</f>
        <v>5607</v>
      </c>
      <c r="B126" s="469" t="str">
        <f>+'B) D RI'!B127</f>
        <v>Puidoux</v>
      </c>
      <c r="C126" s="494">
        <v>1715461.6966371797</v>
      </c>
      <c r="D126" s="304">
        <f>+'E) PCS'!G132</f>
        <v>1919192.5998753174</v>
      </c>
      <c r="E126" s="309">
        <f t="shared" si="3"/>
        <v>203730.90323813772</v>
      </c>
      <c r="F126" s="496">
        <v>-246610.78481801518</v>
      </c>
      <c r="G126" s="229">
        <f>+'H) Péréquation directe'!I136+'I) Dépenses thématiques'!T126+'J) Plafonnement effort'!J126+'K) Plafonnement aide'!J126+'L) Plafonnement taux'!Q127</f>
        <v>-245271.13309834921</v>
      </c>
      <c r="H126" s="309">
        <f t="shared" si="4"/>
        <v>1339.6517196659697</v>
      </c>
      <c r="I126" s="494">
        <v>128420.07600206444</v>
      </c>
      <c r="J126" s="229">
        <f>+'M) Police'!N126</f>
        <v>130429.13892518083</v>
      </c>
      <c r="K126" s="309">
        <f t="shared" si="5"/>
        <v>2009.0629231163912</v>
      </c>
    </row>
    <row r="127" spans="1:11" s="473" customFormat="1" ht="15" x14ac:dyDescent="0.25">
      <c r="A127" s="149">
        <f>+'B) D RI'!A128</f>
        <v>5609</v>
      </c>
      <c r="B127" s="469" t="str">
        <f>+'B) D RI'!B128</f>
        <v>Rivaz</v>
      </c>
      <c r="C127" s="494">
        <v>228236.43886706271</v>
      </c>
      <c r="D127" s="304">
        <f>+'E) PCS'!G133</f>
        <v>200709.8027672272</v>
      </c>
      <c r="E127" s="309">
        <f t="shared" si="3"/>
        <v>-27526.636099835509</v>
      </c>
      <c r="F127" s="496">
        <v>143341.67518251805</v>
      </c>
      <c r="G127" s="229">
        <f>+'H) Péréquation directe'!I137+'I) Dépenses thématiques'!T127+'J) Plafonnement effort'!J127+'K) Plafonnement aide'!J127+'L) Plafonnement taux'!Q128</f>
        <v>168981.39161824214</v>
      </c>
      <c r="H127" s="309">
        <f t="shared" si="4"/>
        <v>25639.716435724084</v>
      </c>
      <c r="I127" s="494">
        <v>17568.746932108224</v>
      </c>
      <c r="J127" s="229">
        <f>+'M) Police'!N127</f>
        <v>17412.908699225121</v>
      </c>
      <c r="K127" s="309">
        <f t="shared" si="5"/>
        <v>-155.83823288310305</v>
      </c>
    </row>
    <row r="128" spans="1:11" s="473" customFormat="1" ht="15" x14ac:dyDescent="0.25">
      <c r="A128" s="149">
        <f>+'B) D RI'!A129</f>
        <v>5610</v>
      </c>
      <c r="B128" s="469" t="str">
        <f>+'B) D RI'!B129</f>
        <v>St-Saphorin (Lavaux)</v>
      </c>
      <c r="C128" s="494">
        <v>430470.1301536432</v>
      </c>
      <c r="D128" s="304">
        <f>+'E) PCS'!G134</f>
        <v>640813.7634036307</v>
      </c>
      <c r="E128" s="309">
        <f t="shared" si="3"/>
        <v>210343.6332499875</v>
      </c>
      <c r="F128" s="496">
        <v>367713.38586984761</v>
      </c>
      <c r="G128" s="229">
        <f>+'H) Péréquation directe'!I138+'I) Dépenses thématiques'!T128+'J) Plafonnement effort'!J128+'K) Plafonnement aide'!J128+'L) Plafonnement taux'!Q129</f>
        <v>383965.63273163047</v>
      </c>
      <c r="H128" s="309">
        <f t="shared" si="4"/>
        <v>16252.246861782856</v>
      </c>
      <c r="I128" s="494">
        <v>28623.103577227223</v>
      </c>
      <c r="J128" s="229">
        <f>+'M) Police'!N128</f>
        <v>27409.502372211184</v>
      </c>
      <c r="K128" s="309">
        <f t="shared" si="5"/>
        <v>-1213.6012050160389</v>
      </c>
    </row>
    <row r="129" spans="1:11" s="473" customFormat="1" ht="15" x14ac:dyDescent="0.25">
      <c r="A129" s="149">
        <f>+'B) D RI'!A130</f>
        <v>5611</v>
      </c>
      <c r="B129" s="469" t="str">
        <f>+'B) D RI'!B130</f>
        <v>Savigny</v>
      </c>
      <c r="C129" s="494">
        <v>2717636.662957605</v>
      </c>
      <c r="D129" s="304">
        <f>+'E) PCS'!G135</f>
        <v>2164249.333491792</v>
      </c>
      <c r="E129" s="309">
        <f t="shared" si="3"/>
        <v>-553387.329465813</v>
      </c>
      <c r="F129" s="496">
        <v>777944.07437051111</v>
      </c>
      <c r="G129" s="229">
        <f>+'H) Péréquation directe'!I139+'I) Dépenses thématiques'!T129+'J) Plafonnement effort'!J129+'K) Plafonnement aide'!J129+'L) Plafonnement taux'!Q130</f>
        <v>561032.29019572644</v>
      </c>
      <c r="H129" s="309">
        <f t="shared" si="4"/>
        <v>-216911.78417478467</v>
      </c>
      <c r="I129" s="494">
        <v>172860.83449558471</v>
      </c>
      <c r="J129" s="229">
        <f>+'M) Police'!N129</f>
        <v>164798.76171418451</v>
      </c>
      <c r="K129" s="309">
        <f t="shared" si="5"/>
        <v>-8062.0727814002021</v>
      </c>
    </row>
    <row r="130" spans="1:11" s="473" customFormat="1" ht="15" x14ac:dyDescent="0.25">
      <c r="A130" s="149">
        <f>+'B) D RI'!A131</f>
        <v>5613</v>
      </c>
      <c r="B130" s="469" t="str">
        <f>+'B) D RI'!B131</f>
        <v>Bourg-en-Lavaux</v>
      </c>
      <c r="C130" s="494">
        <v>7455119.7229963113</v>
      </c>
      <c r="D130" s="304">
        <f>+'E) PCS'!G136</f>
        <v>6881149.6288820738</v>
      </c>
      <c r="E130" s="309">
        <f t="shared" si="3"/>
        <v>-573970.09411423746</v>
      </c>
      <c r="F130" s="496">
        <v>4499474.8507657526</v>
      </c>
      <c r="G130" s="229">
        <f>+'H) Péréquation directe'!I140+'I) Dépenses thématiques'!T130+'J) Plafonnement effort'!J130+'K) Plafonnement aide'!J130+'L) Plafonnement taux'!Q131</f>
        <v>4622395.7238910682</v>
      </c>
      <c r="H130" s="309">
        <f t="shared" si="4"/>
        <v>122920.87312531564</v>
      </c>
      <c r="I130" s="494">
        <v>427850.4381311636</v>
      </c>
      <c r="J130" s="229">
        <f>+'M) Police'!N130</f>
        <v>417552.50048979465</v>
      </c>
      <c r="K130" s="309">
        <f t="shared" si="5"/>
        <v>-10297.937641368946</v>
      </c>
    </row>
    <row r="131" spans="1:11" s="473" customFormat="1" ht="15" x14ac:dyDescent="0.25">
      <c r="A131" s="149">
        <f>+'B) D RI'!A132</f>
        <v>5621</v>
      </c>
      <c r="B131" s="469" t="str">
        <f>+'B) D RI'!B132</f>
        <v>Aclens</v>
      </c>
      <c r="C131" s="494">
        <v>584200.22050850571</v>
      </c>
      <c r="D131" s="304">
        <f>+'E) PCS'!G137</f>
        <v>712745.39251743141</v>
      </c>
      <c r="E131" s="309">
        <f t="shared" si="3"/>
        <v>128545.1720089257</v>
      </c>
      <c r="F131" s="496">
        <v>459589.89610204689</v>
      </c>
      <c r="G131" s="229">
        <f>+'H) Péréquation directe'!I141+'I) Dépenses thématiques'!T131+'J) Plafonnement effort'!J131+'K) Plafonnement aide'!J131+'L) Plafonnement taux'!Q132</f>
        <v>501511.24974700692</v>
      </c>
      <c r="H131" s="309">
        <f t="shared" si="4"/>
        <v>41921.353644960036</v>
      </c>
      <c r="I131" s="494">
        <v>78659.583141435811</v>
      </c>
      <c r="J131" s="229">
        <f>+'M) Police'!N131</f>
        <v>83928.398175448441</v>
      </c>
      <c r="K131" s="309">
        <f t="shared" si="5"/>
        <v>5268.8150340126303</v>
      </c>
    </row>
    <row r="132" spans="1:11" s="473" customFormat="1" ht="15" x14ac:dyDescent="0.25">
      <c r="A132" s="149">
        <f>+'B) D RI'!A133</f>
        <v>5622</v>
      </c>
      <c r="B132" s="469" t="str">
        <f>+'B) D RI'!B133</f>
        <v>Bremblens</v>
      </c>
      <c r="C132" s="494">
        <v>539403.07951026096</v>
      </c>
      <c r="D132" s="304">
        <f>+'E) PCS'!G138</f>
        <v>463185.80967027962</v>
      </c>
      <c r="E132" s="309">
        <f t="shared" si="3"/>
        <v>-76217.269839981338</v>
      </c>
      <c r="F132" s="496">
        <v>456796.65283425245</v>
      </c>
      <c r="G132" s="229">
        <f>+'H) Péréquation directe'!I142+'I) Dépenses thématiques'!T132+'J) Plafonnement effort'!J132+'K) Plafonnement aide'!J132+'L) Plafonnement taux'!Q133</f>
        <v>435117.79060707829</v>
      </c>
      <c r="H132" s="309">
        <f t="shared" si="4"/>
        <v>-21678.862227174162</v>
      </c>
      <c r="I132" s="494">
        <v>83740.780943955106</v>
      </c>
      <c r="J132" s="229">
        <f>+'M) Police'!N132</f>
        <v>86100.239353526442</v>
      </c>
      <c r="K132" s="309">
        <f t="shared" si="5"/>
        <v>2359.4584095713362</v>
      </c>
    </row>
    <row r="133" spans="1:11" s="473" customFormat="1" ht="15" x14ac:dyDescent="0.25">
      <c r="A133" s="149">
        <f>+'B) D RI'!A134</f>
        <v>5623</v>
      </c>
      <c r="B133" s="469" t="str">
        <f>+'B) D RI'!B134</f>
        <v>Buchillon</v>
      </c>
      <c r="C133" s="494">
        <v>2855305.8865164449</v>
      </c>
      <c r="D133" s="304">
        <f>+'E) PCS'!G139</f>
        <v>2393273.2589549259</v>
      </c>
      <c r="E133" s="309">
        <f t="shared" si="3"/>
        <v>-462032.62756151892</v>
      </c>
      <c r="F133" s="496">
        <v>1671630.3518551267</v>
      </c>
      <c r="G133" s="229">
        <f>+'H) Péréquation directe'!I143+'I) Dépenses thématiques'!T133+'J) Plafonnement effort'!J133+'K) Plafonnement aide'!J133+'L) Plafonnement taux'!Q134</f>
        <v>1581094.7201620101</v>
      </c>
      <c r="H133" s="309">
        <f t="shared" si="4"/>
        <v>-90535.631693116622</v>
      </c>
      <c r="I133" s="494">
        <v>114967.20133741341</v>
      </c>
      <c r="J133" s="229">
        <f>+'M) Police'!N133</f>
        <v>104305.49180124553</v>
      </c>
      <c r="K133" s="309">
        <f t="shared" si="5"/>
        <v>-10661.70953616788</v>
      </c>
    </row>
    <row r="134" spans="1:11" s="473" customFormat="1" ht="15" x14ac:dyDescent="0.25">
      <c r="A134" s="149">
        <f>+'B) D RI'!A135</f>
        <v>5624</v>
      </c>
      <c r="B134" s="469" t="str">
        <f>+'B) D RI'!B135</f>
        <v>Bussigny</v>
      </c>
      <c r="C134" s="494">
        <v>8070988.4994684393</v>
      </c>
      <c r="D134" s="304">
        <f>+'E) PCS'!G140</f>
        <v>7704212.849905828</v>
      </c>
      <c r="E134" s="309">
        <f t="shared" ref="E134:E197" si="6">D134-C134</f>
        <v>-366775.64956261124</v>
      </c>
      <c r="F134" s="496">
        <v>2451217.1965744994</v>
      </c>
      <c r="G134" s="229">
        <f>+'H) Péréquation directe'!I144+'I) Dépenses thématiques'!T134+'J) Plafonnement effort'!J134+'K) Plafonnement aide'!J134+'L) Plafonnement taux'!Q135</f>
        <v>732226.21327930829</v>
      </c>
      <c r="H134" s="309">
        <f t="shared" ref="H134:H197" si="7">G134-F134</f>
        <v>-1718990.9832951911</v>
      </c>
      <c r="I134" s="494">
        <v>514540.17564775603</v>
      </c>
      <c r="J134" s="229">
        <f>+'M) Police'!N134</f>
        <v>516641.17297838593</v>
      </c>
      <c r="K134" s="309">
        <f t="shared" ref="K134:K197" si="8">J134-I134</f>
        <v>2100.9973306299071</v>
      </c>
    </row>
    <row r="135" spans="1:11" s="473" customFormat="1" ht="15" x14ac:dyDescent="0.25">
      <c r="A135" s="149">
        <f>+'B) D RI'!A136</f>
        <v>5625</v>
      </c>
      <c r="B135" s="469" t="str">
        <f>+'B) D RI'!B136</f>
        <v>Bussy-Chardonney</v>
      </c>
      <c r="C135" s="494">
        <v>301386.41994812217</v>
      </c>
      <c r="D135" s="304">
        <f>+'E) PCS'!G141</f>
        <v>286957.49340049829</v>
      </c>
      <c r="E135" s="309">
        <f t="shared" si="6"/>
        <v>-14428.92654762388</v>
      </c>
      <c r="F135" s="496">
        <v>228882.03934360555</v>
      </c>
      <c r="G135" s="229">
        <f>+'H) Péréquation directe'!I145+'I) Dépenses thématiques'!T135+'J) Plafonnement effort'!J135+'K) Plafonnement aide'!J135+'L) Plafonnement taux'!Q136</f>
        <v>97882.386050552421</v>
      </c>
      <c r="H135" s="309">
        <f t="shared" si="7"/>
        <v>-130999.65329305312</v>
      </c>
      <c r="I135" s="494">
        <v>52634.566718332033</v>
      </c>
      <c r="J135" s="229">
        <f>+'M) Police'!N135</f>
        <v>61495.791246418259</v>
      </c>
      <c r="K135" s="309">
        <f t="shared" si="8"/>
        <v>8861.2245280862262</v>
      </c>
    </row>
    <row r="136" spans="1:11" s="473" customFormat="1" ht="15" x14ac:dyDescent="0.25">
      <c r="A136" s="149">
        <f>+'B) D RI'!A137</f>
        <v>5627</v>
      </c>
      <c r="B136" s="469" t="str">
        <f>+'B) D RI'!B137</f>
        <v>Chavannes-près-Renens</v>
      </c>
      <c r="C136" s="494">
        <v>4705203.4068355495</v>
      </c>
      <c r="D136" s="304">
        <f>+'E) PCS'!G142</f>
        <v>3431819.5311185285</v>
      </c>
      <c r="E136" s="309">
        <f t="shared" si="6"/>
        <v>-1273383.8757170211</v>
      </c>
      <c r="F136" s="496">
        <v>-4280141.4024071852</v>
      </c>
      <c r="G136" s="229">
        <f>+'H) Péréquation directe'!I146+'I) Dépenses thématiques'!T136+'J) Plafonnement effort'!J136+'K) Plafonnement aide'!J136+'L) Plafonnement taux'!Q137</f>
        <v>-6880711.6102798181</v>
      </c>
      <c r="H136" s="309">
        <f t="shared" si="7"/>
        <v>-2600570.2078726329</v>
      </c>
      <c r="I136" s="494">
        <v>275446.1416247866</v>
      </c>
      <c r="J136" s="229">
        <f>+'M) Police'!N136</f>
        <v>226856.75409847609</v>
      </c>
      <c r="K136" s="309">
        <f t="shared" si="8"/>
        <v>-48589.387526310515</v>
      </c>
    </row>
    <row r="137" spans="1:11" s="473" customFormat="1" ht="15" x14ac:dyDescent="0.25">
      <c r="A137" s="149">
        <f>+'B) D RI'!A138</f>
        <v>5628</v>
      </c>
      <c r="B137" s="469" t="str">
        <f>+'B) D RI'!B138</f>
        <v>Chigny</v>
      </c>
      <c r="C137" s="494">
        <v>490061.30696644518</v>
      </c>
      <c r="D137" s="304">
        <f>+'E) PCS'!G143</f>
        <v>432653.84263132524</v>
      </c>
      <c r="E137" s="309">
        <f t="shared" si="6"/>
        <v>-57407.464335119934</v>
      </c>
      <c r="F137" s="496">
        <v>391591.46849864878</v>
      </c>
      <c r="G137" s="229">
        <f>+'H) Péréquation directe'!I147+'I) Dépenses thématiques'!T137+'J) Plafonnement effort'!J137+'K) Plafonnement aide'!J137+'L) Plafonnement taux'!Q138</f>
        <v>430585.71947969787</v>
      </c>
      <c r="H137" s="309">
        <f t="shared" si="7"/>
        <v>38994.250981049088</v>
      </c>
      <c r="I137" s="494">
        <v>61272.306993641032</v>
      </c>
      <c r="J137" s="229">
        <f>+'M) Police'!N137</f>
        <v>66343.565108138355</v>
      </c>
      <c r="K137" s="309">
        <f t="shared" si="8"/>
        <v>5071.2581144973228</v>
      </c>
    </row>
    <row r="138" spans="1:11" s="473" customFormat="1" ht="15" x14ac:dyDescent="0.25">
      <c r="A138" s="149">
        <f>+'B) D RI'!A139</f>
        <v>5629</v>
      </c>
      <c r="B138" s="469" t="str">
        <f>+'B) D RI'!B139</f>
        <v>Clarmont</v>
      </c>
      <c r="C138" s="494">
        <v>154842.60709189303</v>
      </c>
      <c r="D138" s="304">
        <f>+'E) PCS'!G144</f>
        <v>134867.26760375686</v>
      </c>
      <c r="E138" s="309">
        <f t="shared" si="6"/>
        <v>-19975.339488136175</v>
      </c>
      <c r="F138" s="496">
        <v>17930.147978244022</v>
      </c>
      <c r="G138" s="229">
        <f>+'H) Péréquation directe'!I148+'I) Dépenses thématiques'!T138+'J) Plafonnement effort'!J138+'K) Plafonnement aide'!J138+'L) Plafonnement taux'!Q139</f>
        <v>104753.99166317144</v>
      </c>
      <c r="H138" s="309">
        <f t="shared" si="7"/>
        <v>86823.843684927415</v>
      </c>
      <c r="I138" s="494">
        <v>21180.089139911412</v>
      </c>
      <c r="J138" s="229">
        <f>+'M) Police'!N138</f>
        <v>30486.172278697355</v>
      </c>
      <c r="K138" s="309">
        <f t="shared" si="8"/>
        <v>9306.0831387859434</v>
      </c>
    </row>
    <row r="139" spans="1:11" s="473" customFormat="1" ht="15" x14ac:dyDescent="0.25">
      <c r="A139" s="149">
        <f>+'B) D RI'!A140</f>
        <v>5631</v>
      </c>
      <c r="B139" s="469" t="str">
        <f>+'B) D RI'!B140</f>
        <v>Denens</v>
      </c>
      <c r="C139" s="494">
        <v>1155243.7504819005</v>
      </c>
      <c r="D139" s="304">
        <f>+'E) PCS'!G145</f>
        <v>909741.96952861873</v>
      </c>
      <c r="E139" s="309">
        <f t="shared" si="6"/>
        <v>-245501.78095328179</v>
      </c>
      <c r="F139" s="496">
        <v>916218.84775730153</v>
      </c>
      <c r="G139" s="229">
        <f>+'H) Péréquation directe'!I149+'I) Dépenses thématiques'!T139+'J) Plafonnement effort'!J139+'K) Plafonnement aide'!J139+'L) Plafonnement taux'!Q140</f>
        <v>716104.3377347166</v>
      </c>
      <c r="H139" s="309">
        <f t="shared" si="7"/>
        <v>-200114.51002258493</v>
      </c>
      <c r="I139" s="494">
        <v>129191.87625221352</v>
      </c>
      <c r="J139" s="229">
        <f>+'M) Police'!N139</f>
        <v>116113.20551547641</v>
      </c>
      <c r="K139" s="309">
        <f t="shared" si="8"/>
        <v>-13078.670736737113</v>
      </c>
    </row>
    <row r="140" spans="1:11" s="473" customFormat="1" ht="15" x14ac:dyDescent="0.25">
      <c r="A140" s="149">
        <f>+'B) D RI'!A141</f>
        <v>5632</v>
      </c>
      <c r="B140" s="469" t="str">
        <f>+'B) D RI'!B141</f>
        <v>Denges</v>
      </c>
      <c r="C140" s="494">
        <v>1293807.6206162977</v>
      </c>
      <c r="D140" s="304">
        <f>+'E) PCS'!G146</f>
        <v>1220326.1281087229</v>
      </c>
      <c r="E140" s="309">
        <f t="shared" si="6"/>
        <v>-73481.492507574847</v>
      </c>
      <c r="F140" s="496">
        <v>931956.88023270119</v>
      </c>
      <c r="G140" s="229">
        <f>+'H) Péréquation directe'!I150+'I) Dépenses thématiques'!T140+'J) Plafonnement effort'!J140+'K) Plafonnement aide'!J140+'L) Plafonnement taux'!Q141</f>
        <v>952745.78150307806</v>
      </c>
      <c r="H140" s="309">
        <f t="shared" si="7"/>
        <v>20788.901270376868</v>
      </c>
      <c r="I140" s="494">
        <v>228506.65335786639</v>
      </c>
      <c r="J140" s="229">
        <f>+'M) Police'!N140</f>
        <v>241555.47731206889</v>
      </c>
      <c r="K140" s="309">
        <f t="shared" si="8"/>
        <v>13048.823954202497</v>
      </c>
    </row>
    <row r="141" spans="1:11" s="473" customFormat="1" ht="15" x14ac:dyDescent="0.25">
      <c r="A141" s="149">
        <f>+'B) D RI'!A142</f>
        <v>5633</v>
      </c>
      <c r="B141" s="469" t="str">
        <f>+'B) D RI'!B142</f>
        <v>Echandens</v>
      </c>
      <c r="C141" s="494">
        <v>3238326.3222448416</v>
      </c>
      <c r="D141" s="304">
        <f>+'E) PCS'!G147</f>
        <v>2849151.1865453268</v>
      </c>
      <c r="E141" s="309">
        <f t="shared" si="6"/>
        <v>-389175.13569951477</v>
      </c>
      <c r="F141" s="496">
        <v>1870115.2547600002</v>
      </c>
      <c r="G141" s="229">
        <f>+'H) Péréquation directe'!I151+'I) Dépenses thématiques'!T141+'J) Plafonnement effort'!J141+'K) Plafonnement aide'!J141+'L) Plafonnement taux'!Q142</f>
        <v>1801408.189587607</v>
      </c>
      <c r="H141" s="309">
        <f t="shared" si="7"/>
        <v>-68707.065172393108</v>
      </c>
      <c r="I141" s="494">
        <v>438951.58023606281</v>
      </c>
      <c r="J141" s="229">
        <f>+'M) Police'!N141</f>
        <v>445376.92357622087</v>
      </c>
      <c r="K141" s="309">
        <f t="shared" si="8"/>
        <v>6425.3433401580551</v>
      </c>
    </row>
    <row r="142" spans="1:11" s="473" customFormat="1" ht="15" x14ac:dyDescent="0.25">
      <c r="A142" s="149">
        <f>+'B) D RI'!A143</f>
        <v>5634</v>
      </c>
      <c r="B142" s="469" t="str">
        <f>+'B) D RI'!B143</f>
        <v>Echichens</v>
      </c>
      <c r="C142" s="494">
        <v>3789086.7583705704</v>
      </c>
      <c r="D142" s="304">
        <f>+'E) PCS'!G148</f>
        <v>2409315.6124873441</v>
      </c>
      <c r="E142" s="309">
        <f t="shared" si="6"/>
        <v>-1379771.1458832263</v>
      </c>
      <c r="F142" s="496">
        <v>2548852.6042737532</v>
      </c>
      <c r="G142" s="229">
        <f>+'H) Péréquation directe'!I152+'I) Dépenses thématiques'!T142+'J) Plafonnement effort'!J142+'K) Plafonnement aide'!J142+'L) Plafonnement taux'!Q143</f>
        <v>1826447.4141510236</v>
      </c>
      <c r="H142" s="309">
        <f t="shared" si="7"/>
        <v>-722405.19012272963</v>
      </c>
      <c r="I142" s="494">
        <v>485428.76506238215</v>
      </c>
      <c r="J142" s="229">
        <f>+'M) Police'!N142</f>
        <v>459150.53992821125</v>
      </c>
      <c r="K142" s="309">
        <f t="shared" si="8"/>
        <v>-26278.225134170905</v>
      </c>
    </row>
    <row r="143" spans="1:11" s="473" customFormat="1" ht="15" x14ac:dyDescent="0.25">
      <c r="A143" s="149">
        <f>+'B) D RI'!A144</f>
        <v>5635</v>
      </c>
      <c r="B143" s="469" t="str">
        <f>+'B) D RI'!B144</f>
        <v>Ecublens</v>
      </c>
      <c r="C143" s="494">
        <v>9418638.5735676363</v>
      </c>
      <c r="D143" s="304">
        <f>+'E) PCS'!G149</f>
        <v>16323522.66591152</v>
      </c>
      <c r="E143" s="309">
        <f t="shared" si="6"/>
        <v>6904884.0923438836</v>
      </c>
      <c r="F143" s="496">
        <v>-2950562.2365294797</v>
      </c>
      <c r="G143" s="229">
        <f>+'H) Péréquation directe'!I153+'I) Dépenses thématiques'!T143+'J) Plafonnement effort'!J143+'K) Plafonnement aide'!J143+'L) Plafonnement taux'!Q144</f>
        <v>7038618.9553665007</v>
      </c>
      <c r="H143" s="309">
        <f t="shared" si="7"/>
        <v>9989181.1918959804</v>
      </c>
      <c r="I143" s="494">
        <v>627779.87458293431</v>
      </c>
      <c r="J143" s="229">
        <f>+'M) Police'!N143</f>
        <v>1019732.0144995282</v>
      </c>
      <c r="K143" s="309">
        <f t="shared" si="8"/>
        <v>391952.13991659391</v>
      </c>
    </row>
    <row r="144" spans="1:11" s="473" customFormat="1" ht="15" x14ac:dyDescent="0.25">
      <c r="A144" s="149">
        <f>+'B) D RI'!A145</f>
        <v>5636</v>
      </c>
      <c r="B144" s="469" t="str">
        <f>+'B) D RI'!B145</f>
        <v>Etoy</v>
      </c>
      <c r="C144" s="494">
        <v>3956561.5380215263</v>
      </c>
      <c r="D144" s="304">
        <f>+'E) PCS'!G150</f>
        <v>4047511.5769384122</v>
      </c>
      <c r="E144" s="309">
        <f t="shared" si="6"/>
        <v>90950.038916885853</v>
      </c>
      <c r="F144" s="496">
        <v>2495758.8132405989</v>
      </c>
      <c r="G144" s="229">
        <f>+'H) Péréquation directe'!I154+'I) Dépenses thématiques'!T144+'J) Plafonnement effort'!J144+'K) Plafonnement aide'!J144+'L) Plafonnement taux'!Q145</f>
        <v>2694824.5727765565</v>
      </c>
      <c r="H144" s="309">
        <f t="shared" si="7"/>
        <v>199065.75953595759</v>
      </c>
      <c r="I144" s="494">
        <v>476950.73427440959</v>
      </c>
      <c r="J144" s="229">
        <f>+'M) Police'!N144</f>
        <v>479452.73356322118</v>
      </c>
      <c r="K144" s="309">
        <f t="shared" si="8"/>
        <v>2501.9992888115812</v>
      </c>
    </row>
    <row r="145" spans="1:11" s="473" customFormat="1" ht="15" x14ac:dyDescent="0.25">
      <c r="A145" s="149">
        <f>+'B) D RI'!A146</f>
        <v>5637</v>
      </c>
      <c r="B145" s="469" t="str">
        <f>+'B) D RI'!B146</f>
        <v>Lavigny</v>
      </c>
      <c r="C145" s="494">
        <v>689494.12396277522</v>
      </c>
      <c r="D145" s="304">
        <f>+'E) PCS'!G151</f>
        <v>705992.69202365412</v>
      </c>
      <c r="E145" s="309">
        <f t="shared" si="6"/>
        <v>16498.568060878897</v>
      </c>
      <c r="F145" s="496">
        <v>241372.735757374</v>
      </c>
      <c r="G145" s="229">
        <f>+'H) Péréquation directe'!I155+'I) Dépenses thématiques'!T145+'J) Plafonnement effort'!J145+'K) Plafonnement aide'!J145+'L) Plafonnement taux'!Q146</f>
        <v>208610.02795937669</v>
      </c>
      <c r="H145" s="309">
        <f t="shared" si="7"/>
        <v>-32762.707797997311</v>
      </c>
      <c r="I145" s="494">
        <v>116768.45380650405</v>
      </c>
      <c r="J145" s="229">
        <f>+'M) Police'!N145</f>
        <v>114491.88848503245</v>
      </c>
      <c r="K145" s="309">
        <f t="shared" si="8"/>
        <v>-2276.5653214716003</v>
      </c>
    </row>
    <row r="146" spans="1:11" s="473" customFormat="1" ht="15" x14ac:dyDescent="0.25">
      <c r="A146" s="149">
        <f>+'B) D RI'!A147</f>
        <v>5638</v>
      </c>
      <c r="B146" s="469" t="str">
        <f>+'B) D RI'!B147</f>
        <v>Lonay</v>
      </c>
      <c r="C146" s="494">
        <v>4399217.7967926534</v>
      </c>
      <c r="D146" s="304">
        <f>+'E) PCS'!G152</f>
        <v>6879880.4571783328</v>
      </c>
      <c r="E146" s="309">
        <f t="shared" si="6"/>
        <v>2480662.6603856795</v>
      </c>
      <c r="F146" s="496">
        <v>1940506.4754885724</v>
      </c>
      <c r="G146" s="229">
        <f>+'H) Péréquation directe'!I156+'I) Dépenses thématiques'!T146+'J) Plafonnement effort'!J146+'K) Plafonnement aide'!J146+'L) Plafonnement taux'!Q147</f>
        <v>2143630.6729992209</v>
      </c>
      <c r="H146" s="309">
        <f t="shared" si="7"/>
        <v>203124.19751064852</v>
      </c>
      <c r="I146" s="494">
        <v>426754.56248780875</v>
      </c>
      <c r="J146" s="229">
        <f>+'M) Police'!N146</f>
        <v>449446.98796436196</v>
      </c>
      <c r="K146" s="309">
        <f t="shared" si="8"/>
        <v>22692.42547655321</v>
      </c>
    </row>
    <row r="147" spans="1:11" s="473" customFormat="1" ht="15" x14ac:dyDescent="0.25">
      <c r="A147" s="149">
        <f>+'B) D RI'!A148</f>
        <v>5639</v>
      </c>
      <c r="B147" s="469" t="str">
        <f>+'B) D RI'!B148</f>
        <v>Lully</v>
      </c>
      <c r="C147" s="494">
        <v>911068.66061557294</v>
      </c>
      <c r="D147" s="304">
        <f>+'E) PCS'!G153</f>
        <v>952551.26723350445</v>
      </c>
      <c r="E147" s="309">
        <f t="shared" si="6"/>
        <v>41482.606617931509</v>
      </c>
      <c r="F147" s="496">
        <v>820538.80319193844</v>
      </c>
      <c r="G147" s="229">
        <f>+'H) Péréquation directe'!I157+'I) Dépenses thématiques'!T147+'J) Plafonnement effort'!J147+'K) Plafonnement aide'!J147+'L) Plafonnement taux'!Q148</f>
        <v>898649.49007097341</v>
      </c>
      <c r="H147" s="309">
        <f t="shared" si="7"/>
        <v>78110.686879034969</v>
      </c>
      <c r="I147" s="494">
        <v>130028.8798828157</v>
      </c>
      <c r="J147" s="229">
        <f>+'M) Police'!N147</f>
        <v>136785.02616384174</v>
      </c>
      <c r="K147" s="309">
        <f t="shared" si="8"/>
        <v>6756.1462810260418</v>
      </c>
    </row>
    <row r="148" spans="1:11" s="473" customFormat="1" ht="15" x14ac:dyDescent="0.25">
      <c r="A148" s="149">
        <f>+'B) D RI'!A149</f>
        <v>5640</v>
      </c>
      <c r="B148" s="469" t="str">
        <f>+'B) D RI'!B149</f>
        <v>Lussy-sur-Morges</v>
      </c>
      <c r="C148" s="494">
        <v>1780786.4783752349</v>
      </c>
      <c r="D148" s="304">
        <f>+'E) PCS'!G154</f>
        <v>1969206.825828623</v>
      </c>
      <c r="E148" s="309">
        <f t="shared" si="6"/>
        <v>188420.34745338815</v>
      </c>
      <c r="F148" s="496">
        <v>1109811.2588583175</v>
      </c>
      <c r="G148" s="229">
        <f>+'H) Péréquation directe'!I158+'I) Dépenses thématiques'!T148+'J) Plafonnement effort'!J148+'K) Plafonnement aide'!J148+'L) Plafonnement taux'!Q149</f>
        <v>1223326.6968910007</v>
      </c>
      <c r="H148" s="309">
        <f t="shared" si="7"/>
        <v>113515.43803268322</v>
      </c>
      <c r="I148" s="494">
        <v>78304.379451144167</v>
      </c>
      <c r="J148" s="229">
        <f>+'M) Police'!N148</f>
        <v>82441.751425712981</v>
      </c>
      <c r="K148" s="309">
        <f t="shared" si="8"/>
        <v>4137.371974568814</v>
      </c>
    </row>
    <row r="149" spans="1:11" s="473" customFormat="1" ht="15" x14ac:dyDescent="0.25">
      <c r="A149" s="149">
        <f>+'B) D RI'!A150</f>
        <v>5642</v>
      </c>
      <c r="B149" s="469" t="str">
        <f>+'B) D RI'!B150</f>
        <v>Morges</v>
      </c>
      <c r="C149" s="494">
        <v>18353982.738213252</v>
      </c>
      <c r="D149" s="304">
        <f>+'E) PCS'!G155</f>
        <v>17898233.853240363</v>
      </c>
      <c r="E149" s="309">
        <f t="shared" si="6"/>
        <v>-455748.88497288898</v>
      </c>
      <c r="F149" s="496">
        <v>5327506.0348467566</v>
      </c>
      <c r="G149" s="229">
        <f>+'H) Péréquation directe'!I159+'I) Dépenses thématiques'!T149+'J) Plafonnement effort'!J149+'K) Plafonnement aide'!J149+'L) Plafonnement taux'!Q150</f>
        <v>6918513.4040464703</v>
      </c>
      <c r="H149" s="309">
        <f t="shared" si="7"/>
        <v>1591007.3691997137</v>
      </c>
      <c r="I149" s="494">
        <v>1105277.9434352098</v>
      </c>
      <c r="J149" s="229">
        <f>+'M) Police'!N149</f>
        <v>1168606.0475328348</v>
      </c>
      <c r="K149" s="309">
        <f t="shared" si="8"/>
        <v>63328.104097625008</v>
      </c>
    </row>
    <row r="150" spans="1:11" s="473" customFormat="1" ht="15" x14ac:dyDescent="0.25">
      <c r="A150" s="149">
        <f>+'B) D RI'!A151</f>
        <v>5643</v>
      </c>
      <c r="B150" s="469" t="str">
        <f>+'B) D RI'!B151</f>
        <v>Préverenges</v>
      </c>
      <c r="C150" s="494">
        <v>5119866.1082624476</v>
      </c>
      <c r="D150" s="304">
        <f>+'E) PCS'!G156</f>
        <v>3716633.7061044676</v>
      </c>
      <c r="E150" s="309">
        <f t="shared" si="6"/>
        <v>-1403232.40215798</v>
      </c>
      <c r="F150" s="496">
        <v>3103424.9330073064</v>
      </c>
      <c r="G150" s="229">
        <f>+'H) Péréquation directe'!I160+'I) Dépenses thématiques'!T150+'J) Plafonnement effort'!J150+'K) Plafonnement aide'!J150+'L) Plafonnement taux'!Q151</f>
        <v>2862298.1178889871</v>
      </c>
      <c r="H150" s="309">
        <f t="shared" si="7"/>
        <v>-241126.81511831935</v>
      </c>
      <c r="I150" s="494">
        <v>332520.92247496481</v>
      </c>
      <c r="J150" s="229">
        <f>+'M) Police'!N150</f>
        <v>301293.81261345692</v>
      </c>
      <c r="K150" s="309">
        <f t="shared" si="8"/>
        <v>-31227.109861507895</v>
      </c>
    </row>
    <row r="151" spans="1:11" s="473" customFormat="1" ht="15" x14ac:dyDescent="0.25">
      <c r="A151" s="149">
        <f>+'B) D RI'!A152</f>
        <v>5644</v>
      </c>
      <c r="B151" s="469" t="str">
        <f>+'B) D RI'!B152</f>
        <v>Reverolle</v>
      </c>
      <c r="C151" s="494">
        <v>298476.07673667429</v>
      </c>
      <c r="D151" s="304">
        <f>+'E) PCS'!G157</f>
        <v>221183.93407147075</v>
      </c>
      <c r="E151" s="309">
        <f t="shared" si="6"/>
        <v>-77292.142665203544</v>
      </c>
      <c r="F151" s="496">
        <v>179563.26007016766</v>
      </c>
      <c r="G151" s="229">
        <f>+'H) Péréquation directe'!I161+'I) Dépenses thématiques'!T151+'J) Plafonnement effort'!J151+'K) Plafonnement aide'!J151+'L) Plafonnement taux'!Q152</f>
        <v>-136837.35904689421</v>
      </c>
      <c r="H151" s="309">
        <f t="shared" si="7"/>
        <v>-316400.61911706184</v>
      </c>
      <c r="I151" s="494">
        <v>53120.041934076173</v>
      </c>
      <c r="J151" s="229">
        <f>+'M) Police'!N151</f>
        <v>49536.992028228779</v>
      </c>
      <c r="K151" s="309">
        <f t="shared" si="8"/>
        <v>-3583.0499058473943</v>
      </c>
    </row>
    <row r="152" spans="1:11" s="473" customFormat="1" ht="15" x14ac:dyDescent="0.25">
      <c r="A152" s="149">
        <f>+'B) D RI'!A153</f>
        <v>5645</v>
      </c>
      <c r="B152" s="469" t="str">
        <f>+'B) D RI'!B153</f>
        <v>Romanel-sur-Morges</v>
      </c>
      <c r="C152" s="494">
        <v>669941.7786515851</v>
      </c>
      <c r="D152" s="304">
        <f>+'E) PCS'!G158</f>
        <v>482852.94624947279</v>
      </c>
      <c r="E152" s="309">
        <f t="shared" si="6"/>
        <v>-187088.83240211231</v>
      </c>
      <c r="F152" s="496">
        <v>532471.91972584103</v>
      </c>
      <c r="G152" s="229">
        <f>+'H) Péréquation directe'!I162+'I) Dépenses thématiques'!T152+'J) Plafonnement effort'!J152+'K) Plafonnement aide'!J152+'L) Plafonnement taux'!Q153</f>
        <v>437573.78910549724</v>
      </c>
      <c r="H152" s="309">
        <f t="shared" si="7"/>
        <v>-94898.130620343785</v>
      </c>
      <c r="I152" s="494">
        <v>78701.452258066944</v>
      </c>
      <c r="J152" s="229">
        <f>+'M) Police'!N152</f>
        <v>72724.733940120976</v>
      </c>
      <c r="K152" s="309">
        <f t="shared" si="8"/>
        <v>-5976.718317945968</v>
      </c>
    </row>
    <row r="153" spans="1:11" s="473" customFormat="1" ht="15" x14ac:dyDescent="0.25">
      <c r="A153" s="149">
        <f>+'B) D RI'!A154</f>
        <v>5646</v>
      </c>
      <c r="B153" s="469" t="str">
        <f>+'B) D RI'!B154</f>
        <v>Saint-Prex</v>
      </c>
      <c r="C153" s="494">
        <v>9410186.6087747347</v>
      </c>
      <c r="D153" s="304">
        <f>+'E) PCS'!G159</f>
        <v>12947974.735530883</v>
      </c>
      <c r="E153" s="309">
        <f t="shared" si="6"/>
        <v>3537788.1267561484</v>
      </c>
      <c r="F153" s="496">
        <v>5772680.5725056995</v>
      </c>
      <c r="G153" s="229">
        <f>+'H) Péréquation directe'!I163+'I) Dépenses thématiques'!T153+'J) Plafonnement effort'!J153+'K) Plafonnement aide'!J153+'L) Plafonnement taux'!Q154</f>
        <v>7509218.035054395</v>
      </c>
      <c r="H153" s="309">
        <f t="shared" si="7"/>
        <v>1736537.4625486955</v>
      </c>
      <c r="I153" s="494">
        <v>528042.23519153555</v>
      </c>
      <c r="J153" s="229">
        <f>+'M) Police'!N153</f>
        <v>617172.43287323811</v>
      </c>
      <c r="K153" s="309">
        <f t="shared" si="8"/>
        <v>89130.197681702557</v>
      </c>
    </row>
    <row r="154" spans="1:11" s="473" customFormat="1" ht="15" x14ac:dyDescent="0.25">
      <c r="A154" s="149">
        <f>+'B) D RI'!A155</f>
        <v>5648</v>
      </c>
      <c r="B154" s="469" t="str">
        <f>+'B) D RI'!B155</f>
        <v>Saint-Sulpice</v>
      </c>
      <c r="C154" s="494">
        <v>9866724.0205562003</v>
      </c>
      <c r="D154" s="304">
        <f>+'E) PCS'!G160</f>
        <v>8822026.6657247785</v>
      </c>
      <c r="E154" s="309">
        <f t="shared" si="6"/>
        <v>-1044697.3548314217</v>
      </c>
      <c r="F154" s="496">
        <v>5827616.5527944649</v>
      </c>
      <c r="G154" s="229">
        <f>+'H) Péréquation directe'!I164+'I) Dépenses thématiques'!T154+'J) Plafonnement effort'!J154+'K) Plafonnement aide'!J154+'L) Plafonnement taux'!Q155</f>
        <v>5570321.4857886424</v>
      </c>
      <c r="H154" s="309">
        <f t="shared" si="7"/>
        <v>-257295.06700582244</v>
      </c>
      <c r="I154" s="494">
        <v>491807.87217080174</v>
      </c>
      <c r="J154" s="229">
        <f>+'M) Police'!N154</f>
        <v>461055.36446834879</v>
      </c>
      <c r="K154" s="309">
        <f t="shared" si="8"/>
        <v>-30752.507702452946</v>
      </c>
    </row>
    <row r="155" spans="1:11" s="473" customFormat="1" ht="15" x14ac:dyDescent="0.25">
      <c r="A155" s="149">
        <f>+'B) D RI'!A156</f>
        <v>5649</v>
      </c>
      <c r="B155" s="469" t="str">
        <f>+'B) D RI'!B156</f>
        <v>Tolochenaz</v>
      </c>
      <c r="C155" s="494">
        <v>1955097.3706647123</v>
      </c>
      <c r="D155" s="304">
        <f>+'E) PCS'!G161</f>
        <v>3487949.4753231332</v>
      </c>
      <c r="E155" s="309">
        <f t="shared" si="6"/>
        <v>1532852.1046584209</v>
      </c>
      <c r="F155" s="496">
        <v>1072341.0728727141</v>
      </c>
      <c r="G155" s="229">
        <f>+'H) Péréquation directe'!I165+'I) Dépenses thématiques'!T155+'J) Plafonnement effort'!J155+'K) Plafonnement aide'!J155+'L) Plafonnement taux'!Q156</f>
        <v>2271413.7095149001</v>
      </c>
      <c r="H155" s="309">
        <f t="shared" si="7"/>
        <v>1199072.636642186</v>
      </c>
      <c r="I155" s="494">
        <v>132046.58359686489</v>
      </c>
      <c r="J155" s="229">
        <f>+'M) Police'!N155</f>
        <v>182093.34973950847</v>
      </c>
      <c r="K155" s="309">
        <f t="shared" si="8"/>
        <v>50046.766142643581</v>
      </c>
    </row>
    <row r="156" spans="1:11" s="473" customFormat="1" ht="15" x14ac:dyDescent="0.25">
      <c r="A156" s="149">
        <f>+'B) D RI'!A157</f>
        <v>5650</v>
      </c>
      <c r="B156" s="469" t="str">
        <f>+'B) D RI'!B157</f>
        <v>Vaux-sur-Morges</v>
      </c>
      <c r="C156" s="494">
        <v>3987721.5139235845</v>
      </c>
      <c r="D156" s="304">
        <f>+'E) PCS'!G162</f>
        <v>3923623.8684406704</v>
      </c>
      <c r="E156" s="309">
        <f t="shared" si="6"/>
        <v>-64097.645482914057</v>
      </c>
      <c r="F156" s="496">
        <v>404520.4346478451</v>
      </c>
      <c r="G156" s="229">
        <f>+'H) Péréquation directe'!I166+'I) Dépenses thématiques'!T156+'J) Plafonnement effort'!J156+'K) Plafonnement aide'!J156+'L) Plafonnement taux'!Q157</f>
        <v>698342.88013075723</v>
      </c>
      <c r="H156" s="309">
        <f t="shared" si="7"/>
        <v>293822.44548291212</v>
      </c>
      <c r="I156" s="494">
        <v>134094.20096974127</v>
      </c>
      <c r="J156" s="229">
        <f>+'M) Police'!N156</f>
        <v>114684.80001181833</v>
      </c>
      <c r="K156" s="309">
        <f t="shared" si="8"/>
        <v>-19409.400957922946</v>
      </c>
    </row>
    <row r="157" spans="1:11" s="473" customFormat="1" ht="15" x14ac:dyDescent="0.25">
      <c r="A157" s="149">
        <f>+'B) D RI'!A158</f>
        <v>5651</v>
      </c>
      <c r="B157" s="469" t="str">
        <f>+'B) D RI'!B158</f>
        <v>Villars-Sainte-Croix</v>
      </c>
      <c r="C157" s="494">
        <v>1243412.2216581705</v>
      </c>
      <c r="D157" s="304">
        <f>+'E) PCS'!G163</f>
        <v>999191.37947674608</v>
      </c>
      <c r="E157" s="309">
        <f t="shared" si="6"/>
        <v>-244220.84218142438</v>
      </c>
      <c r="F157" s="496">
        <v>1030418.3146381559</v>
      </c>
      <c r="G157" s="229">
        <f>+'H) Péréquation directe'!I167+'I) Dépenses thématiques'!T157+'J) Plafonnement effort'!J157+'K) Plafonnement aide'!J157+'L) Plafonnement taux'!Q158</f>
        <v>956783.43066474819</v>
      </c>
      <c r="H157" s="309">
        <f t="shared" si="7"/>
        <v>-73634.883973407676</v>
      </c>
      <c r="I157" s="494">
        <v>75387.786367620181</v>
      </c>
      <c r="J157" s="229">
        <f>+'M) Police'!N157</f>
        <v>67443.52435229563</v>
      </c>
      <c r="K157" s="309">
        <f t="shared" si="8"/>
        <v>-7944.2620153245516</v>
      </c>
    </row>
    <row r="158" spans="1:11" s="473" customFormat="1" ht="15" x14ac:dyDescent="0.25">
      <c r="A158" s="149">
        <f>+'B) D RI'!A159</f>
        <v>5652</v>
      </c>
      <c r="B158" s="469" t="str">
        <f>+'B) D RI'!B159</f>
        <v>Villars-sous-Yens</v>
      </c>
      <c r="C158" s="494">
        <v>617082.32577994489</v>
      </c>
      <c r="D158" s="304">
        <f>+'E) PCS'!G164</f>
        <v>346405.00831998943</v>
      </c>
      <c r="E158" s="309">
        <f t="shared" si="6"/>
        <v>-270677.31745995546</v>
      </c>
      <c r="F158" s="496">
        <v>570978.09840789367</v>
      </c>
      <c r="G158" s="229">
        <f>+'H) Péréquation directe'!I168+'I) Dépenses thématiques'!T158+'J) Plafonnement effort'!J158+'K) Plafonnement aide'!J158+'L) Plafonnement taux'!Q159</f>
        <v>277686.75820850377</v>
      </c>
      <c r="H158" s="309">
        <f t="shared" si="7"/>
        <v>-293291.3401993899</v>
      </c>
      <c r="I158" s="494">
        <v>93635.833880186256</v>
      </c>
      <c r="J158" s="229">
        <f>+'M) Police'!N158</f>
        <v>78989.550570847787</v>
      </c>
      <c r="K158" s="309">
        <f t="shared" si="8"/>
        <v>-14646.283309338469</v>
      </c>
    </row>
    <row r="159" spans="1:11" s="473" customFormat="1" ht="15" x14ac:dyDescent="0.25">
      <c r="A159" s="149">
        <f>+'B) D RI'!A160</f>
        <v>5653</v>
      </c>
      <c r="B159" s="469" t="str">
        <f>+'B) D RI'!B160</f>
        <v>Vufflens-le-Château</v>
      </c>
      <c r="C159" s="494">
        <v>2597838.0842259312</v>
      </c>
      <c r="D159" s="304">
        <f>+'E) PCS'!G165</f>
        <v>1386658.6630526036</v>
      </c>
      <c r="E159" s="309">
        <f t="shared" si="6"/>
        <v>-1211179.4211733276</v>
      </c>
      <c r="F159" s="496">
        <v>1302697.3350839906</v>
      </c>
      <c r="G159" s="229">
        <f>+'H) Péréquation directe'!I169+'I) Dépenses thématiques'!T159+'J) Plafonnement effort'!J159+'K) Plafonnement aide'!J159+'L) Plafonnement taux'!Q160</f>
        <v>1151129.1419877473</v>
      </c>
      <c r="H159" s="309">
        <f t="shared" si="7"/>
        <v>-151568.19309624331</v>
      </c>
      <c r="I159" s="494">
        <v>167631.720730701</v>
      </c>
      <c r="J159" s="229">
        <f>+'M) Police'!N159</f>
        <v>159020.63715148153</v>
      </c>
      <c r="K159" s="309">
        <f t="shared" si="8"/>
        <v>-8611.0835792194703</v>
      </c>
    </row>
    <row r="160" spans="1:11" s="473" customFormat="1" ht="15" x14ac:dyDescent="0.25">
      <c r="A160" s="149">
        <f>+'B) D RI'!A161</f>
        <v>5654</v>
      </c>
      <c r="B160" s="469" t="str">
        <f>+'B) D RI'!B161</f>
        <v>Vullierens</v>
      </c>
      <c r="C160" s="494">
        <v>303194.3927113383</v>
      </c>
      <c r="D160" s="304">
        <f>+'E) PCS'!G166</f>
        <v>338534.38230655732</v>
      </c>
      <c r="E160" s="309">
        <f t="shared" si="6"/>
        <v>35339.989595219027</v>
      </c>
      <c r="F160" s="496">
        <v>142957.64456865459</v>
      </c>
      <c r="G160" s="229">
        <f>+'H) Péréquation directe'!I170+'I) Dépenses thématiques'!T160+'J) Plafonnement effort'!J160+'K) Plafonnement aide'!J160+'L) Plafonnement taux'!Q161</f>
        <v>64988.68165517872</v>
      </c>
      <c r="H160" s="309">
        <f t="shared" si="7"/>
        <v>-77968.962913475872</v>
      </c>
      <c r="I160" s="494">
        <v>56489.928093675248</v>
      </c>
      <c r="J160" s="229">
        <f>+'M) Police'!N160</f>
        <v>62489.225475284984</v>
      </c>
      <c r="K160" s="309">
        <f t="shared" si="8"/>
        <v>5999.2973816097365</v>
      </c>
    </row>
    <row r="161" spans="1:11" s="473" customFormat="1" ht="15" x14ac:dyDescent="0.25">
      <c r="A161" s="149">
        <f>+'B) D RI'!A162</f>
        <v>5655</v>
      </c>
      <c r="B161" s="469" t="str">
        <f>+'B) D RI'!B162</f>
        <v>Yens</v>
      </c>
      <c r="C161" s="494">
        <v>1577210.5492934284</v>
      </c>
      <c r="D161" s="304">
        <f>+'E) PCS'!G167</f>
        <v>987704.15655039693</v>
      </c>
      <c r="E161" s="309">
        <f t="shared" si="6"/>
        <v>-589506.39274303149</v>
      </c>
      <c r="F161" s="496">
        <v>1219569.0084882621</v>
      </c>
      <c r="G161" s="229">
        <f>+'H) Péréquation directe'!I171+'I) Dépenses thématiques'!T161+'J) Plafonnement effort'!J161+'K) Plafonnement aide'!J161+'L) Plafonnement taux'!Q162</f>
        <v>1071195.1502696322</v>
      </c>
      <c r="H161" s="309">
        <f t="shared" si="7"/>
        <v>-148373.85821862984</v>
      </c>
      <c r="I161" s="494">
        <v>224701.21724191835</v>
      </c>
      <c r="J161" s="229">
        <f>+'M) Police'!N161</f>
        <v>219832.85899942118</v>
      </c>
      <c r="K161" s="309">
        <f t="shared" si="8"/>
        <v>-4868.3582424971682</v>
      </c>
    </row>
    <row r="162" spans="1:11" s="473" customFormat="1" ht="15" x14ac:dyDescent="0.25">
      <c r="A162" s="149">
        <f>+'B) D RI'!A163</f>
        <v>5661</v>
      </c>
      <c r="B162" s="469" t="str">
        <f>+'B) D RI'!B163</f>
        <v>Boulens</v>
      </c>
      <c r="C162" s="494">
        <v>160493.90122570301</v>
      </c>
      <c r="D162" s="304">
        <f>+'E) PCS'!G168</f>
        <v>166623.12550311908</v>
      </c>
      <c r="E162" s="309">
        <f t="shared" si="6"/>
        <v>6129.2242774160695</v>
      </c>
      <c r="F162" s="496">
        <v>-59115.784993496869</v>
      </c>
      <c r="G162" s="229">
        <f>+'H) Péréquation directe'!I172+'I) Dépenses thématiques'!T162+'J) Plafonnement effort'!J162+'K) Plafonnement aide'!J162+'L) Plafonnement taux'!Q163</f>
        <v>8466.3714374778538</v>
      </c>
      <c r="H162" s="309">
        <f t="shared" si="7"/>
        <v>67582.156430974719</v>
      </c>
      <c r="I162" s="494">
        <v>31537.220888691085</v>
      </c>
      <c r="J162" s="229">
        <f>+'M) Police'!N162</f>
        <v>33863.782021694562</v>
      </c>
      <c r="K162" s="309">
        <f t="shared" si="8"/>
        <v>2326.5611330034772</v>
      </c>
    </row>
    <row r="163" spans="1:11" s="473" customFormat="1" ht="15" x14ac:dyDescent="0.25">
      <c r="A163" s="149">
        <f>+'B) D RI'!A164</f>
        <v>5663</v>
      </c>
      <c r="B163" s="469" t="str">
        <f>+'B) D RI'!B164</f>
        <v>Bussy-sur-Moudon</v>
      </c>
      <c r="C163" s="494">
        <v>120369.65177663851</v>
      </c>
      <c r="D163" s="304">
        <f>+'E) PCS'!G169</f>
        <v>76810.439040021403</v>
      </c>
      <c r="E163" s="309">
        <f t="shared" si="6"/>
        <v>-43559.212736617104</v>
      </c>
      <c r="F163" s="496">
        <v>-23440.541707073506</v>
      </c>
      <c r="G163" s="229">
        <f>+'H) Péréquation directe'!I173+'I) Dépenses thématiques'!T163+'J) Plafonnement effort'!J163+'K) Plafonnement aide'!J163+'L) Plafonnement taux'!Q164</f>
        <v>-93696.705911832396</v>
      </c>
      <c r="H163" s="309">
        <f t="shared" si="7"/>
        <v>-70256.164204758883</v>
      </c>
      <c r="I163" s="494">
        <v>20130.672777319382</v>
      </c>
      <c r="J163" s="229">
        <f>+'M) Police'!N163</f>
        <v>15806.914320821874</v>
      </c>
      <c r="K163" s="309">
        <f t="shared" si="8"/>
        <v>-4323.7584564975077</v>
      </c>
    </row>
    <row r="164" spans="1:11" s="473" customFormat="1" ht="15" x14ac:dyDescent="0.25">
      <c r="A164" s="149">
        <f>+'B) D RI'!A165</f>
        <v>5665</v>
      </c>
      <c r="B164" s="469" t="str">
        <f>+'B) D RI'!B165</f>
        <v>Chavannes-sur-Moudon</v>
      </c>
      <c r="C164" s="494">
        <v>87211.36549851649</v>
      </c>
      <c r="D164" s="304">
        <f>+'E) PCS'!G170</f>
        <v>65355.940812549336</v>
      </c>
      <c r="E164" s="309">
        <f t="shared" si="6"/>
        <v>-21855.424685967155</v>
      </c>
      <c r="F164" s="496">
        <v>-57526.806613695604</v>
      </c>
      <c r="G164" s="229">
        <f>+'H) Péréquation directe'!I174+'I) Dépenses thématiques'!T164+'J) Plafonnement effort'!J164+'K) Plafonnement aide'!J164+'L) Plafonnement taux'!Q165</f>
        <v>-52391.320353919335</v>
      </c>
      <c r="H164" s="309">
        <f t="shared" si="7"/>
        <v>5135.4862597762694</v>
      </c>
      <c r="I164" s="494">
        <v>14852.922642114798</v>
      </c>
      <c r="J164" s="229">
        <f>+'M) Police'!N164</f>
        <v>14776.442275973535</v>
      </c>
      <c r="K164" s="309">
        <f t="shared" si="8"/>
        <v>-76.480366141262493</v>
      </c>
    </row>
    <row r="165" spans="1:11" s="473" customFormat="1" ht="15" x14ac:dyDescent="0.25">
      <c r="A165" s="149">
        <f>+'B) D RI'!A166</f>
        <v>5669</v>
      </c>
      <c r="B165" s="469" t="str">
        <f>+'B) D RI'!B166</f>
        <v>Curtilles</v>
      </c>
      <c r="C165" s="494">
        <v>160658.25895405497</v>
      </c>
      <c r="D165" s="304">
        <f>+'E) PCS'!G171</f>
        <v>158714.82322497573</v>
      </c>
      <c r="E165" s="309">
        <f t="shared" si="6"/>
        <v>-1943.4357290792395</v>
      </c>
      <c r="F165" s="496">
        <v>62140.901798697043</v>
      </c>
      <c r="G165" s="229">
        <f>+'H) Péréquation directe'!I175+'I) Dépenses thématiques'!T165+'J) Plafonnement effort'!J165+'K) Plafonnement aide'!J165+'L) Plafonnement taux'!Q166</f>
        <v>31129.639132436623</v>
      </c>
      <c r="H165" s="309">
        <f t="shared" si="7"/>
        <v>-31011.26266626042</v>
      </c>
      <c r="I165" s="494">
        <v>31536.610554225834</v>
      </c>
      <c r="J165" s="229">
        <f>+'M) Police'!N165</f>
        <v>28299.35258526972</v>
      </c>
      <c r="K165" s="309">
        <f t="shared" si="8"/>
        <v>-3237.2579689561135</v>
      </c>
    </row>
    <row r="166" spans="1:11" s="473" customFormat="1" ht="15" x14ac:dyDescent="0.25">
      <c r="A166" s="149">
        <f>+'B) D RI'!A167</f>
        <v>5671</v>
      </c>
      <c r="B166" s="469" t="str">
        <f>+'B) D RI'!B167</f>
        <v>Dompierre</v>
      </c>
      <c r="C166" s="494">
        <v>124380.59580864423</v>
      </c>
      <c r="D166" s="304">
        <f>+'E) PCS'!G172</f>
        <v>132231.02023627216</v>
      </c>
      <c r="E166" s="309">
        <f t="shared" si="6"/>
        <v>7850.4244276279351</v>
      </c>
      <c r="F166" s="496">
        <v>-43397.260354716338</v>
      </c>
      <c r="G166" s="229">
        <f>+'H) Péréquation directe'!I176+'I) Dépenses thématiques'!T166+'J) Plafonnement effort'!J166+'K) Plafonnement aide'!J166+'L) Plafonnement taux'!Q167</f>
        <v>-42283.892419603217</v>
      </c>
      <c r="H166" s="309">
        <f t="shared" si="7"/>
        <v>1113.3679351131213</v>
      </c>
      <c r="I166" s="494">
        <v>20684.304264966362</v>
      </c>
      <c r="J166" s="229">
        <f>+'M) Police'!N166</f>
        <v>19536.651255833036</v>
      </c>
      <c r="K166" s="309">
        <f t="shared" si="8"/>
        <v>-1147.6530091333261</v>
      </c>
    </row>
    <row r="167" spans="1:11" s="473" customFormat="1" ht="15" x14ac:dyDescent="0.25">
      <c r="A167" s="149">
        <f>+'B) D RI'!A168</f>
        <v>5673</v>
      </c>
      <c r="B167" s="469" t="str">
        <f>+'B) D RI'!B168</f>
        <v>Hermenches</v>
      </c>
      <c r="C167" s="494">
        <v>175284.13346522639</v>
      </c>
      <c r="D167" s="304">
        <f>+'E) PCS'!G173</f>
        <v>130001.1938075959</v>
      </c>
      <c r="E167" s="309">
        <f t="shared" si="6"/>
        <v>-45282.939657630486</v>
      </c>
      <c r="F167" s="496">
        <v>-95348.498766963094</v>
      </c>
      <c r="G167" s="229">
        <f>+'H) Péréquation directe'!I177+'I) Dépenses thématiques'!T167+'J) Plafonnement effort'!J167+'K) Plafonnement aide'!J167+'L) Plafonnement taux'!Q168</f>
        <v>-240648.45775470589</v>
      </c>
      <c r="H167" s="309">
        <f t="shared" si="7"/>
        <v>-145299.95898774278</v>
      </c>
      <c r="I167" s="494">
        <v>31259.646864284761</v>
      </c>
      <c r="J167" s="229">
        <f>+'M) Police'!N167</f>
        <v>31039.297283668202</v>
      </c>
      <c r="K167" s="309">
        <f t="shared" si="8"/>
        <v>-220.34958061655925</v>
      </c>
    </row>
    <row r="168" spans="1:11" s="473" customFormat="1" ht="15" x14ac:dyDescent="0.25">
      <c r="A168" s="149">
        <f>+'B) D RI'!A169</f>
        <v>5674</v>
      </c>
      <c r="B168" s="469" t="str">
        <f>+'B) D RI'!B169</f>
        <v>Lovatens</v>
      </c>
      <c r="C168" s="494">
        <v>49355.147982070666</v>
      </c>
      <c r="D168" s="304">
        <f>+'E) PCS'!G174</f>
        <v>70504.273900780914</v>
      </c>
      <c r="E168" s="309">
        <f t="shared" si="6"/>
        <v>21149.125918710248</v>
      </c>
      <c r="F168" s="496">
        <v>-33597.09277945925</v>
      </c>
      <c r="G168" s="229">
        <f>+'H) Péréquation directe'!I178+'I) Dépenses thématiques'!T168+'J) Plafonnement effort'!J168+'K) Plafonnement aide'!J168+'L) Plafonnement taux'!Q169</f>
        <v>-28993.893571836954</v>
      </c>
      <c r="H168" s="309">
        <f t="shared" si="7"/>
        <v>4603.1992076222959</v>
      </c>
      <c r="I168" s="494">
        <v>10070.575002119598</v>
      </c>
      <c r="J168" s="229">
        <f>+'M) Police'!N168</f>
        <v>12696.892870736021</v>
      </c>
      <c r="K168" s="309">
        <f t="shared" si="8"/>
        <v>2626.3178686164229</v>
      </c>
    </row>
    <row r="169" spans="1:11" s="473" customFormat="1" ht="15" x14ac:dyDescent="0.25">
      <c r="A169" s="149">
        <f>+'B) D RI'!A170</f>
        <v>5675</v>
      </c>
      <c r="B169" s="469" t="str">
        <f>+'B) D RI'!B170</f>
        <v>Lucens</v>
      </c>
      <c r="C169" s="494">
        <v>1949362.6273378078</v>
      </c>
      <c r="D169" s="304">
        <f>+'E) PCS'!G175</f>
        <v>1809950.6354712255</v>
      </c>
      <c r="E169" s="309">
        <f t="shared" si="6"/>
        <v>-139411.99186658231</v>
      </c>
      <c r="F169" s="496">
        <v>-1820695.0738608781</v>
      </c>
      <c r="G169" s="229">
        <f>+'H) Péréquation directe'!I179+'I) Dépenses thématiques'!T169+'J) Plafonnement effort'!J169+'K) Plafonnement aide'!J169+'L) Plafonnement taux'!Q170</f>
        <v>-2010924.2759061614</v>
      </c>
      <c r="H169" s="309">
        <f t="shared" si="7"/>
        <v>-190229.20204528328</v>
      </c>
      <c r="I169" s="494">
        <v>298792.41740829038</v>
      </c>
      <c r="J169" s="229">
        <f>+'M) Police'!N169</f>
        <v>311508.26897066529</v>
      </c>
      <c r="K169" s="309">
        <f t="shared" si="8"/>
        <v>12715.851562374912</v>
      </c>
    </row>
    <row r="170" spans="1:11" s="473" customFormat="1" ht="15" x14ac:dyDescent="0.25">
      <c r="A170" s="149">
        <f>+'B) D RI'!A171</f>
        <v>5678</v>
      </c>
      <c r="B170" s="469" t="str">
        <f>+'B) D RI'!B171</f>
        <v>Moudon</v>
      </c>
      <c r="C170" s="494">
        <v>2670576.2347000935</v>
      </c>
      <c r="D170" s="304">
        <f>+'E) PCS'!G176</f>
        <v>2457953.0282815187</v>
      </c>
      <c r="E170" s="309">
        <f t="shared" si="6"/>
        <v>-212623.20641857479</v>
      </c>
      <c r="F170" s="496">
        <v>-4545015.2402102035</v>
      </c>
      <c r="G170" s="229">
        <f>+'H) Péréquation directe'!I180+'I) Dépenses thématiques'!T170+'J) Plafonnement effort'!J170+'K) Plafonnement aide'!J170+'L) Plafonnement taux'!Q171</f>
        <v>-4791795.7322815182</v>
      </c>
      <c r="H170" s="309">
        <f t="shared" si="7"/>
        <v>-246780.49207131471</v>
      </c>
      <c r="I170" s="494">
        <v>386714.12374020199</v>
      </c>
      <c r="J170" s="229">
        <f>+'M) Police'!N170</f>
        <v>369357.92436126038</v>
      </c>
      <c r="K170" s="309">
        <f t="shared" si="8"/>
        <v>-17356.199378941616</v>
      </c>
    </row>
    <row r="171" spans="1:11" s="473" customFormat="1" ht="15" x14ac:dyDescent="0.25">
      <c r="A171" s="149">
        <f>+'B) D RI'!A172</f>
        <v>5680</v>
      </c>
      <c r="B171" s="469" t="str">
        <f>+'B) D RI'!B172</f>
        <v>Ogens</v>
      </c>
      <c r="C171" s="494">
        <v>133579.02221987254</v>
      </c>
      <c r="D171" s="304">
        <f>+'E) PCS'!G177</f>
        <v>128782.35035401295</v>
      </c>
      <c r="E171" s="309">
        <f t="shared" si="6"/>
        <v>-4796.6718658595928</v>
      </c>
      <c r="F171" s="496">
        <v>-115643.19320839929</v>
      </c>
      <c r="G171" s="229">
        <f>+'H) Péréquation directe'!I181+'I) Dépenses thématiques'!T171+'J) Plafonnement effort'!J171+'K) Plafonnement aide'!J171+'L) Plafonnement taux'!Q172</f>
        <v>-70702.09620231892</v>
      </c>
      <c r="H171" s="309">
        <f t="shared" si="7"/>
        <v>44941.097006080367</v>
      </c>
      <c r="I171" s="494">
        <v>19504.397755134742</v>
      </c>
      <c r="J171" s="229">
        <f>+'M) Police'!N171</f>
        <v>25616.554355076372</v>
      </c>
      <c r="K171" s="309">
        <f t="shared" si="8"/>
        <v>6112.1565999416307</v>
      </c>
    </row>
    <row r="172" spans="1:11" s="473" customFormat="1" ht="15" x14ac:dyDescent="0.25">
      <c r="A172" s="149">
        <f>+'B) D RI'!A173</f>
        <v>5683</v>
      </c>
      <c r="B172" s="469" t="str">
        <f>+'B) D RI'!B173</f>
        <v>Prévonloup</v>
      </c>
      <c r="C172" s="494">
        <v>73954.79633633398</v>
      </c>
      <c r="D172" s="304">
        <f>+'E) PCS'!G178</f>
        <v>87139.608741171265</v>
      </c>
      <c r="E172" s="309">
        <f t="shared" si="6"/>
        <v>13184.812404837285</v>
      </c>
      <c r="F172" s="496">
        <v>-50755.111740435081</v>
      </c>
      <c r="G172" s="229">
        <f>+'H) Péréquation directe'!I182+'I) Dépenses thématiques'!T172+'J) Plafonnement effort'!J172+'K) Plafonnement aide'!J172+'L) Plafonnement taux'!Q173</f>
        <v>-31664.78331241844</v>
      </c>
      <c r="H172" s="309">
        <f t="shared" si="7"/>
        <v>19090.328428016641</v>
      </c>
      <c r="I172" s="494">
        <v>14128.86732077962</v>
      </c>
      <c r="J172" s="229">
        <f>+'M) Police'!N172</f>
        <v>16205.081559474545</v>
      </c>
      <c r="K172" s="309">
        <f t="shared" si="8"/>
        <v>2076.2142386949254</v>
      </c>
    </row>
    <row r="173" spans="1:11" s="473" customFormat="1" ht="15" x14ac:dyDescent="0.25">
      <c r="A173" s="149">
        <f>+'B) D RI'!A174</f>
        <v>5684</v>
      </c>
      <c r="B173" s="469" t="str">
        <f>+'B) D RI'!B174</f>
        <v>Rossenges</v>
      </c>
      <c r="C173" s="494">
        <v>47525.926467217316</v>
      </c>
      <c r="D173" s="304">
        <f>+'E) PCS'!G179</f>
        <v>39680.994487235315</v>
      </c>
      <c r="E173" s="309">
        <f t="shared" si="6"/>
        <v>-7844.9319799820005</v>
      </c>
      <c r="F173" s="496">
        <v>22012.032777726563</v>
      </c>
      <c r="G173" s="229">
        <f>+'H) Péréquation directe'!I183+'I) Dépenses thématiques'!T173+'J) Plafonnement effort'!J173+'K) Plafonnement aide'!J173+'L) Plafonnement taux'!Q174</f>
        <v>21083.121679207208</v>
      </c>
      <c r="H173" s="309">
        <f t="shared" si="7"/>
        <v>-928.91109851935471</v>
      </c>
      <c r="I173" s="494">
        <v>9967.0729559277133</v>
      </c>
      <c r="J173" s="229">
        <f>+'M) Police'!N173</f>
        <v>10094.64393797853</v>
      </c>
      <c r="K173" s="309">
        <f t="shared" si="8"/>
        <v>127.57098205081638</v>
      </c>
    </row>
    <row r="174" spans="1:11" s="473" customFormat="1" ht="15" x14ac:dyDescent="0.25">
      <c r="A174" s="149">
        <f>+'B) D RI'!A175</f>
        <v>5688</v>
      </c>
      <c r="B174" s="469" t="str">
        <f>+'B) D RI'!B175</f>
        <v>Syens</v>
      </c>
      <c r="C174" s="494">
        <v>41862.706369121515</v>
      </c>
      <c r="D174" s="304">
        <f>+'E) PCS'!G180</f>
        <v>88055.203474057373</v>
      </c>
      <c r="E174" s="309">
        <f t="shared" si="6"/>
        <v>46192.497104935857</v>
      </c>
      <c r="F174" s="496">
        <v>-104354.83720235848</v>
      </c>
      <c r="G174" s="229">
        <f>+'H) Péréquation directe'!I184+'I) Dépenses thématiques'!T174+'J) Plafonnement effort'!J174+'K) Plafonnement aide'!J174+'L) Plafonnement taux'!Q175</f>
        <v>42609.092979715148</v>
      </c>
      <c r="H174" s="309">
        <f t="shared" si="7"/>
        <v>146963.93018207361</v>
      </c>
      <c r="I174" s="494">
        <v>8314.4437954095465</v>
      </c>
      <c r="J174" s="229">
        <f>+'M) Police'!N174</f>
        <v>18740.266308948507</v>
      </c>
      <c r="K174" s="309">
        <f t="shared" si="8"/>
        <v>10425.82251353896</v>
      </c>
    </row>
    <row r="175" spans="1:11" s="473" customFormat="1" ht="15" x14ac:dyDescent="0.25">
      <c r="A175" s="149">
        <f>+'B) D RI'!A176</f>
        <v>5690</v>
      </c>
      <c r="B175" s="469" t="str">
        <f>+'B) D RI'!B176</f>
        <v>Villars-le-Comte</v>
      </c>
      <c r="C175" s="494">
        <v>58041.023573869796</v>
      </c>
      <c r="D175" s="304">
        <f>+'E) PCS'!G181</f>
        <v>52517.29962613267</v>
      </c>
      <c r="E175" s="309">
        <f t="shared" si="6"/>
        <v>-5523.7239477371259</v>
      </c>
      <c r="F175" s="496">
        <v>-6292.719150932222</v>
      </c>
      <c r="G175" s="229">
        <f>+'H) Péréquation directe'!I185+'I) Dépenses thématiques'!T175+'J) Plafonnement effort'!J175+'K) Plafonnement aide'!J175+'L) Plafonnement taux'!Q176</f>
        <v>-29349.180638582584</v>
      </c>
      <c r="H175" s="309">
        <f t="shared" si="7"/>
        <v>-23056.461487650362</v>
      </c>
      <c r="I175" s="494">
        <v>9292.9430019364117</v>
      </c>
      <c r="J175" s="229">
        <f>+'M) Police'!N175</f>
        <v>10497.669632775312</v>
      </c>
      <c r="K175" s="309">
        <f t="shared" si="8"/>
        <v>1204.7266308389007</v>
      </c>
    </row>
    <row r="176" spans="1:11" s="473" customFormat="1" ht="15" x14ac:dyDescent="0.25">
      <c r="A176" s="149">
        <f>+'B) D RI'!A177</f>
        <v>5692</v>
      </c>
      <c r="B176" s="469" t="str">
        <f>+'B) D RI'!B177</f>
        <v>Vucherens</v>
      </c>
      <c r="C176" s="494">
        <v>295559.1512844222</v>
      </c>
      <c r="D176" s="304">
        <f>+'E) PCS'!G182</f>
        <v>329508.19395819074</v>
      </c>
      <c r="E176" s="309">
        <f t="shared" si="6"/>
        <v>33949.042673768534</v>
      </c>
      <c r="F176" s="496">
        <v>-88316.440069707663</v>
      </c>
      <c r="G176" s="229">
        <f>+'H) Péréquation directe'!I186+'I) Dépenses thématiques'!T176+'J) Plafonnement effort'!J176+'K) Plafonnement aide'!J176+'L) Plafonnement taux'!Q177</f>
        <v>-76106.673673700076</v>
      </c>
      <c r="H176" s="309">
        <f t="shared" si="7"/>
        <v>12209.766396007588</v>
      </c>
      <c r="I176" s="494">
        <v>50072.479047453795</v>
      </c>
      <c r="J176" s="229">
        <f>+'M) Police'!N176</f>
        <v>56915.009856869816</v>
      </c>
      <c r="K176" s="309">
        <f t="shared" si="8"/>
        <v>6842.5308094160209</v>
      </c>
    </row>
    <row r="177" spans="1:11" s="473" customFormat="1" ht="15" x14ac:dyDescent="0.25">
      <c r="A177" s="149">
        <f>+'B) D RI'!A178</f>
        <v>5693</v>
      </c>
      <c r="B177" s="469" t="str">
        <f>+'B) D RI'!B178</f>
        <v>Montanaire</v>
      </c>
      <c r="C177" s="494">
        <v>1249258.2046437005</v>
      </c>
      <c r="D177" s="304">
        <f>+'E) PCS'!G183</f>
        <v>1184916.830813003</v>
      </c>
      <c r="E177" s="309">
        <f t="shared" si="6"/>
        <v>-64341.373830697499</v>
      </c>
      <c r="F177" s="496">
        <v>-1018546.9030191215</v>
      </c>
      <c r="G177" s="229">
        <f>+'H) Péréquation directe'!I187+'I) Dépenses thématiques'!T177+'J) Plafonnement effort'!J177+'K) Plafonnement aide'!J177+'L) Plafonnement taux'!Q178</f>
        <v>-963823.39025804307</v>
      </c>
      <c r="H177" s="309">
        <f t="shared" si="7"/>
        <v>54723.512761078426</v>
      </c>
      <c r="I177" s="494">
        <v>220977.69138285812</v>
      </c>
      <c r="J177" s="229">
        <f>+'M) Police'!N177</f>
        <v>227331.55937602499</v>
      </c>
      <c r="K177" s="309">
        <f t="shared" si="8"/>
        <v>6353.8679931668739</v>
      </c>
    </row>
    <row r="178" spans="1:11" s="473" customFormat="1" ht="15" x14ac:dyDescent="0.25">
      <c r="A178" s="149">
        <f>+'B) D RI'!A179</f>
        <v>5701</v>
      </c>
      <c r="B178" s="469" t="str">
        <f>+'B) D RI'!B179</f>
        <v>Arnex-sur-Nyon</v>
      </c>
      <c r="C178" s="494">
        <v>228924.13004704946</v>
      </c>
      <c r="D178" s="304">
        <f>+'E) PCS'!G184</f>
        <v>317710.44268583407</v>
      </c>
      <c r="E178" s="309">
        <f t="shared" si="6"/>
        <v>88786.312638784613</v>
      </c>
      <c r="F178" s="496">
        <v>42639.198641643045</v>
      </c>
      <c r="G178" s="229">
        <f>+'H) Péréquation directe'!I188+'I) Dépenses thématiques'!T178+'J) Plafonnement effort'!J178+'K) Plafonnement aide'!J178+'L) Plafonnement taux'!Q179</f>
        <v>242082.35520780057</v>
      </c>
      <c r="H178" s="309">
        <f t="shared" si="7"/>
        <v>199443.15656615753</v>
      </c>
      <c r="I178" s="494">
        <v>35064.144020092048</v>
      </c>
      <c r="J178" s="229">
        <f>+'M) Police'!N178</f>
        <v>37134.447068590329</v>
      </c>
      <c r="K178" s="309">
        <f t="shared" si="8"/>
        <v>2070.303048498281</v>
      </c>
    </row>
    <row r="179" spans="1:11" s="473" customFormat="1" ht="15" x14ac:dyDescent="0.25">
      <c r="A179" s="149">
        <f>+'B) D RI'!A180</f>
        <v>5702</v>
      </c>
      <c r="B179" s="469" t="str">
        <f>+'B) D RI'!B180</f>
        <v>Arzier-Le Muids</v>
      </c>
      <c r="C179" s="494">
        <v>4057991.0763884094</v>
      </c>
      <c r="D179" s="304">
        <f>+'E) PCS'!G185</f>
        <v>3326033.7989395461</v>
      </c>
      <c r="E179" s="309">
        <f t="shared" si="6"/>
        <v>-731957.27744886326</v>
      </c>
      <c r="F179" s="496">
        <v>2402231.6843722016</v>
      </c>
      <c r="G179" s="229">
        <f>+'H) Péréquation directe'!I189+'I) Dépenses thématiques'!T179+'J) Plafonnement effort'!J179+'K) Plafonnement aide'!J179+'L) Plafonnement taux'!Q180</f>
        <v>1988813.3463706465</v>
      </c>
      <c r="H179" s="309">
        <f t="shared" si="7"/>
        <v>-413418.33800155506</v>
      </c>
      <c r="I179" s="494">
        <v>462665.69892770099</v>
      </c>
      <c r="J179" s="229">
        <f>+'M) Police'!N179</f>
        <v>467782.97609124845</v>
      </c>
      <c r="K179" s="309">
        <f t="shared" si="8"/>
        <v>5117.2771635474637</v>
      </c>
    </row>
    <row r="180" spans="1:11" s="473" customFormat="1" ht="15" x14ac:dyDescent="0.25">
      <c r="A180" s="149">
        <f>+'B) D RI'!A181</f>
        <v>5703</v>
      </c>
      <c r="B180" s="469" t="str">
        <f>+'B) D RI'!B181</f>
        <v>Bassins</v>
      </c>
      <c r="C180" s="494">
        <v>1078912.9698625661</v>
      </c>
      <c r="D180" s="304">
        <f>+'E) PCS'!G186</f>
        <v>1063615.5090114367</v>
      </c>
      <c r="E180" s="309">
        <f t="shared" si="6"/>
        <v>-15297.460851129377</v>
      </c>
      <c r="F180" s="496">
        <v>439986.93121067859</v>
      </c>
      <c r="G180" s="229">
        <f>+'H) Péréquation directe'!I190+'I) Dépenses thématiques'!T180+'J) Plafonnement effort'!J180+'K) Plafonnement aide'!J180+'L) Plafonnement taux'!Q181</f>
        <v>843078.56432174612</v>
      </c>
      <c r="H180" s="309">
        <f t="shared" si="7"/>
        <v>403091.63311106752</v>
      </c>
      <c r="I180" s="494">
        <v>185163.60344170185</v>
      </c>
      <c r="J180" s="229">
        <f>+'M) Police'!N180</f>
        <v>202312.88006226375</v>
      </c>
      <c r="K180" s="309">
        <f t="shared" si="8"/>
        <v>17149.276620561897</v>
      </c>
    </row>
    <row r="181" spans="1:11" s="473" customFormat="1" ht="15" x14ac:dyDescent="0.25">
      <c r="A181" s="149">
        <f>+'B) D RI'!A182</f>
        <v>5704</v>
      </c>
      <c r="B181" s="469" t="str">
        <f>+'B) D RI'!B182</f>
        <v>Begnins</v>
      </c>
      <c r="C181" s="494">
        <v>2968449.1119911764</v>
      </c>
      <c r="D181" s="304">
        <f>+'E) PCS'!G187</f>
        <v>5177997.7296839673</v>
      </c>
      <c r="E181" s="309">
        <f t="shared" si="6"/>
        <v>2209548.6176927909</v>
      </c>
      <c r="F181" s="496">
        <v>2091565.3075072095</v>
      </c>
      <c r="G181" s="229">
        <f>+'H) Péréquation directe'!I191+'I) Dépenses thématiques'!T181+'J) Plafonnement effort'!J181+'K) Plafonnement aide'!J181+'L) Plafonnement taux'!Q182</f>
        <v>3321119.3800074523</v>
      </c>
      <c r="H181" s="309">
        <f t="shared" si="7"/>
        <v>1229554.0725002429</v>
      </c>
      <c r="I181" s="494">
        <v>330829.72080159758</v>
      </c>
      <c r="J181" s="229">
        <f>+'M) Police'!N181</f>
        <v>409996.60877336608</v>
      </c>
      <c r="K181" s="309">
        <f t="shared" si="8"/>
        <v>79166.887971768505</v>
      </c>
    </row>
    <row r="182" spans="1:11" s="473" customFormat="1" ht="15" x14ac:dyDescent="0.25">
      <c r="A182" s="149">
        <f>+'B) D RI'!A183</f>
        <v>5705</v>
      </c>
      <c r="B182" s="469" t="str">
        <f>+'B) D RI'!B183</f>
        <v>Bogis-Bossey</v>
      </c>
      <c r="C182" s="494">
        <v>1046768.6459418789</v>
      </c>
      <c r="D182" s="304">
        <f>+'E) PCS'!G188</f>
        <v>1056659.3216871815</v>
      </c>
      <c r="E182" s="309">
        <f t="shared" si="6"/>
        <v>9890.6757453025784</v>
      </c>
      <c r="F182" s="496">
        <v>827705.73339514469</v>
      </c>
      <c r="G182" s="229">
        <f>+'H) Péréquation directe'!I192+'I) Dépenses thématiques'!T182+'J) Plafonnement effort'!J182+'K) Plafonnement aide'!J182+'L) Plafonnement taux'!Q183</f>
        <v>858371.76928431727</v>
      </c>
      <c r="H182" s="309">
        <f t="shared" si="7"/>
        <v>30666.035889172577</v>
      </c>
      <c r="I182" s="494">
        <v>131151.09335516274</v>
      </c>
      <c r="J182" s="229">
        <f>+'M) Police'!N182</f>
        <v>140092.49553018255</v>
      </c>
      <c r="K182" s="309">
        <f t="shared" si="8"/>
        <v>8941.4021750198153</v>
      </c>
    </row>
    <row r="183" spans="1:11" s="473" customFormat="1" ht="15" x14ac:dyDescent="0.25">
      <c r="A183" s="149">
        <f>+'B) D RI'!A184</f>
        <v>5706</v>
      </c>
      <c r="B183" s="469" t="str">
        <f>+'B) D RI'!B184</f>
        <v>Borex</v>
      </c>
      <c r="C183" s="494">
        <v>1665752.4718618905</v>
      </c>
      <c r="D183" s="304">
        <f>+'E) PCS'!G189</f>
        <v>1220962.4638088506</v>
      </c>
      <c r="E183" s="309">
        <f t="shared" si="6"/>
        <v>-444790.0080530399</v>
      </c>
      <c r="F183" s="496">
        <v>1335631.3492123636</v>
      </c>
      <c r="G183" s="229">
        <f>+'H) Péréquation directe'!I193+'I) Dépenses thématiques'!T183+'J) Plafonnement effort'!J183+'K) Plafonnement aide'!J183+'L) Plafonnement taux'!Q184</f>
        <v>1145946.5408918147</v>
      </c>
      <c r="H183" s="309">
        <f t="shared" si="7"/>
        <v>-189684.80832054885</v>
      </c>
      <c r="I183" s="494">
        <v>194982.85997527826</v>
      </c>
      <c r="J183" s="229">
        <f>+'M) Police'!N183</f>
        <v>187355.97951384843</v>
      </c>
      <c r="K183" s="309">
        <f t="shared" si="8"/>
        <v>-7626.8804614298278</v>
      </c>
    </row>
    <row r="184" spans="1:11" s="473" customFormat="1" ht="15" x14ac:dyDescent="0.25">
      <c r="A184" s="149">
        <f>+'B) D RI'!A185</f>
        <v>5707</v>
      </c>
      <c r="B184" s="469" t="str">
        <f>+'B) D RI'!B185</f>
        <v>Chavannes-de-Bogis</v>
      </c>
      <c r="C184" s="494">
        <v>1861093.5953305529</v>
      </c>
      <c r="D184" s="304">
        <f>+'E) PCS'!G190</f>
        <v>2047014.2291470587</v>
      </c>
      <c r="E184" s="309">
        <f t="shared" si="6"/>
        <v>185920.63381650578</v>
      </c>
      <c r="F184" s="496">
        <v>1329211.6902112102</v>
      </c>
      <c r="G184" s="229">
        <f>+'H) Péréquation directe'!I194+'I) Dépenses thématiques'!T184+'J) Plafonnement effort'!J184+'K) Plafonnement aide'!J184+'L) Plafonnement taux'!Q185</f>
        <v>1401953.7804073831</v>
      </c>
      <c r="H184" s="309">
        <f t="shared" si="7"/>
        <v>72742.09019617294</v>
      </c>
      <c r="I184" s="494">
        <v>218895.11170371104</v>
      </c>
      <c r="J184" s="229">
        <f>+'M) Police'!N184</f>
        <v>221756.10083129531</v>
      </c>
      <c r="K184" s="309">
        <f t="shared" si="8"/>
        <v>2860.9891275842674</v>
      </c>
    </row>
    <row r="185" spans="1:11" s="473" customFormat="1" ht="15" x14ac:dyDescent="0.25">
      <c r="A185" s="149">
        <f>+'B) D RI'!A186</f>
        <v>5708</v>
      </c>
      <c r="B185" s="469" t="str">
        <f>+'B) D RI'!B186</f>
        <v>Chavannes-des-Bois</v>
      </c>
      <c r="C185" s="494">
        <v>1589127.7685776744</v>
      </c>
      <c r="D185" s="304">
        <f>+'E) PCS'!G191</f>
        <v>1270802.4525848525</v>
      </c>
      <c r="E185" s="309">
        <f t="shared" si="6"/>
        <v>-318325.31599282194</v>
      </c>
      <c r="F185" s="496">
        <v>1150150.0639681453</v>
      </c>
      <c r="G185" s="229">
        <f>+'H) Péréquation directe'!I195+'I) Dépenses thématiques'!T185+'J) Plafonnement effort'!J185+'K) Plafonnement aide'!J185+'L) Plafonnement taux'!Q186</f>
        <v>1123367.6218061591</v>
      </c>
      <c r="H185" s="309">
        <f t="shared" si="7"/>
        <v>-26782.442161986139</v>
      </c>
      <c r="I185" s="494">
        <v>164842.75631457992</v>
      </c>
      <c r="J185" s="229">
        <f>+'M) Police'!N185</f>
        <v>168139.4380607474</v>
      </c>
      <c r="K185" s="309">
        <f t="shared" si="8"/>
        <v>3296.68174616748</v>
      </c>
    </row>
    <row r="186" spans="1:11" s="473" customFormat="1" ht="15" x14ac:dyDescent="0.25">
      <c r="A186" s="149">
        <f>+'B) D RI'!A187</f>
        <v>5709</v>
      </c>
      <c r="B186" s="469" t="str">
        <f>+'B) D RI'!B187</f>
        <v>Chéserex</v>
      </c>
      <c r="C186" s="494">
        <v>2475802.0641712453</v>
      </c>
      <c r="D186" s="304">
        <f>+'E) PCS'!G192</f>
        <v>2405237.9398645842</v>
      </c>
      <c r="E186" s="309">
        <f t="shared" si="6"/>
        <v>-70564.124306661077</v>
      </c>
      <c r="F186" s="496">
        <v>1690007.1619951818</v>
      </c>
      <c r="G186" s="229">
        <f>+'H) Péréquation directe'!I196+'I) Dépenses thématiques'!T186+'J) Plafonnement effort'!J186+'K) Plafonnement aide'!J186+'L) Plafonnement taux'!Q187</f>
        <v>1431344.0394845579</v>
      </c>
      <c r="H186" s="309">
        <f t="shared" si="7"/>
        <v>-258663.12251062389</v>
      </c>
      <c r="I186" s="494">
        <v>229623.44392834511</v>
      </c>
      <c r="J186" s="229">
        <f>+'M) Police'!N186</f>
        <v>216143.32278623959</v>
      </c>
      <c r="K186" s="309">
        <f t="shared" si="8"/>
        <v>-13480.12114210552</v>
      </c>
    </row>
    <row r="187" spans="1:11" s="473" customFormat="1" ht="15" x14ac:dyDescent="0.25">
      <c r="A187" s="149">
        <f>+'B) D RI'!A188</f>
        <v>5710</v>
      </c>
      <c r="B187" s="469" t="str">
        <f>+'B) D RI'!B188</f>
        <v>Coinsins</v>
      </c>
      <c r="C187" s="494">
        <v>4312758.8654497461</v>
      </c>
      <c r="D187" s="304">
        <f>+'E) PCS'!G193</f>
        <v>918982.05311377486</v>
      </c>
      <c r="E187" s="309">
        <f t="shared" si="6"/>
        <v>-3393776.8123359713</v>
      </c>
      <c r="F187" s="496">
        <v>1365440.9751782776</v>
      </c>
      <c r="G187" s="229">
        <f>+'H) Péréquation directe'!I197+'I) Dépenses thématiques'!T187+'J) Plafonnement effort'!J187+'K) Plafonnement aide'!J187+'L) Plafonnement taux'!Q188</f>
        <v>746449.23013019154</v>
      </c>
      <c r="H187" s="309">
        <f t="shared" si="7"/>
        <v>-618991.74504808604</v>
      </c>
      <c r="I187" s="494">
        <v>192056.47735880257</v>
      </c>
      <c r="J187" s="229">
        <f>+'M) Police'!N187</f>
        <v>96147.008307784854</v>
      </c>
      <c r="K187" s="309">
        <f t="shared" si="8"/>
        <v>-95909.469051017717</v>
      </c>
    </row>
    <row r="188" spans="1:11" s="473" customFormat="1" ht="15" x14ac:dyDescent="0.25">
      <c r="A188" s="149">
        <f>+'B) D RI'!A189</f>
        <v>5711</v>
      </c>
      <c r="B188" s="469" t="str">
        <f>+'B) D RI'!B189</f>
        <v>Commugny</v>
      </c>
      <c r="C188" s="494">
        <v>6893879.864857343</v>
      </c>
      <c r="D188" s="304">
        <f>+'E) PCS'!G194</f>
        <v>7162134.5277130771</v>
      </c>
      <c r="E188" s="309">
        <f t="shared" si="6"/>
        <v>268254.66285573412</v>
      </c>
      <c r="F188" s="496">
        <v>4252219.1798074013</v>
      </c>
      <c r="G188" s="229">
        <f>+'H) Péréquation directe'!I198+'I) Dépenses thématiques'!T188+'J) Plafonnement effort'!J188+'K) Plafonnement aide'!J188+'L) Plafonnement taux'!Q189</f>
        <v>4516357.967977982</v>
      </c>
      <c r="H188" s="309">
        <f t="shared" si="7"/>
        <v>264138.78817058075</v>
      </c>
      <c r="I188" s="494">
        <v>580719.57730430912</v>
      </c>
      <c r="J188" s="229">
        <f>+'M) Police'!N188</f>
        <v>602839.15977563942</v>
      </c>
      <c r="K188" s="309">
        <f t="shared" si="8"/>
        <v>22119.582471330301</v>
      </c>
    </row>
    <row r="189" spans="1:11" s="473" customFormat="1" ht="15" x14ac:dyDescent="0.25">
      <c r="A189" s="149">
        <f>+'B) D RI'!A190</f>
        <v>5712</v>
      </c>
      <c r="B189" s="469" t="str">
        <f>+'B) D RI'!B190</f>
        <v>Coppet</v>
      </c>
      <c r="C189" s="494">
        <v>12200313.602051076</v>
      </c>
      <c r="D189" s="304">
        <f>+'E) PCS'!G195</f>
        <v>8465648.4184337948</v>
      </c>
      <c r="E189" s="309">
        <f t="shared" si="6"/>
        <v>-3734665.1836172808</v>
      </c>
      <c r="F189" s="496">
        <v>6719574.9924783241</v>
      </c>
      <c r="G189" s="229">
        <f>+'H) Péréquation directe'!I199+'I) Dépenses thématiques'!T189+'J) Plafonnement effort'!J189+'K) Plafonnement aide'!J189+'L) Plafonnement taux'!Q190</f>
        <v>5297296.4422914125</v>
      </c>
      <c r="H189" s="309">
        <f t="shared" si="7"/>
        <v>-1422278.5501869116</v>
      </c>
      <c r="I189" s="494">
        <v>774021.3515416123</v>
      </c>
      <c r="J189" s="229">
        <f>+'M) Police'!N189</f>
        <v>677109.58414891292</v>
      </c>
      <c r="K189" s="309">
        <f t="shared" si="8"/>
        <v>-96911.767392699374</v>
      </c>
    </row>
    <row r="190" spans="1:11" s="473" customFormat="1" ht="15" x14ac:dyDescent="0.25">
      <c r="A190" s="149">
        <f>+'B) D RI'!A191</f>
        <v>5713</v>
      </c>
      <c r="B190" s="469" t="str">
        <f>+'B) D RI'!B191</f>
        <v>Crans</v>
      </c>
      <c r="C190" s="494">
        <v>8971541.4916430041</v>
      </c>
      <c r="D190" s="304">
        <f>+'E) PCS'!G196</f>
        <v>9506511.7821061034</v>
      </c>
      <c r="E190" s="309">
        <f t="shared" si="6"/>
        <v>534970.29046309926</v>
      </c>
      <c r="F190" s="496">
        <v>5035418.9712725012</v>
      </c>
      <c r="G190" s="229">
        <f>+'H) Péréquation directe'!I200+'I) Dépenses thématiques'!T190+'J) Plafonnement effort'!J190+'K) Plafonnement aide'!J190+'L) Plafonnement taux'!Q191</f>
        <v>5038656.1505215932</v>
      </c>
      <c r="H190" s="309">
        <f t="shared" si="7"/>
        <v>3237.1792490920052</v>
      </c>
      <c r="I190" s="494">
        <v>367137.30576572334</v>
      </c>
      <c r="J190" s="229">
        <f>+'M) Police'!N190</f>
        <v>353605.53601714462</v>
      </c>
      <c r="K190" s="309">
        <f t="shared" si="8"/>
        <v>-13531.769748578721</v>
      </c>
    </row>
    <row r="191" spans="1:11" s="473" customFormat="1" ht="15" x14ac:dyDescent="0.25">
      <c r="A191" s="149">
        <f>+'B) D RI'!A192</f>
        <v>5714</v>
      </c>
      <c r="B191" s="469" t="str">
        <f>+'B) D RI'!B192</f>
        <v>Crassier</v>
      </c>
      <c r="C191" s="494">
        <v>1488794.8359988986</v>
      </c>
      <c r="D191" s="304">
        <f>+'E) PCS'!G197</f>
        <v>1145788.0709355515</v>
      </c>
      <c r="E191" s="309">
        <f t="shared" si="6"/>
        <v>-343006.76506334706</v>
      </c>
      <c r="F191" s="496">
        <v>1179814.4277719334</v>
      </c>
      <c r="G191" s="229">
        <f>+'H) Péréquation directe'!I201+'I) Dépenses thématiques'!T191+'J) Plafonnement effort'!J191+'K) Plafonnement aide'!J191+'L) Plafonnement taux'!Q192</f>
        <v>954710.55577456625</v>
      </c>
      <c r="H191" s="309">
        <f t="shared" si="7"/>
        <v>-225103.87199736713</v>
      </c>
      <c r="I191" s="494">
        <v>188793.15541130595</v>
      </c>
      <c r="J191" s="229">
        <f>+'M) Police'!N191</f>
        <v>182382.00557814111</v>
      </c>
      <c r="K191" s="309">
        <f t="shared" si="8"/>
        <v>-6411.1498331648472</v>
      </c>
    </row>
    <row r="192" spans="1:11" s="473" customFormat="1" ht="15" x14ac:dyDescent="0.25">
      <c r="A192" s="149">
        <f>+'B) D RI'!A193</f>
        <v>5715</v>
      </c>
      <c r="B192" s="469" t="str">
        <f>+'B) D RI'!B193</f>
        <v>Duillier</v>
      </c>
      <c r="C192" s="494">
        <v>1569451.7249670539</v>
      </c>
      <c r="D192" s="304">
        <f>+'E) PCS'!G198</f>
        <v>1544223.8857236276</v>
      </c>
      <c r="E192" s="309">
        <f t="shared" si="6"/>
        <v>-25227.83924342622</v>
      </c>
      <c r="F192" s="496">
        <v>1219258.0131740163</v>
      </c>
      <c r="G192" s="229">
        <f>+'H) Péréquation directe'!I202+'I) Dépenses thématiques'!T192+'J) Plafonnement effort'!J192+'K) Plafonnement aide'!J192+'L) Plafonnement taux'!Q193</f>
        <v>1137419.7777579797</v>
      </c>
      <c r="H192" s="309">
        <f t="shared" si="7"/>
        <v>-81838.235416036565</v>
      </c>
      <c r="I192" s="494">
        <v>182829.62977662939</v>
      </c>
      <c r="J192" s="229">
        <f>+'M) Police'!N192</f>
        <v>184707.71865712714</v>
      </c>
      <c r="K192" s="309">
        <f t="shared" si="8"/>
        <v>1878.0888804977585</v>
      </c>
    </row>
    <row r="193" spans="1:11" s="473" customFormat="1" ht="15" x14ac:dyDescent="0.25">
      <c r="A193" s="149">
        <f>+'B) D RI'!A194</f>
        <v>5716</v>
      </c>
      <c r="B193" s="469" t="str">
        <f>+'B) D RI'!B194</f>
        <v>Eysins</v>
      </c>
      <c r="C193" s="494">
        <v>7014809.970961622</v>
      </c>
      <c r="D193" s="304">
        <f>+'E) PCS'!G199</f>
        <v>5425156.3086883072</v>
      </c>
      <c r="E193" s="309">
        <f t="shared" si="6"/>
        <v>-1589653.6622733148</v>
      </c>
      <c r="F193" s="496">
        <v>3732464.686218678</v>
      </c>
      <c r="G193" s="229">
        <f>+'H) Péréquation directe'!I203+'I) Dépenses thématiques'!T193+'J) Plafonnement effort'!J193+'K) Plafonnement aide'!J193+'L) Plafonnement taux'!Q194</f>
        <v>3420911.7557655387</v>
      </c>
      <c r="H193" s="309">
        <f t="shared" si="7"/>
        <v>-311552.93045313936</v>
      </c>
      <c r="I193" s="494">
        <v>424718.7582863915</v>
      </c>
      <c r="J193" s="229">
        <f>+'M) Police'!N193</f>
        <v>393441.47473076882</v>
      </c>
      <c r="K193" s="309">
        <f t="shared" si="8"/>
        <v>-31277.283555622678</v>
      </c>
    </row>
    <row r="194" spans="1:11" s="473" customFormat="1" ht="15" x14ac:dyDescent="0.25">
      <c r="A194" s="149">
        <f>+'B) D RI'!A195</f>
        <v>5717</v>
      </c>
      <c r="B194" s="469" t="str">
        <f>+'B) D RI'!B195</f>
        <v>Founex</v>
      </c>
      <c r="C194" s="494">
        <v>9742876.5633256342</v>
      </c>
      <c r="D194" s="304">
        <f>+'E) PCS'!G200</f>
        <v>9732103.0489710346</v>
      </c>
      <c r="E194" s="309">
        <f t="shared" si="6"/>
        <v>-10773.51435459964</v>
      </c>
      <c r="F194" s="496">
        <v>5557504.9547842592</v>
      </c>
      <c r="G194" s="229">
        <f>+'H) Péréquation directe'!I204+'I) Dépenses thématiques'!T194+'J) Plafonnement effort'!J194+'K) Plafonnement aide'!J194+'L) Plafonnement taux'!Q195</f>
        <v>6055222.1017657667</v>
      </c>
      <c r="H194" s="309">
        <f t="shared" si="7"/>
        <v>497717.14698150754</v>
      </c>
      <c r="I194" s="494">
        <v>764217.27927037317</v>
      </c>
      <c r="J194" s="229">
        <f>+'M) Police'!N194</f>
        <v>798315.01268633944</v>
      </c>
      <c r="K194" s="309">
        <f t="shared" si="8"/>
        <v>34097.733415966271</v>
      </c>
    </row>
    <row r="195" spans="1:11" s="473" customFormat="1" ht="15" x14ac:dyDescent="0.25">
      <c r="A195" s="149">
        <f>+'B) D RI'!A196</f>
        <v>5718</v>
      </c>
      <c r="B195" s="469" t="str">
        <f>+'B) D RI'!B196</f>
        <v>Genolier</v>
      </c>
      <c r="C195" s="494">
        <v>4777332.8041139217</v>
      </c>
      <c r="D195" s="304">
        <f>+'E) PCS'!G201</f>
        <v>4729833.3719515884</v>
      </c>
      <c r="E195" s="309">
        <f t="shared" si="6"/>
        <v>-47499.43216233328</v>
      </c>
      <c r="F195" s="496">
        <v>2868327.5060511711</v>
      </c>
      <c r="G195" s="229">
        <f>+'H) Péréquation directe'!I205+'I) Dépenses thématiques'!T195+'J) Plafonnement effort'!J195+'K) Plafonnement aide'!J195+'L) Plafonnement taux'!Q196</f>
        <v>3105001.2801287523</v>
      </c>
      <c r="H195" s="309">
        <f t="shared" si="7"/>
        <v>236673.77407758124</v>
      </c>
      <c r="I195" s="494">
        <v>389094.61022119457</v>
      </c>
      <c r="J195" s="229">
        <f>+'M) Police'!N195</f>
        <v>405466.14061063679</v>
      </c>
      <c r="K195" s="309">
        <f t="shared" si="8"/>
        <v>16371.530389442225</v>
      </c>
    </row>
    <row r="196" spans="1:11" s="473" customFormat="1" ht="15" x14ac:dyDescent="0.25">
      <c r="A196" s="149">
        <f>+'B) D RI'!A197</f>
        <v>5719</v>
      </c>
      <c r="B196" s="469" t="str">
        <f>+'B) D RI'!B197</f>
        <v>Gingins</v>
      </c>
      <c r="C196" s="494">
        <v>4255833.7256971039</v>
      </c>
      <c r="D196" s="304">
        <f>+'E) PCS'!G202</f>
        <v>4325007.8614792582</v>
      </c>
      <c r="E196" s="309">
        <f t="shared" si="6"/>
        <v>69174.135782154277</v>
      </c>
      <c r="F196" s="496">
        <v>2586844.7155236956</v>
      </c>
      <c r="G196" s="229">
        <f>+'H) Péréquation directe'!I206+'I) Dépenses thématiques'!T196+'J) Plafonnement effort'!J196+'K) Plafonnement aide'!J196+'L) Plafonnement taux'!Q197</f>
        <v>2604962.4708062443</v>
      </c>
      <c r="H196" s="309">
        <f t="shared" si="7"/>
        <v>18117.755282548722</v>
      </c>
      <c r="I196" s="494">
        <v>288387.98553524236</v>
      </c>
      <c r="J196" s="229">
        <f>+'M) Police'!N196</f>
        <v>289908.08661784936</v>
      </c>
      <c r="K196" s="309">
        <f t="shared" si="8"/>
        <v>1520.1010826069978</v>
      </c>
    </row>
    <row r="197" spans="1:11" s="473" customFormat="1" ht="15" x14ac:dyDescent="0.25">
      <c r="A197" s="149">
        <f>+'B) D RI'!A198</f>
        <v>5720</v>
      </c>
      <c r="B197" s="469" t="str">
        <f>+'B) D RI'!B198</f>
        <v>Givrins</v>
      </c>
      <c r="C197" s="494">
        <v>2271132.5941790314</v>
      </c>
      <c r="D197" s="304">
        <f>+'E) PCS'!G203</f>
        <v>1648844.0977516116</v>
      </c>
      <c r="E197" s="309">
        <f t="shared" si="6"/>
        <v>-622288.49642741983</v>
      </c>
      <c r="F197" s="496">
        <v>1443667.2929716287</v>
      </c>
      <c r="G197" s="229">
        <f>+'H) Péréquation directe'!I207+'I) Dépenses thématiques'!T197+'J) Plafonnement effort'!J197+'K) Plafonnement aide'!J197+'L) Plafonnement taux'!Q198</f>
        <v>1221106.2866748346</v>
      </c>
      <c r="H197" s="309">
        <f t="shared" si="7"/>
        <v>-222561.00629679416</v>
      </c>
      <c r="I197" s="494">
        <v>193774.82561273742</v>
      </c>
      <c r="J197" s="229">
        <f>+'M) Police'!N197</f>
        <v>177690.11411578464</v>
      </c>
      <c r="K197" s="309">
        <f t="shared" si="8"/>
        <v>-16084.711496952776</v>
      </c>
    </row>
    <row r="198" spans="1:11" s="473" customFormat="1" ht="15" x14ac:dyDescent="0.25">
      <c r="A198" s="149">
        <f>+'B) D RI'!A199</f>
        <v>5721</v>
      </c>
      <c r="B198" s="469" t="str">
        <f>+'B) D RI'!B199</f>
        <v>Gland</v>
      </c>
      <c r="C198" s="494">
        <v>12996575.439290924</v>
      </c>
      <c r="D198" s="304">
        <f>+'E) PCS'!G204</f>
        <v>12309981.643541388</v>
      </c>
      <c r="E198" s="309">
        <f t="shared" ref="E198:E261" si="9">D198-C198</f>
        <v>-686593.79574953578</v>
      </c>
      <c r="F198" s="496">
        <v>4917936.1304430477</v>
      </c>
      <c r="G198" s="229">
        <f>+'H) Péréquation directe'!I208+'I) Dépenses thématiques'!T198+'J) Plafonnement effort'!J198+'K) Plafonnement aide'!J198+'L) Plafonnement taux'!Q199</f>
        <v>5422696.8115960499</v>
      </c>
      <c r="H198" s="309">
        <f t="shared" ref="H198:H261" si="10">G198-F198</f>
        <v>504760.6811530022</v>
      </c>
      <c r="I198" s="494">
        <v>1968762.7090313653</v>
      </c>
      <c r="J198" s="229">
        <f>+'M) Police'!N198</f>
        <v>2034353.4629976037</v>
      </c>
      <c r="K198" s="309">
        <f t="shared" ref="K198:K261" si="11">J198-I198</f>
        <v>65590.75396623835</v>
      </c>
    </row>
    <row r="199" spans="1:11" s="473" customFormat="1" ht="15" x14ac:dyDescent="0.25">
      <c r="A199" s="149">
        <f>+'B) D RI'!A200</f>
        <v>5722</v>
      </c>
      <c r="B199" s="469" t="str">
        <f>+'B) D RI'!B200</f>
        <v>Grens</v>
      </c>
      <c r="C199" s="494">
        <v>412362.82662804547</v>
      </c>
      <c r="D199" s="304">
        <f>+'E) PCS'!G205</f>
        <v>320684.66270232567</v>
      </c>
      <c r="E199" s="309">
        <f t="shared" si="9"/>
        <v>-91678.163925719797</v>
      </c>
      <c r="F199" s="496">
        <v>148925.64945756129</v>
      </c>
      <c r="G199" s="229">
        <f>+'H) Péréquation directe'!I209+'I) Dépenses thématiques'!T199+'J) Plafonnement effort'!J199+'K) Plafonnement aide'!J199+'L) Plafonnement taux'!Q200</f>
        <v>366277.38001002558</v>
      </c>
      <c r="H199" s="309">
        <f t="shared" si="10"/>
        <v>217351.73055246429</v>
      </c>
      <c r="I199" s="494">
        <v>58644.552536603529</v>
      </c>
      <c r="J199" s="229">
        <f>+'M) Police'!N199</f>
        <v>61925.064081263452</v>
      </c>
      <c r="K199" s="309">
        <f t="shared" si="11"/>
        <v>3280.5115446599229</v>
      </c>
    </row>
    <row r="200" spans="1:11" s="473" customFormat="1" ht="15" x14ac:dyDescent="0.25">
      <c r="A200" s="149">
        <f>+'B) D RI'!A201</f>
        <v>5723</v>
      </c>
      <c r="B200" s="469" t="str">
        <f>+'B) D RI'!B201</f>
        <v>Mies</v>
      </c>
      <c r="C200" s="494">
        <v>5320130.0523036867</v>
      </c>
      <c r="D200" s="304">
        <f>+'E) PCS'!G206</f>
        <v>7369523.6982656997</v>
      </c>
      <c r="E200" s="309">
        <f t="shared" si="9"/>
        <v>2049393.6459620129</v>
      </c>
      <c r="F200" s="496">
        <v>3344441.0999100124</v>
      </c>
      <c r="G200" s="229">
        <f>+'H) Péréquation directe'!I210+'I) Dépenses thématiques'!T200+'J) Plafonnement effort'!J200+'K) Plafonnement aide'!J200+'L) Plafonnement taux'!Q201</f>
        <v>4046309.2171932547</v>
      </c>
      <c r="H200" s="309">
        <f t="shared" si="10"/>
        <v>701868.11728324229</v>
      </c>
      <c r="I200" s="494">
        <v>432778.71010747657</v>
      </c>
      <c r="J200" s="229">
        <f>+'M) Police'!N200</f>
        <v>483699.22165362549</v>
      </c>
      <c r="K200" s="309">
        <f t="shared" si="11"/>
        <v>50920.511546148919</v>
      </c>
    </row>
    <row r="201" spans="1:11" s="473" customFormat="1" ht="15" x14ac:dyDescent="0.25">
      <c r="A201" s="149">
        <f>+'B) D RI'!A202</f>
        <v>5724</v>
      </c>
      <c r="B201" s="469" t="str">
        <f>+'B) D RI'!B202</f>
        <v>Nyon</v>
      </c>
      <c r="C201" s="494">
        <v>32943426.014973942</v>
      </c>
      <c r="D201" s="304">
        <f>+'E) PCS'!G207</f>
        <v>30468672.72527476</v>
      </c>
      <c r="E201" s="309">
        <f t="shared" si="9"/>
        <v>-2474753.2896991819</v>
      </c>
      <c r="F201" s="496">
        <v>9945691.1323398631</v>
      </c>
      <c r="G201" s="229">
        <f>+'H) Péréquation directe'!I211+'I) Dépenses thématiques'!T201+'J) Plafonnement effort'!J201+'K) Plafonnement aide'!J201+'L) Plafonnement taux'!Q202</f>
        <v>9237788.9438439552</v>
      </c>
      <c r="H201" s="309">
        <f t="shared" si="10"/>
        <v>-707902.18849590793</v>
      </c>
      <c r="I201" s="494">
        <v>1780208.2554160065</v>
      </c>
      <c r="J201" s="229">
        <f>+'M) Police'!N201</f>
        <v>1708820.4824223896</v>
      </c>
      <c r="K201" s="309">
        <f t="shared" si="11"/>
        <v>-71387.772993616993</v>
      </c>
    </row>
    <row r="202" spans="1:11" s="473" customFormat="1" ht="15" x14ac:dyDescent="0.25">
      <c r="A202" s="149">
        <f>+'B) D RI'!A203</f>
        <v>5725</v>
      </c>
      <c r="B202" s="469" t="str">
        <f>+'B) D RI'!B203</f>
        <v>Prangins</v>
      </c>
      <c r="C202" s="494">
        <v>9627692.1867044382</v>
      </c>
      <c r="D202" s="304">
        <f>+'E) PCS'!G208</f>
        <v>8114169.7955986392</v>
      </c>
      <c r="E202" s="309">
        <f t="shared" si="9"/>
        <v>-1513522.391105799</v>
      </c>
      <c r="F202" s="496">
        <v>5358865.3832375966</v>
      </c>
      <c r="G202" s="229">
        <f>+'H) Péréquation directe'!I212+'I) Dépenses thématiques'!T202+'J) Plafonnement effort'!J202+'K) Plafonnement aide'!J202+'L) Plafonnement taux'!Q203</f>
        <v>5271511.1481679082</v>
      </c>
      <c r="H202" s="309">
        <f t="shared" si="10"/>
        <v>-87354.23506968841</v>
      </c>
      <c r="I202" s="494">
        <v>440476.96305537428</v>
      </c>
      <c r="J202" s="229">
        <f>+'M) Police'!N202</f>
        <v>415065.04692715686</v>
      </c>
      <c r="K202" s="309">
        <f t="shared" si="11"/>
        <v>-25411.916128217417</v>
      </c>
    </row>
    <row r="203" spans="1:11" s="473" customFormat="1" ht="15" x14ac:dyDescent="0.25">
      <c r="A203" s="149">
        <f>+'B) D RI'!A204</f>
        <v>5726</v>
      </c>
      <c r="B203" s="469" t="str">
        <f>+'B) D RI'!B204</f>
        <v>La Rippe</v>
      </c>
      <c r="C203" s="494">
        <v>1189560.1176408953</v>
      </c>
      <c r="D203" s="304">
        <f>+'E) PCS'!G209</f>
        <v>1301532.1030816915</v>
      </c>
      <c r="E203" s="309">
        <f t="shared" si="9"/>
        <v>111971.98544079624</v>
      </c>
      <c r="F203" s="496">
        <v>1029141.8018915225</v>
      </c>
      <c r="G203" s="229">
        <f>+'H) Péréquation directe'!I213+'I) Dépenses thématiques'!T203+'J) Plafonnement effort'!J203+'K) Plafonnement aide'!J203+'L) Plafonnement taux'!Q204</f>
        <v>1130248.5338877009</v>
      </c>
      <c r="H203" s="309">
        <f t="shared" si="10"/>
        <v>101106.73199617839</v>
      </c>
      <c r="I203" s="494">
        <v>175438.67070851946</v>
      </c>
      <c r="J203" s="229">
        <f>+'M) Police'!N203</f>
        <v>186372.29809599149</v>
      </c>
      <c r="K203" s="309">
        <f t="shared" si="11"/>
        <v>10933.627387472021</v>
      </c>
    </row>
    <row r="204" spans="1:11" s="473" customFormat="1" ht="15" x14ac:dyDescent="0.25">
      <c r="A204" s="149">
        <f>+'B) D RI'!A205</f>
        <v>5727</v>
      </c>
      <c r="B204" s="469" t="str">
        <f>+'B) D RI'!B205</f>
        <v>Saint-Cergue</v>
      </c>
      <c r="C204" s="494">
        <v>1844305.2921122019</v>
      </c>
      <c r="D204" s="304">
        <f>+'E) PCS'!G210</f>
        <v>2031500.1236094716</v>
      </c>
      <c r="E204" s="309">
        <f t="shared" si="9"/>
        <v>187194.83149726968</v>
      </c>
      <c r="F204" s="496">
        <v>447310.32319256163</v>
      </c>
      <c r="G204" s="229">
        <f>+'H) Péréquation directe'!I214+'I) Dépenses thématiques'!T204+'J) Plafonnement effort'!J204+'K) Plafonnement aide'!J204+'L) Plafonnement taux'!Q205</f>
        <v>299374.93668411922</v>
      </c>
      <c r="H204" s="309">
        <f t="shared" si="10"/>
        <v>-147935.3865084424</v>
      </c>
      <c r="I204" s="494">
        <v>299680.20636634395</v>
      </c>
      <c r="J204" s="229">
        <f>+'M) Police'!N204</f>
        <v>319865.67056133068</v>
      </c>
      <c r="K204" s="309">
        <f t="shared" si="11"/>
        <v>20185.464194986736</v>
      </c>
    </row>
    <row r="205" spans="1:11" s="473" customFormat="1" ht="15" x14ac:dyDescent="0.25">
      <c r="A205" s="149">
        <f>+'B) D RI'!A206</f>
        <v>5728</v>
      </c>
      <c r="B205" s="469" t="str">
        <f>+'B) D RI'!B206</f>
        <v>Signy-Avenex</v>
      </c>
      <c r="C205" s="494">
        <v>1045743.4818962205</v>
      </c>
      <c r="D205" s="304">
        <f>+'E) PCS'!G211</f>
        <v>1405493.8273440734</v>
      </c>
      <c r="E205" s="309">
        <f t="shared" si="9"/>
        <v>359750.34544785297</v>
      </c>
      <c r="F205" s="496">
        <v>779627.67964677047</v>
      </c>
      <c r="G205" s="229">
        <f>+'H) Péréquation directe'!I215+'I) Dépenses thématiques'!T205+'J) Plafonnement effort'!J205+'K) Plafonnement aide'!J205+'L) Plafonnement taux'!Q206</f>
        <v>980681.12824390316</v>
      </c>
      <c r="H205" s="309">
        <f t="shared" si="10"/>
        <v>201053.44859713269</v>
      </c>
      <c r="I205" s="494">
        <v>105695.26654757856</v>
      </c>
      <c r="J205" s="229">
        <f>+'M) Police'!N205</f>
        <v>118211.06104997563</v>
      </c>
      <c r="K205" s="309">
        <f t="shared" si="11"/>
        <v>12515.794502397068</v>
      </c>
    </row>
    <row r="206" spans="1:11" s="473" customFormat="1" ht="15" x14ac:dyDescent="0.25">
      <c r="A206" s="149">
        <f>+'B) D RI'!A207</f>
        <v>5729</v>
      </c>
      <c r="B206" s="469" t="str">
        <f>+'B) D RI'!B207</f>
        <v>Tannay</v>
      </c>
      <c r="C206" s="494">
        <v>5572134.2039832575</v>
      </c>
      <c r="D206" s="304">
        <f>+'E) PCS'!G212</f>
        <v>4270638.6097387467</v>
      </c>
      <c r="E206" s="309">
        <f t="shared" si="9"/>
        <v>-1301495.5942445109</v>
      </c>
      <c r="F206" s="496">
        <v>3136916.9046968627</v>
      </c>
      <c r="G206" s="229">
        <f>+'H) Péréquation directe'!I216+'I) Dépenses thématiques'!T206+'J) Plafonnement effort'!J206+'K) Plafonnement aide'!J206+'L) Plafonnement taux'!Q207</f>
        <v>2666467.5190407913</v>
      </c>
      <c r="H206" s="309">
        <f t="shared" si="10"/>
        <v>-470449.38565607136</v>
      </c>
      <c r="I206" s="494">
        <v>363404.21898231225</v>
      </c>
      <c r="J206" s="229">
        <f>+'M) Police'!N206</f>
        <v>335929.90232093079</v>
      </c>
      <c r="K206" s="309">
        <f t="shared" si="11"/>
        <v>-27474.316661381454</v>
      </c>
    </row>
    <row r="207" spans="1:11" s="473" customFormat="1" ht="15" x14ac:dyDescent="0.25">
      <c r="A207" s="149">
        <f>+'B) D RI'!A208</f>
        <v>5730</v>
      </c>
      <c r="B207" s="469" t="str">
        <f>+'B) D RI'!B208</f>
        <v>Trélex</v>
      </c>
      <c r="C207" s="494">
        <v>3634402.0584759302</v>
      </c>
      <c r="D207" s="304">
        <f>+'E) PCS'!G213</f>
        <v>3268461.154601247</v>
      </c>
      <c r="E207" s="309">
        <f t="shared" si="9"/>
        <v>-365940.90387468319</v>
      </c>
      <c r="F207" s="496">
        <v>2362294.0694191661</v>
      </c>
      <c r="G207" s="229">
        <f>+'H) Péréquation directe'!I217+'I) Dépenses thématiques'!T207+'J) Plafonnement effort'!J207+'K) Plafonnement aide'!J207+'L) Plafonnement taux'!Q208</f>
        <v>2055284.4914045334</v>
      </c>
      <c r="H207" s="309">
        <f t="shared" si="10"/>
        <v>-307009.57801463269</v>
      </c>
      <c r="I207" s="494">
        <v>294789.40410530125</v>
      </c>
      <c r="J207" s="229">
        <f>+'M) Police'!N207</f>
        <v>274823.04316513275</v>
      </c>
      <c r="K207" s="309">
        <f t="shared" si="11"/>
        <v>-19966.360940168495</v>
      </c>
    </row>
    <row r="208" spans="1:11" s="473" customFormat="1" ht="15" x14ac:dyDescent="0.25">
      <c r="A208" s="149">
        <f>+'B) D RI'!A209</f>
        <v>5731</v>
      </c>
      <c r="B208" s="469" t="str">
        <f>+'B) D RI'!B209</f>
        <v>Le Vaud</v>
      </c>
      <c r="C208" s="494">
        <v>1320885.6476856563</v>
      </c>
      <c r="D208" s="304">
        <f>+'E) PCS'!G214</f>
        <v>1021172.2417928948</v>
      </c>
      <c r="E208" s="309">
        <f t="shared" si="9"/>
        <v>-299713.40589276154</v>
      </c>
      <c r="F208" s="496">
        <v>845434.48913429282</v>
      </c>
      <c r="G208" s="229">
        <f>+'H) Péréquation directe'!I218+'I) Dépenses thématiques'!T208+'J) Plafonnement effort'!J208+'K) Plafonnement aide'!J208+'L) Plafonnement taux'!Q209</f>
        <v>883634.48952386761</v>
      </c>
      <c r="H208" s="309">
        <f t="shared" si="10"/>
        <v>38200.000389574794</v>
      </c>
      <c r="I208" s="494">
        <v>195569.33883685712</v>
      </c>
      <c r="J208" s="229">
        <f>+'M) Police'!N208</f>
        <v>205313.12343376994</v>
      </c>
      <c r="K208" s="309">
        <f t="shared" si="11"/>
        <v>9743.7845969128248</v>
      </c>
    </row>
    <row r="209" spans="1:11" s="473" customFormat="1" ht="15" x14ac:dyDescent="0.25">
      <c r="A209" s="149">
        <f>+'B) D RI'!A210</f>
        <v>5732</v>
      </c>
      <c r="B209" s="469" t="str">
        <f>+'B) D RI'!B210</f>
        <v>Vich</v>
      </c>
      <c r="C209" s="494">
        <v>1353781.0715331521</v>
      </c>
      <c r="D209" s="304">
        <f>+'E) PCS'!G215</f>
        <v>1710685.9164676215</v>
      </c>
      <c r="E209" s="309">
        <f t="shared" si="9"/>
        <v>356904.84493446932</v>
      </c>
      <c r="F209" s="496">
        <v>1074995.4601329961</v>
      </c>
      <c r="G209" s="229">
        <f>+'H) Péréquation directe'!I219+'I) Dépenses thématiques'!T209+'J) Plafonnement effort'!J209+'K) Plafonnement aide'!J209+'L) Plafonnement taux'!Q210</f>
        <v>1434710.5945877538</v>
      </c>
      <c r="H209" s="309">
        <f t="shared" si="10"/>
        <v>359715.13445475767</v>
      </c>
      <c r="I209" s="494">
        <v>172637.34108585055</v>
      </c>
      <c r="J209" s="229">
        <f>+'M) Police'!N209</f>
        <v>204560.6658626112</v>
      </c>
      <c r="K209" s="309">
        <f t="shared" si="11"/>
        <v>31923.324776760652</v>
      </c>
    </row>
    <row r="210" spans="1:11" s="473" customFormat="1" ht="15" x14ac:dyDescent="0.25">
      <c r="A210" s="149">
        <f>+'B) D RI'!A211</f>
        <v>5741</v>
      </c>
      <c r="B210" s="469" t="str">
        <f>+'B) D RI'!B211</f>
        <v>L'Abergement</v>
      </c>
      <c r="C210" s="494">
        <v>133291.44423130192</v>
      </c>
      <c r="D210" s="304">
        <f>+'E) PCS'!G216</f>
        <v>140947.24285221947</v>
      </c>
      <c r="E210" s="309">
        <f t="shared" si="9"/>
        <v>7655.7986209175433</v>
      </c>
      <c r="F210" s="496">
        <v>-111627.54274530573</v>
      </c>
      <c r="G210" s="229">
        <f>+'H) Péréquation directe'!I220+'I) Dépenses thématiques'!T210+'J) Plafonnement effort'!J210+'K) Plafonnement aide'!J210+'L) Plafonnement taux'!Q211</f>
        <v>-59337.818405227925</v>
      </c>
      <c r="H210" s="309">
        <f t="shared" si="10"/>
        <v>52289.72434007781</v>
      </c>
      <c r="I210" s="494">
        <v>22454.138897210076</v>
      </c>
      <c r="J210" s="229">
        <f>+'M) Police'!N210</f>
        <v>27421.188104259534</v>
      </c>
      <c r="K210" s="309">
        <f t="shared" si="11"/>
        <v>4967.0492070494583</v>
      </c>
    </row>
    <row r="211" spans="1:11" s="473" customFormat="1" ht="15" x14ac:dyDescent="0.25">
      <c r="A211" s="149">
        <f>+'B) D RI'!A212</f>
        <v>5742</v>
      </c>
      <c r="B211" s="469" t="str">
        <f>+'B) D RI'!B212</f>
        <v>Agiez</v>
      </c>
      <c r="C211" s="494">
        <v>171641.98118854698</v>
      </c>
      <c r="D211" s="304">
        <f>+'E) PCS'!G217</f>
        <v>126178.5533326937</v>
      </c>
      <c r="E211" s="309">
        <f t="shared" si="9"/>
        <v>-45463.427855853282</v>
      </c>
      <c r="F211" s="496">
        <v>-49474.33248377627</v>
      </c>
      <c r="G211" s="229">
        <f>+'H) Péréquation directe'!I221+'I) Dépenses thématiques'!T211+'J) Plafonnement effort'!J211+'K) Plafonnement aide'!J211+'L) Plafonnement taux'!Q212</f>
        <v>-93349.498978937758</v>
      </c>
      <c r="H211" s="309">
        <f t="shared" si="10"/>
        <v>-43875.166495161488</v>
      </c>
      <c r="I211" s="494">
        <v>28208.137148520516</v>
      </c>
      <c r="J211" s="229">
        <f>+'M) Police'!N211</f>
        <v>30609.154996876219</v>
      </c>
      <c r="K211" s="309">
        <f t="shared" si="11"/>
        <v>2401.0178483557029</v>
      </c>
    </row>
    <row r="212" spans="1:11" s="473" customFormat="1" ht="15" x14ac:dyDescent="0.25">
      <c r="A212" s="149">
        <f>+'B) D RI'!A213</f>
        <v>5743</v>
      </c>
      <c r="B212" s="469" t="str">
        <f>+'B) D RI'!B213</f>
        <v>Arnex-sur-Orbe</v>
      </c>
      <c r="C212" s="494">
        <v>399971.74212419253</v>
      </c>
      <c r="D212" s="304">
        <f>+'E) PCS'!G218</f>
        <v>273238.2022315471</v>
      </c>
      <c r="E212" s="309">
        <f t="shared" si="9"/>
        <v>-126733.53989264544</v>
      </c>
      <c r="F212" s="496">
        <v>8107.1859446120361</v>
      </c>
      <c r="G212" s="229">
        <f>+'H) Péréquation directe'!I222+'I) Dépenses thématiques'!T212+'J) Plafonnement effort'!J212+'K) Plafonnement aide'!J212+'L) Plafonnement taux'!Q213</f>
        <v>-112417.77698198406</v>
      </c>
      <c r="H212" s="309">
        <f t="shared" si="10"/>
        <v>-120524.9629265961</v>
      </c>
      <c r="I212" s="494">
        <v>60021.564660854652</v>
      </c>
      <c r="J212" s="229">
        <f>+'M) Police'!N212</f>
        <v>56259.437012247858</v>
      </c>
      <c r="K212" s="309">
        <f t="shared" si="11"/>
        <v>-3762.1276486067945</v>
      </c>
    </row>
    <row r="213" spans="1:11" s="473" customFormat="1" ht="15" x14ac:dyDescent="0.25">
      <c r="A213" s="149">
        <f>+'B) D RI'!A214</f>
        <v>5744</v>
      </c>
      <c r="B213" s="469" t="str">
        <f>+'B) D RI'!B214</f>
        <v>Ballaigues</v>
      </c>
      <c r="C213" s="494">
        <v>1594845.5168522415</v>
      </c>
      <c r="D213" s="304">
        <f>+'E) PCS'!G219</f>
        <v>1196446.7770431368</v>
      </c>
      <c r="E213" s="309">
        <f t="shared" si="9"/>
        <v>-398398.73980910471</v>
      </c>
      <c r="F213" s="496">
        <v>728724.2676302325</v>
      </c>
      <c r="G213" s="229">
        <f>+'H) Péréquation directe'!I223+'I) Dépenses thématiques'!T213+'J) Plafonnement effort'!J213+'K) Plafonnement aide'!J213+'L) Plafonnement taux'!Q214</f>
        <v>211065.53341765585</v>
      </c>
      <c r="H213" s="309">
        <f t="shared" si="10"/>
        <v>-517658.73421257664</v>
      </c>
      <c r="I213" s="494">
        <v>171248.27809520689</v>
      </c>
      <c r="J213" s="229">
        <f>+'M) Police'!N213</f>
        <v>150179.02371655736</v>
      </c>
      <c r="K213" s="309">
        <f t="shared" si="11"/>
        <v>-21069.254378649523</v>
      </c>
    </row>
    <row r="214" spans="1:11" s="473" customFormat="1" ht="15" x14ac:dyDescent="0.25">
      <c r="A214" s="149">
        <f>+'B) D RI'!A215</f>
        <v>5745</v>
      </c>
      <c r="B214" s="469" t="str">
        <f>+'B) D RI'!B215</f>
        <v>Baulmes</v>
      </c>
      <c r="C214" s="494">
        <v>539789.09523380164</v>
      </c>
      <c r="D214" s="304">
        <f>+'E) PCS'!G220</f>
        <v>517297.23642889794</v>
      </c>
      <c r="E214" s="309">
        <f t="shared" si="9"/>
        <v>-22491.858804903692</v>
      </c>
      <c r="F214" s="496">
        <v>-360318.96610636672</v>
      </c>
      <c r="G214" s="229">
        <f>+'H) Péréquation directe'!I224+'I) Dépenses thématiques'!T214+'J) Plafonnement effort'!J214+'K) Plafonnement aide'!J214+'L) Plafonnement taux'!Q215</f>
        <v>-682621.92336014798</v>
      </c>
      <c r="H214" s="309">
        <f t="shared" si="10"/>
        <v>-322302.95725378126</v>
      </c>
      <c r="I214" s="494">
        <v>87586.19594370047</v>
      </c>
      <c r="J214" s="229">
        <f>+'M) Police'!N214</f>
        <v>86414.15408860505</v>
      </c>
      <c r="K214" s="309">
        <f t="shared" si="11"/>
        <v>-1172.04185509542</v>
      </c>
    </row>
    <row r="215" spans="1:11" s="473" customFormat="1" ht="15" x14ac:dyDescent="0.25">
      <c r="A215" s="149">
        <f>+'B) D RI'!A216</f>
        <v>5746</v>
      </c>
      <c r="B215" s="469" t="str">
        <f>+'B) D RI'!B216</f>
        <v>Bavois</v>
      </c>
      <c r="C215" s="494">
        <v>506741.29554744018</v>
      </c>
      <c r="D215" s="304">
        <f>+'E) PCS'!G221</f>
        <v>504218.24300745397</v>
      </c>
      <c r="E215" s="309">
        <f t="shared" si="9"/>
        <v>-2523.052539986209</v>
      </c>
      <c r="F215" s="496">
        <v>-166231.62332051634</v>
      </c>
      <c r="G215" s="229">
        <f>+'H) Péréquation directe'!I225+'I) Dépenses thématiques'!T215+'J) Plafonnement effort'!J215+'K) Plafonnement aide'!J215+'L) Plafonnement taux'!Q216</f>
        <v>-225182.16270960312</v>
      </c>
      <c r="H215" s="309">
        <f t="shared" si="10"/>
        <v>-58950.539389086771</v>
      </c>
      <c r="I215" s="494">
        <v>81277.939880983264</v>
      </c>
      <c r="J215" s="229">
        <f>+'M) Police'!N215</f>
        <v>81276.324143628095</v>
      </c>
      <c r="K215" s="309">
        <f t="shared" si="11"/>
        <v>-1.615737355168676</v>
      </c>
    </row>
    <row r="216" spans="1:11" s="473" customFormat="1" ht="15" x14ac:dyDescent="0.25">
      <c r="A216" s="149">
        <f>+'B) D RI'!A217</f>
        <v>5747</v>
      </c>
      <c r="B216" s="469" t="str">
        <f>+'B) D RI'!B217</f>
        <v>Bofflens</v>
      </c>
      <c r="C216" s="494">
        <v>97838.504869327197</v>
      </c>
      <c r="D216" s="304">
        <f>+'E) PCS'!G222</f>
        <v>71020.028887692592</v>
      </c>
      <c r="E216" s="309">
        <f t="shared" si="9"/>
        <v>-26818.475981634605</v>
      </c>
      <c r="F216" s="496">
        <v>-190999.83898039226</v>
      </c>
      <c r="G216" s="229">
        <f>+'H) Péréquation directe'!I226+'I) Dépenses thématiques'!T216+'J) Plafonnement effort'!J216+'K) Plafonnement aide'!J216+'L) Plafonnement taux'!Q217</f>
        <v>-19896.809728493332</v>
      </c>
      <c r="H216" s="309">
        <f t="shared" si="10"/>
        <v>171103.02925189893</v>
      </c>
      <c r="I216" s="494">
        <v>18526.508509181585</v>
      </c>
      <c r="J216" s="229">
        <f>+'M) Police'!N216</f>
        <v>17463.093505838733</v>
      </c>
      <c r="K216" s="309">
        <f t="shared" si="11"/>
        <v>-1063.4150033428523</v>
      </c>
    </row>
    <row r="217" spans="1:11" s="473" customFormat="1" ht="15" x14ac:dyDescent="0.25">
      <c r="A217" s="149">
        <f>+'B) D RI'!A218</f>
        <v>5748</v>
      </c>
      <c r="B217" s="469" t="str">
        <f>+'B) D RI'!B218</f>
        <v>Bretonnières</v>
      </c>
      <c r="C217" s="494">
        <v>128356.07456764787</v>
      </c>
      <c r="D217" s="304">
        <f>+'E) PCS'!G223</f>
        <v>97915.821520237339</v>
      </c>
      <c r="E217" s="309">
        <f t="shared" si="9"/>
        <v>-30440.25304741053</v>
      </c>
      <c r="F217" s="496">
        <v>-44642.397666688339</v>
      </c>
      <c r="G217" s="229">
        <f>+'H) Péréquation directe'!I227+'I) Dépenses thématiques'!T217+'J) Plafonnement effort'!J217+'K) Plafonnement aide'!J217+'L) Plafonnement taux'!Q218</f>
        <v>-90524.649122482544</v>
      </c>
      <c r="H217" s="309">
        <f t="shared" si="10"/>
        <v>-45882.251455794205</v>
      </c>
      <c r="I217" s="494">
        <v>22941.395183543937</v>
      </c>
      <c r="J217" s="229">
        <f>+'M) Police'!N217</f>
        <v>19944.175677789044</v>
      </c>
      <c r="K217" s="309">
        <f t="shared" si="11"/>
        <v>-2997.2195057548925</v>
      </c>
    </row>
    <row r="218" spans="1:11" s="473" customFormat="1" ht="15" x14ac:dyDescent="0.25">
      <c r="A218" s="149">
        <f>+'B) D RI'!A219</f>
        <v>5749</v>
      </c>
      <c r="B218" s="469" t="str">
        <f>+'B) D RI'!B219</f>
        <v>Chavornay</v>
      </c>
      <c r="C218" s="494">
        <v>2644857.7557078474</v>
      </c>
      <c r="D218" s="304">
        <f>+'E) PCS'!G224</f>
        <v>2346198.6243727813</v>
      </c>
      <c r="E218" s="309">
        <f t="shared" si="9"/>
        <v>-298659.13133506617</v>
      </c>
      <c r="F218" s="496">
        <v>-2037913.2098309221</v>
      </c>
      <c r="G218" s="229">
        <f>+'H) Péréquation directe'!I228+'I) Dépenses thématiques'!T218+'J) Plafonnement effort'!J218+'K) Plafonnement aide'!J218+'L) Plafonnement taux'!Q219</f>
        <v>-1924347.7521779332</v>
      </c>
      <c r="H218" s="309">
        <f t="shared" si="10"/>
        <v>113565.45765298884</v>
      </c>
      <c r="I218" s="494">
        <v>410259.75036276074</v>
      </c>
      <c r="J218" s="229">
        <f>+'M) Police'!N218</f>
        <v>458951.86775866459</v>
      </c>
      <c r="K218" s="309">
        <f t="shared" si="11"/>
        <v>48692.117395903857</v>
      </c>
    </row>
    <row r="219" spans="1:11" s="473" customFormat="1" ht="15" x14ac:dyDescent="0.25">
      <c r="A219" s="149">
        <f>+'B) D RI'!A220</f>
        <v>5750</v>
      </c>
      <c r="B219" s="469" t="str">
        <f>+'B) D RI'!B220</f>
        <v>Les Clées</v>
      </c>
      <c r="C219" s="494">
        <v>81098.078946985901</v>
      </c>
      <c r="D219" s="304">
        <f>+'E) PCS'!G225</f>
        <v>81341.200392101237</v>
      </c>
      <c r="E219" s="309">
        <f t="shared" si="9"/>
        <v>243.12144511533552</v>
      </c>
      <c r="F219" s="496">
        <v>-67727.462741497147</v>
      </c>
      <c r="G219" s="229">
        <f>+'H) Péréquation directe'!I229+'I) Dépenses thématiques'!T219+'J) Plafonnement effort'!J219+'K) Plafonnement aide'!J219+'L) Plafonnement taux'!Q220</f>
        <v>-80447.575299681688</v>
      </c>
      <c r="H219" s="309">
        <f t="shared" si="10"/>
        <v>-12720.112558184541</v>
      </c>
      <c r="I219" s="494">
        <v>15988.333233123627</v>
      </c>
      <c r="J219" s="229">
        <f>+'M) Police'!N219</f>
        <v>14687.748816368588</v>
      </c>
      <c r="K219" s="309">
        <f t="shared" si="11"/>
        <v>-1300.5844167550385</v>
      </c>
    </row>
    <row r="220" spans="1:11" s="473" customFormat="1" ht="15" x14ac:dyDescent="0.25">
      <c r="A220" s="149">
        <f>+'B) D RI'!A221</f>
        <v>5752</v>
      </c>
      <c r="B220" s="469" t="str">
        <f>+'B) D RI'!B221</f>
        <v>Croy</v>
      </c>
      <c r="C220" s="494">
        <v>173548.01959547037</v>
      </c>
      <c r="D220" s="304">
        <f>+'E) PCS'!G226</f>
        <v>137149.7319646969</v>
      </c>
      <c r="E220" s="309">
        <f t="shared" si="9"/>
        <v>-36398.28763077347</v>
      </c>
      <c r="F220" s="496">
        <v>-133678.16071701748</v>
      </c>
      <c r="G220" s="229">
        <f>+'H) Péréquation directe'!I230+'I) Dépenses thématiques'!T220+'J) Plafonnement effort'!J220+'K) Plafonnement aide'!J220+'L) Plafonnement taux'!Q221</f>
        <v>-69468.498422672506</v>
      </c>
      <c r="H220" s="309">
        <f t="shared" si="10"/>
        <v>64209.662294344977</v>
      </c>
      <c r="I220" s="494">
        <v>30233.578015058622</v>
      </c>
      <c r="J220" s="229">
        <f>+'M) Police'!N220</f>
        <v>28963.303872261167</v>
      </c>
      <c r="K220" s="309">
        <f t="shared" si="11"/>
        <v>-1270.2741427974543</v>
      </c>
    </row>
    <row r="221" spans="1:11" s="473" customFormat="1" ht="15" x14ac:dyDescent="0.25">
      <c r="A221" s="149">
        <f>+'B) D RI'!A222</f>
        <v>5754</v>
      </c>
      <c r="B221" s="469" t="str">
        <f>+'B) D RI'!B222</f>
        <v>Juriens</v>
      </c>
      <c r="C221" s="494">
        <v>144531.1846276203</v>
      </c>
      <c r="D221" s="304">
        <f>+'E) PCS'!G227</f>
        <v>175766.90931338631</v>
      </c>
      <c r="E221" s="309">
        <f t="shared" si="9"/>
        <v>31235.724685766007</v>
      </c>
      <c r="F221" s="496">
        <v>-36855.375510172598</v>
      </c>
      <c r="G221" s="229">
        <f>+'H) Péréquation directe'!I231+'I) Dépenses thématiques'!T221+'J) Plafonnement effort'!J221+'K) Plafonnement aide'!J221+'L) Plafonnement taux'!Q222</f>
        <v>-106866.8585147741</v>
      </c>
      <c r="H221" s="309">
        <f t="shared" si="10"/>
        <v>-70011.483004601498</v>
      </c>
      <c r="I221" s="494">
        <v>29293.172156821209</v>
      </c>
      <c r="J221" s="229">
        <f>+'M) Police'!N221</f>
        <v>27598.753903449728</v>
      </c>
      <c r="K221" s="309">
        <f t="shared" si="11"/>
        <v>-1694.4182533714811</v>
      </c>
    </row>
    <row r="222" spans="1:11" s="473" customFormat="1" ht="15" x14ac:dyDescent="0.25">
      <c r="A222" s="149">
        <f>+'B) D RI'!A223</f>
        <v>5755</v>
      </c>
      <c r="B222" s="469" t="str">
        <f>+'B) D RI'!B223</f>
        <v>Lignerolle</v>
      </c>
      <c r="C222" s="494">
        <v>207518.4088365052</v>
      </c>
      <c r="D222" s="304">
        <f>+'E) PCS'!G228</f>
        <v>167728.63883224368</v>
      </c>
      <c r="E222" s="309">
        <f t="shared" si="9"/>
        <v>-39789.770004261518</v>
      </c>
      <c r="F222" s="496">
        <v>-253116.49295907738</v>
      </c>
      <c r="G222" s="229">
        <f>+'H) Péréquation directe'!I232+'I) Dépenses thématiques'!T222+'J) Plafonnement effort'!J222+'K) Plafonnement aide'!J222+'L) Plafonnement taux'!Q223</f>
        <v>-363938.70280748658</v>
      </c>
      <c r="H222" s="309">
        <f t="shared" si="10"/>
        <v>-110822.2098484092</v>
      </c>
      <c r="I222" s="494">
        <v>30639.700670341037</v>
      </c>
      <c r="J222" s="229">
        <f>+'M) Police'!N222</f>
        <v>32309.091771092029</v>
      </c>
      <c r="K222" s="309">
        <f t="shared" si="11"/>
        <v>1669.3911007509923</v>
      </c>
    </row>
    <row r="223" spans="1:11" s="473" customFormat="1" ht="15" x14ac:dyDescent="0.25">
      <c r="A223" s="149">
        <f>+'B) D RI'!A224</f>
        <v>5756</v>
      </c>
      <c r="B223" s="469" t="str">
        <f>+'B) D RI'!B224</f>
        <v>Montcherand</v>
      </c>
      <c r="C223" s="494">
        <v>277481.08578347182</v>
      </c>
      <c r="D223" s="304">
        <f>+'E) PCS'!G229</f>
        <v>246328.6737540274</v>
      </c>
      <c r="E223" s="309">
        <f t="shared" si="9"/>
        <v>-31152.412029444415</v>
      </c>
      <c r="F223" s="496">
        <v>51407.154144395965</v>
      </c>
      <c r="G223" s="229">
        <f>+'H) Péréquation directe'!I233+'I) Dépenses thématiques'!T223+'J) Plafonnement effort'!J223+'K) Plafonnement aide'!J223+'L) Plafonnement taux'!Q224</f>
        <v>97567.889413322497</v>
      </c>
      <c r="H223" s="309">
        <f t="shared" si="10"/>
        <v>46160.735268926532</v>
      </c>
      <c r="I223" s="494">
        <v>20876.5958936186</v>
      </c>
      <c r="J223" s="229">
        <f>+'M) Police'!N223</f>
        <v>20736.180231090235</v>
      </c>
      <c r="K223" s="309">
        <f t="shared" si="11"/>
        <v>-140.41566252836492</v>
      </c>
    </row>
    <row r="224" spans="1:11" s="473" customFormat="1" ht="15" x14ac:dyDescent="0.25">
      <c r="A224" s="149">
        <f>+'B) D RI'!A225</f>
        <v>5757</v>
      </c>
      <c r="B224" s="469" t="str">
        <f>+'B) D RI'!B225</f>
        <v>Orbe</v>
      </c>
      <c r="C224" s="494">
        <v>4309591.3238727907</v>
      </c>
      <c r="D224" s="304">
        <f>+'E) PCS'!G230</f>
        <v>4302370.8309885748</v>
      </c>
      <c r="E224" s="309">
        <f t="shared" si="9"/>
        <v>-7220.4928842158988</v>
      </c>
      <c r="F224" s="496">
        <v>-3480233.9736667639</v>
      </c>
      <c r="G224" s="229">
        <f>+'H) Péréquation directe'!I234+'I) Dépenses thématiques'!T224+'J) Plafonnement effort'!J224+'K) Plafonnement aide'!J224+'L) Plafonnement taux'!Q225</f>
        <v>-4735771.0544100953</v>
      </c>
      <c r="H224" s="309">
        <f t="shared" si="10"/>
        <v>-1255537.0807433315</v>
      </c>
      <c r="I224" s="494">
        <v>258775.34189215378</v>
      </c>
      <c r="J224" s="229">
        <f>+'M) Police'!N224</f>
        <v>252703.92510809653</v>
      </c>
      <c r="K224" s="309">
        <f t="shared" si="11"/>
        <v>-6071.4167840572482</v>
      </c>
    </row>
    <row r="225" spans="1:11" s="473" customFormat="1" ht="15" x14ac:dyDescent="0.25">
      <c r="A225" s="149">
        <f>+'B) D RI'!A226</f>
        <v>5758</v>
      </c>
      <c r="B225" s="469" t="str">
        <f>+'B) D RI'!B226</f>
        <v>La Praz</v>
      </c>
      <c r="C225" s="494">
        <v>99165.265969425396</v>
      </c>
      <c r="D225" s="304">
        <f>+'E) PCS'!G231</f>
        <v>80086.616594587729</v>
      </c>
      <c r="E225" s="309">
        <f t="shared" si="9"/>
        <v>-19078.649374837667</v>
      </c>
      <c r="F225" s="496">
        <v>-46159.437360095748</v>
      </c>
      <c r="G225" s="229">
        <f>+'H) Péréquation directe'!I235+'I) Dépenses thématiques'!T225+'J) Plafonnement effort'!J225+'K) Plafonnement aide'!J225+'L) Plafonnement taux'!Q226</f>
        <v>-84692.767868096504</v>
      </c>
      <c r="H225" s="309">
        <f t="shared" si="10"/>
        <v>-38533.330508000756</v>
      </c>
      <c r="I225" s="494">
        <v>14186.527777515497</v>
      </c>
      <c r="J225" s="229">
        <f>+'M) Police'!N225</f>
        <v>14413.169630638571</v>
      </c>
      <c r="K225" s="309">
        <f t="shared" si="11"/>
        <v>226.64185312307382</v>
      </c>
    </row>
    <row r="226" spans="1:11" s="473" customFormat="1" ht="15" x14ac:dyDescent="0.25">
      <c r="A226" s="149">
        <f>+'B) D RI'!A227</f>
        <v>5759</v>
      </c>
      <c r="B226" s="469" t="str">
        <f>+'B) D RI'!B227</f>
        <v>Premier</v>
      </c>
      <c r="C226" s="494">
        <v>93366.185486322822</v>
      </c>
      <c r="D226" s="304">
        <f>+'E) PCS'!G232</f>
        <v>73283.071376123087</v>
      </c>
      <c r="E226" s="309">
        <f t="shared" si="9"/>
        <v>-20083.114110199735</v>
      </c>
      <c r="F226" s="496">
        <v>-92988.672680847114</v>
      </c>
      <c r="G226" s="229">
        <f>+'H) Péréquation directe'!I236+'I) Dépenses thématiques'!T226+'J) Plafonnement effort'!J226+'K) Plafonnement aide'!J226+'L) Plafonnement taux'!Q227</f>
        <v>-126170.51657467104</v>
      </c>
      <c r="H226" s="309">
        <f t="shared" si="10"/>
        <v>-33181.843893823927</v>
      </c>
      <c r="I226" s="494">
        <v>16614.107000853597</v>
      </c>
      <c r="J226" s="229">
        <f>+'M) Police'!N226</f>
        <v>17884.598300579775</v>
      </c>
      <c r="K226" s="309">
        <f t="shared" si="11"/>
        <v>1270.4912997261781</v>
      </c>
    </row>
    <row r="227" spans="1:11" s="473" customFormat="1" ht="15" x14ac:dyDescent="0.25">
      <c r="A227" s="149">
        <f>+'B) D RI'!A228</f>
        <v>5760</v>
      </c>
      <c r="B227" s="469" t="str">
        <f>+'B) D RI'!B228</f>
        <v>Rances</v>
      </c>
      <c r="C227" s="494">
        <v>206044.23993389687</v>
      </c>
      <c r="D227" s="304">
        <f>+'E) PCS'!G233</f>
        <v>232940.81005962097</v>
      </c>
      <c r="E227" s="309">
        <f t="shared" si="9"/>
        <v>26896.570125724102</v>
      </c>
      <c r="F227" s="496">
        <v>-196053.10059483344</v>
      </c>
      <c r="G227" s="229">
        <f>+'H) Péréquation directe'!I237+'I) Dépenses thématiques'!T227+'J) Plafonnement effort'!J227+'K) Plafonnement aide'!J227+'L) Plafonnement taux'!Q228</f>
        <v>-161823.17306287936</v>
      </c>
      <c r="H227" s="309">
        <f t="shared" si="10"/>
        <v>34229.927531954076</v>
      </c>
      <c r="I227" s="494">
        <v>38849.60998117768</v>
      </c>
      <c r="J227" s="229">
        <f>+'M) Police'!N227</f>
        <v>43745.753249557762</v>
      </c>
      <c r="K227" s="309">
        <f t="shared" si="11"/>
        <v>4896.1432683800813</v>
      </c>
    </row>
    <row r="228" spans="1:11" s="473" customFormat="1" ht="15" x14ac:dyDescent="0.25">
      <c r="A228" s="149">
        <f>+'B) D RI'!A229</f>
        <v>5761</v>
      </c>
      <c r="B228" s="469" t="str">
        <f>+'B) D RI'!B229</f>
        <v>Romainmôtier-Envy</v>
      </c>
      <c r="C228" s="494">
        <v>260316.02319016244</v>
      </c>
      <c r="D228" s="304">
        <f>+'E) PCS'!G234</f>
        <v>252877.96978687457</v>
      </c>
      <c r="E228" s="309">
        <f t="shared" si="9"/>
        <v>-7438.0534032878641</v>
      </c>
      <c r="F228" s="496">
        <v>-275837.16918561654</v>
      </c>
      <c r="G228" s="229">
        <f>+'H) Péréquation directe'!I238+'I) Dépenses thématiques'!T228+'J) Plafonnement effort'!J228+'K) Plafonnement aide'!J228+'L) Plafonnement taux'!Q229</f>
        <v>-359278.05162376235</v>
      </c>
      <c r="H228" s="309">
        <f t="shared" si="10"/>
        <v>-83440.882438145811</v>
      </c>
      <c r="I228" s="494">
        <v>38150.254870233235</v>
      </c>
      <c r="J228" s="229">
        <f>+'M) Police'!N228</f>
        <v>38667.438813525318</v>
      </c>
      <c r="K228" s="309">
        <f t="shared" si="11"/>
        <v>517.1839432920824</v>
      </c>
    </row>
    <row r="229" spans="1:11" s="473" customFormat="1" ht="15" x14ac:dyDescent="0.25">
      <c r="A229" s="149">
        <f>+'B) D RI'!A230</f>
        <v>5762</v>
      </c>
      <c r="B229" s="469" t="str">
        <f>+'B) D RI'!B230</f>
        <v>Sergey</v>
      </c>
      <c r="C229" s="494">
        <v>64869.913129566332</v>
      </c>
      <c r="D229" s="304">
        <f>+'E) PCS'!G235</f>
        <v>50601.499962308553</v>
      </c>
      <c r="E229" s="309">
        <f t="shared" si="9"/>
        <v>-14268.413167257779</v>
      </c>
      <c r="F229" s="496">
        <v>-5424.6834400426369</v>
      </c>
      <c r="G229" s="229">
        <f>+'H) Péréquation directe'!I239+'I) Dépenses thématiques'!T229+'J) Plafonnement effort'!J229+'K) Plafonnement aide'!J229+'L) Plafonnement taux'!Q230</f>
        <v>-44458.244851383512</v>
      </c>
      <c r="H229" s="309">
        <f t="shared" si="10"/>
        <v>-39033.561411340874</v>
      </c>
      <c r="I229" s="494">
        <v>12615.086404153655</v>
      </c>
      <c r="J229" s="229">
        <f>+'M) Police'!N229</f>
        <v>11647.577210468547</v>
      </c>
      <c r="K229" s="309">
        <f t="shared" si="11"/>
        <v>-967.50919368510768</v>
      </c>
    </row>
    <row r="230" spans="1:11" s="473" customFormat="1" ht="15" x14ac:dyDescent="0.25">
      <c r="A230" s="149">
        <f>+'B) D RI'!A231</f>
        <v>5763</v>
      </c>
      <c r="B230" s="469" t="str">
        <f>+'B) D RI'!B231</f>
        <v>Valeyres-sous-Rances</v>
      </c>
      <c r="C230" s="494">
        <v>365619.4091392628</v>
      </c>
      <c r="D230" s="304">
        <f>+'E) PCS'!G236</f>
        <v>299925.08874165884</v>
      </c>
      <c r="E230" s="309">
        <f t="shared" si="9"/>
        <v>-65694.320397603966</v>
      </c>
      <c r="F230" s="496">
        <v>136959.67647498735</v>
      </c>
      <c r="G230" s="229">
        <f>+'H) Péréquation directe'!I240+'I) Dépenses thématiques'!T230+'J) Plafonnement effort'!J230+'K) Plafonnement aide'!J230+'L) Plafonnement taux'!Q231</f>
        <v>144594.86454888262</v>
      </c>
      <c r="H230" s="309">
        <f t="shared" si="10"/>
        <v>7635.1880738952605</v>
      </c>
      <c r="I230" s="494">
        <v>69282.841849660254</v>
      </c>
      <c r="J230" s="229">
        <f>+'M) Police'!N230</f>
        <v>68933.304009512649</v>
      </c>
      <c r="K230" s="309">
        <f t="shared" si="11"/>
        <v>-349.53784014760458</v>
      </c>
    </row>
    <row r="231" spans="1:11" s="473" customFormat="1" ht="15" x14ac:dyDescent="0.25">
      <c r="A231" s="149">
        <f>+'B) D RI'!A232</f>
        <v>5764</v>
      </c>
      <c r="B231" s="469" t="str">
        <f>+'B) D RI'!B232</f>
        <v>Vallorbe</v>
      </c>
      <c r="C231" s="494">
        <v>2338211.5487717055</v>
      </c>
      <c r="D231" s="304">
        <f>+'E) PCS'!G237</f>
        <v>1912119.047041611</v>
      </c>
      <c r="E231" s="309">
        <f t="shared" si="9"/>
        <v>-426092.50173009443</v>
      </c>
      <c r="F231" s="496">
        <v>-3594121.9644505512</v>
      </c>
      <c r="G231" s="229">
        <f>+'H) Péréquation directe'!I241+'I) Dépenses thématiques'!T231+'J) Plafonnement effort'!J231+'K) Plafonnement aide'!J231+'L) Plafonnement taux'!Q232</f>
        <v>-4051826.9261434511</v>
      </c>
      <c r="H231" s="309">
        <f t="shared" si="10"/>
        <v>-457704.96169289993</v>
      </c>
      <c r="I231" s="494">
        <v>274305.80036444374</v>
      </c>
      <c r="J231" s="229">
        <f>+'M) Police'!N231</f>
        <v>250916.34921034938</v>
      </c>
      <c r="K231" s="309">
        <f t="shared" si="11"/>
        <v>-23389.451154094364</v>
      </c>
    </row>
    <row r="232" spans="1:11" s="473" customFormat="1" ht="15" x14ac:dyDescent="0.25">
      <c r="A232" s="149">
        <f>+'B) D RI'!A233</f>
        <v>5765</v>
      </c>
      <c r="B232" s="469" t="str">
        <f>+'B) D RI'!B233</f>
        <v>Vaulion</v>
      </c>
      <c r="C232" s="494">
        <v>233376.56573660375</v>
      </c>
      <c r="D232" s="304">
        <f>+'E) PCS'!G238</f>
        <v>175288.31169195104</v>
      </c>
      <c r="E232" s="309">
        <f t="shared" si="9"/>
        <v>-58088.254044652713</v>
      </c>
      <c r="F232" s="496">
        <v>-236676.09766554734</v>
      </c>
      <c r="G232" s="229">
        <f>+'H) Péréquation directe'!I242+'I) Dépenses thématiques'!T232+'J) Plafonnement effort'!J232+'K) Plafonnement aide'!J232+'L) Plafonnement taux'!Q233</f>
        <v>-356636.21909816441</v>
      </c>
      <c r="H232" s="309">
        <f t="shared" si="10"/>
        <v>-119960.12143261707</v>
      </c>
      <c r="I232" s="494">
        <v>37701.382605593775</v>
      </c>
      <c r="J232" s="229">
        <f>+'M) Police'!N232</f>
        <v>30964.338902233361</v>
      </c>
      <c r="K232" s="309">
        <f t="shared" si="11"/>
        <v>-6737.0437033604139</v>
      </c>
    </row>
    <row r="233" spans="1:11" s="473" customFormat="1" ht="15" x14ac:dyDescent="0.25">
      <c r="A233" s="149">
        <f>+'B) D RI'!A234</f>
        <v>5766</v>
      </c>
      <c r="B233" s="469" t="str">
        <f>+'B) D RI'!B234</f>
        <v>Vuiteboeuf</v>
      </c>
      <c r="C233" s="494">
        <v>261372.20552818841</v>
      </c>
      <c r="D233" s="304">
        <f>+'E) PCS'!G239</f>
        <v>241602.42633380293</v>
      </c>
      <c r="E233" s="309">
        <f t="shared" si="9"/>
        <v>-19769.779194385483</v>
      </c>
      <c r="F233" s="496">
        <v>-185574.15737819523</v>
      </c>
      <c r="G233" s="229">
        <f>+'H) Péréquation directe'!I243+'I) Dépenses thématiques'!T233+'J) Plafonnement effort'!J233+'K) Plafonnement aide'!J233+'L) Plafonnement taux'!Q234</f>
        <v>-137413.18810597539</v>
      </c>
      <c r="H233" s="309">
        <f t="shared" si="10"/>
        <v>48160.969272219838</v>
      </c>
      <c r="I233" s="494">
        <v>43612.861790828705</v>
      </c>
      <c r="J233" s="229">
        <f>+'M) Police'!N233</f>
        <v>47026.687040023171</v>
      </c>
      <c r="K233" s="309">
        <f t="shared" si="11"/>
        <v>3413.8252491944659</v>
      </c>
    </row>
    <row r="234" spans="1:11" s="473" customFormat="1" ht="15" x14ac:dyDescent="0.25">
      <c r="A234" s="149">
        <f>+'B) D RI'!A235</f>
        <v>5785</v>
      </c>
      <c r="B234" s="469" t="str">
        <f>+'B) D RI'!B235</f>
        <v>Corcelles-le-Jorat</v>
      </c>
      <c r="C234" s="494">
        <v>305399.19442707003</v>
      </c>
      <c r="D234" s="304">
        <f>+'E) PCS'!G240</f>
        <v>215776.22509338037</v>
      </c>
      <c r="E234" s="309">
        <f t="shared" si="9"/>
        <v>-89622.96933368966</v>
      </c>
      <c r="F234" s="496">
        <v>105689.77700417141</v>
      </c>
      <c r="G234" s="229">
        <f>+'H) Péréquation directe'!I244+'I) Dépenses thématiques'!T234+'J) Plafonnement effort'!J234+'K) Plafonnement aide'!J234+'L) Plafonnement taux'!Q235</f>
        <v>-65892.159271821729</v>
      </c>
      <c r="H234" s="309">
        <f t="shared" si="10"/>
        <v>-171581.93627599312</v>
      </c>
      <c r="I234" s="494">
        <v>53846.881682774096</v>
      </c>
      <c r="J234" s="229">
        <f>+'M) Police'!N234</f>
        <v>44192.447283548012</v>
      </c>
      <c r="K234" s="309">
        <f t="shared" si="11"/>
        <v>-9654.4343992260838</v>
      </c>
    </row>
    <row r="235" spans="1:11" s="473" customFormat="1" ht="15" x14ac:dyDescent="0.25">
      <c r="A235" s="149">
        <f>+'B) D RI'!A236</f>
        <v>5788</v>
      </c>
      <c r="B235" s="469" t="str">
        <f>+'B) D RI'!B236</f>
        <v>Essertes</v>
      </c>
      <c r="C235" s="494">
        <v>239143.65811792892</v>
      </c>
      <c r="D235" s="304">
        <f>+'E) PCS'!G241</f>
        <v>176978.96306914833</v>
      </c>
      <c r="E235" s="309">
        <f t="shared" si="9"/>
        <v>-62164.695048780588</v>
      </c>
      <c r="F235" s="496">
        <v>59299.985163900943</v>
      </c>
      <c r="G235" s="229">
        <f>+'H) Péréquation directe'!I245+'I) Dépenses thématiques'!T235+'J) Plafonnement effort'!J235+'K) Plafonnement aide'!J235+'L) Plafonnement taux'!Q236</f>
        <v>40788.982484062748</v>
      </c>
      <c r="H235" s="309">
        <f t="shared" si="10"/>
        <v>-18511.002679838195</v>
      </c>
      <c r="I235" s="494">
        <v>38482.90114690199</v>
      </c>
      <c r="J235" s="229">
        <f>+'M) Police'!N235</f>
        <v>39407.047340425866</v>
      </c>
      <c r="K235" s="309">
        <f t="shared" si="11"/>
        <v>924.14619352387672</v>
      </c>
    </row>
    <row r="236" spans="1:11" s="473" customFormat="1" ht="15" x14ac:dyDescent="0.25">
      <c r="A236" s="149">
        <f>+'B) D RI'!A237</f>
        <v>5790</v>
      </c>
      <c r="B236" s="469" t="str">
        <f>+'B) D RI'!B237</f>
        <v>Maracon</v>
      </c>
      <c r="C236" s="494">
        <v>343023.98661585135</v>
      </c>
      <c r="D236" s="304">
        <f>+'E) PCS'!G242</f>
        <v>218215.2037601957</v>
      </c>
      <c r="E236" s="309">
        <f t="shared" si="9"/>
        <v>-124808.78285565565</v>
      </c>
      <c r="F236" s="496">
        <v>-113067.32117893739</v>
      </c>
      <c r="G236" s="229">
        <f>+'H) Péréquation directe'!I246+'I) Dépenses thématiques'!T236+'J) Plafonnement effort'!J236+'K) Plafonnement aide'!J236+'L) Plafonnement taux'!Q237</f>
        <v>-143992.78160906793</v>
      </c>
      <c r="H236" s="309">
        <f t="shared" si="10"/>
        <v>-30925.460430130537</v>
      </c>
      <c r="I236" s="494">
        <v>45259.374730486612</v>
      </c>
      <c r="J236" s="229">
        <f>+'M) Police'!N236</f>
        <v>45370.835719443618</v>
      </c>
      <c r="K236" s="309">
        <f t="shared" si="11"/>
        <v>111.46098895700561</v>
      </c>
    </row>
    <row r="237" spans="1:11" s="473" customFormat="1" ht="15" x14ac:dyDescent="0.25">
      <c r="A237" s="149">
        <f>+'B) D RI'!A238</f>
        <v>5792</v>
      </c>
      <c r="B237" s="469" t="str">
        <f>+'B) D RI'!B238</f>
        <v>Montpreveyres</v>
      </c>
      <c r="C237" s="494">
        <v>370270.66418552719</v>
      </c>
      <c r="D237" s="304">
        <f>+'E) PCS'!G243</f>
        <v>333219.97118350514</v>
      </c>
      <c r="E237" s="309">
        <f t="shared" si="9"/>
        <v>-37050.693002022046</v>
      </c>
      <c r="F237" s="496">
        <v>-43414.248532126992</v>
      </c>
      <c r="G237" s="229">
        <f>+'H) Péréquation directe'!I247+'I) Dépenses thématiques'!T237+'J) Plafonnement effort'!J237+'K) Plafonnement aide'!J237+'L) Plafonnement taux'!Q238</f>
        <v>-123387.1729634362</v>
      </c>
      <c r="H237" s="309">
        <f t="shared" si="10"/>
        <v>-79972.924431309206</v>
      </c>
      <c r="I237" s="494">
        <v>63298.082864161202</v>
      </c>
      <c r="J237" s="229">
        <f>+'M) Police'!N237</f>
        <v>60572.972317329419</v>
      </c>
      <c r="K237" s="309">
        <f t="shared" si="11"/>
        <v>-2725.1105468317837</v>
      </c>
    </row>
    <row r="238" spans="1:11" s="473" customFormat="1" ht="15" x14ac:dyDescent="0.25">
      <c r="A238" s="149">
        <f>+'B) D RI'!A239</f>
        <v>5798</v>
      </c>
      <c r="B238" s="469" t="str">
        <f>+'B) D RI'!B239</f>
        <v>Ropraz</v>
      </c>
      <c r="C238" s="494">
        <v>228512.31469662162</v>
      </c>
      <c r="D238" s="304">
        <f>+'E) PCS'!G244</f>
        <v>281783.1885919153</v>
      </c>
      <c r="E238" s="309">
        <f t="shared" si="9"/>
        <v>53270.873895293684</v>
      </c>
      <c r="F238" s="496">
        <v>-24628.832942973793</v>
      </c>
      <c r="G238" s="229">
        <f>+'H) Péréquation directe'!I248+'I) Dépenses thématiques'!T238+'J) Plafonnement effort'!J238+'K) Plafonnement aide'!J238+'L) Plafonnement taux'!Q239</f>
        <v>5692.7890321405648</v>
      </c>
      <c r="H238" s="309">
        <f t="shared" si="10"/>
        <v>30321.621975114358</v>
      </c>
      <c r="I238" s="494">
        <v>45084.584405125599</v>
      </c>
      <c r="J238" s="229">
        <f>+'M) Police'!N238</f>
        <v>52705.823770145536</v>
      </c>
      <c r="K238" s="309">
        <f t="shared" si="11"/>
        <v>7621.2393650199374</v>
      </c>
    </row>
    <row r="239" spans="1:11" s="473" customFormat="1" ht="15" x14ac:dyDescent="0.25">
      <c r="A239" s="149">
        <f>+'B) D RI'!A240</f>
        <v>5799</v>
      </c>
      <c r="B239" s="469" t="str">
        <f>+'B) D RI'!B240</f>
        <v>Servion</v>
      </c>
      <c r="C239" s="494">
        <v>1310869.7883841339</v>
      </c>
      <c r="D239" s="304">
        <f>+'E) PCS'!G245</f>
        <v>1124167.7021085089</v>
      </c>
      <c r="E239" s="309">
        <f t="shared" si="9"/>
        <v>-186702.08627562504</v>
      </c>
      <c r="F239" s="496">
        <v>286553.90482433571</v>
      </c>
      <c r="G239" s="229">
        <f>+'H) Péréquation directe'!I249+'I) Dépenses thématiques'!T239+'J) Plafonnement effort'!J239+'K) Plafonnement aide'!J239+'L) Plafonnement taux'!Q240</f>
        <v>-85155.063606372918</v>
      </c>
      <c r="H239" s="309">
        <f t="shared" si="10"/>
        <v>-371708.96843070863</v>
      </c>
      <c r="I239" s="494">
        <v>221001.12746983243</v>
      </c>
      <c r="J239" s="229">
        <f>+'M) Police'!N239</f>
        <v>214679.76474178082</v>
      </c>
      <c r="K239" s="309">
        <f t="shared" si="11"/>
        <v>-6321.3627280516084</v>
      </c>
    </row>
    <row r="240" spans="1:11" s="473" customFormat="1" ht="15" x14ac:dyDescent="0.25">
      <c r="A240" s="149">
        <f>+'B) D RI'!A241</f>
        <v>5803</v>
      </c>
      <c r="B240" s="469" t="str">
        <f>+'B) D RI'!B241</f>
        <v>Vulliens</v>
      </c>
      <c r="C240" s="494">
        <v>277622.37224927417</v>
      </c>
      <c r="D240" s="304">
        <f>+'E) PCS'!G246</f>
        <v>273525.59366267745</v>
      </c>
      <c r="E240" s="309">
        <f t="shared" si="9"/>
        <v>-4096.7785865967162</v>
      </c>
      <c r="F240" s="496">
        <v>-94922.131198971561</v>
      </c>
      <c r="G240" s="229">
        <f>+'H) Péréquation directe'!I250+'I) Dépenses thématiques'!T240+'J) Plafonnement effort'!J240+'K) Plafonnement aide'!J240+'L) Plafonnement taux'!Q241</f>
        <v>-90935.815781527373</v>
      </c>
      <c r="H240" s="309">
        <f t="shared" si="10"/>
        <v>3986.3154174441879</v>
      </c>
      <c r="I240" s="494">
        <v>54604.46782710353</v>
      </c>
      <c r="J240" s="229">
        <f>+'M) Police'!N240</f>
        <v>54307.291330624284</v>
      </c>
      <c r="K240" s="309">
        <f t="shared" si="11"/>
        <v>-297.17649647924554</v>
      </c>
    </row>
    <row r="241" spans="1:11" s="473" customFormat="1" ht="15" x14ac:dyDescent="0.25">
      <c r="A241" s="149">
        <f>+'B) D RI'!A242</f>
        <v>5804</v>
      </c>
      <c r="B241" s="469" t="str">
        <f>+'B) D RI'!B242</f>
        <v>Jorat-Menthue</v>
      </c>
      <c r="C241" s="494">
        <v>768532.72724178445</v>
      </c>
      <c r="D241" s="304">
        <f>+'E) PCS'!G247</f>
        <v>657247.12065741315</v>
      </c>
      <c r="E241" s="309">
        <f t="shared" si="9"/>
        <v>-111285.6065843713</v>
      </c>
      <c r="F241" s="496">
        <v>-1210462.3495693079</v>
      </c>
      <c r="G241" s="229">
        <f>+'H) Péréquation directe'!I251+'I) Dépenses thématiques'!T241+'J) Plafonnement effort'!J241+'K) Plafonnement aide'!J241+'L) Plafonnement taux'!Q242</f>
        <v>-602389.36615880206</v>
      </c>
      <c r="H241" s="309">
        <f t="shared" si="10"/>
        <v>608072.98341050581</v>
      </c>
      <c r="I241" s="494">
        <v>137722.55366893558</v>
      </c>
      <c r="J241" s="229">
        <f>+'M) Police'!N241</f>
        <v>140590.06412866636</v>
      </c>
      <c r="K241" s="309">
        <f t="shared" si="11"/>
        <v>2867.51045973078</v>
      </c>
    </row>
    <row r="242" spans="1:11" s="473" customFormat="1" ht="15" x14ac:dyDescent="0.25">
      <c r="A242" s="149">
        <f>+'B) D RI'!A243</f>
        <v>5805</v>
      </c>
      <c r="B242" s="469" t="str">
        <f>+'B) D RI'!B243</f>
        <v>Oron</v>
      </c>
      <c r="C242" s="494">
        <v>3101951.1224858621</v>
      </c>
      <c r="D242" s="304">
        <f>+'E) PCS'!G248</f>
        <v>2296943.8962512314</v>
      </c>
      <c r="E242" s="309">
        <f t="shared" si="9"/>
        <v>-805007.22623463068</v>
      </c>
      <c r="F242" s="496">
        <v>-1848401.728804836</v>
      </c>
      <c r="G242" s="229">
        <f>+'H) Péréquation directe'!I252+'I) Dépenses thématiques'!T242+'J) Plafonnement effort'!J242+'K) Plafonnement aide'!J242+'L) Plafonnement taux'!Q243</f>
        <v>-2319095.3849502392</v>
      </c>
      <c r="H242" s="309">
        <f t="shared" si="10"/>
        <v>-470693.65614540316</v>
      </c>
      <c r="I242" s="494">
        <v>490133.72157530522</v>
      </c>
      <c r="J242" s="229">
        <f>+'M) Police'!N242</f>
        <v>483622.57002215163</v>
      </c>
      <c r="K242" s="309">
        <f t="shared" si="11"/>
        <v>-6511.1515531535842</v>
      </c>
    </row>
    <row r="243" spans="1:11" s="473" customFormat="1" ht="15" x14ac:dyDescent="0.25">
      <c r="A243" s="149">
        <f>+'B) D RI'!A244</f>
        <v>5806</v>
      </c>
      <c r="B243" s="469" t="str">
        <f>+'B) D RI'!B244</f>
        <v>Jorat-Mézières</v>
      </c>
      <c r="C243" s="494">
        <v>1588069.4717617128</v>
      </c>
      <c r="D243" s="304">
        <f>+'E) PCS'!G249</f>
        <v>1740112.9127568712</v>
      </c>
      <c r="E243" s="309">
        <f t="shared" si="9"/>
        <v>152043.44099515839</v>
      </c>
      <c r="F243" s="496">
        <v>-342121.49035112502</v>
      </c>
      <c r="G243" s="229">
        <f>+'H) Péréquation directe'!I253+'I) Dépenses thématiques'!T243+'J) Plafonnement effort'!J243+'K) Plafonnement aide'!J243+'L) Plafonnement taux'!Q244</f>
        <v>-391328.28759000625</v>
      </c>
      <c r="H243" s="309">
        <f t="shared" si="10"/>
        <v>-49206.797238881234</v>
      </c>
      <c r="I243" s="494">
        <v>287934.29937478225</v>
      </c>
      <c r="J243" s="229">
        <f>+'M) Police'!N243</f>
        <v>308245.25645114738</v>
      </c>
      <c r="K243" s="309">
        <f t="shared" si="11"/>
        <v>20310.957076365128</v>
      </c>
    </row>
    <row r="244" spans="1:11" s="473" customFormat="1" ht="15" x14ac:dyDescent="0.25">
      <c r="A244" s="149">
        <f>+'B) D RI'!A245</f>
        <v>5812</v>
      </c>
      <c r="B244" s="469" t="str">
        <f>+'B) D RI'!B245</f>
        <v>Champtauroz</v>
      </c>
      <c r="C244" s="494">
        <v>88109.32131307837</v>
      </c>
      <c r="D244" s="304">
        <f>+'E) PCS'!G250</f>
        <v>47953.466867087853</v>
      </c>
      <c r="E244" s="309">
        <f t="shared" si="9"/>
        <v>-40155.854445990517</v>
      </c>
      <c r="F244" s="496">
        <v>-15785.58714700957</v>
      </c>
      <c r="G244" s="229">
        <f>+'H) Péréquation directe'!I254+'I) Dépenses thématiques'!T244+'J) Plafonnement effort'!J244+'K) Plafonnement aide'!J244+'L) Plafonnement taux'!Q245</f>
        <v>-93279.55248022516</v>
      </c>
      <c r="H244" s="309">
        <f t="shared" si="10"/>
        <v>-77493.965333215587</v>
      </c>
      <c r="I244" s="494">
        <v>11690.61221289959</v>
      </c>
      <c r="J244" s="229">
        <f>+'M) Police'!N244</f>
        <v>10103.143124684197</v>
      </c>
      <c r="K244" s="309">
        <f t="shared" si="11"/>
        <v>-1587.4690882153936</v>
      </c>
    </row>
    <row r="245" spans="1:11" s="473" customFormat="1" ht="15" x14ac:dyDescent="0.25">
      <c r="A245" s="149">
        <f>+'B) D RI'!A246</f>
        <v>5813</v>
      </c>
      <c r="B245" s="469" t="str">
        <f>+'B) D RI'!B246</f>
        <v>Chevroux</v>
      </c>
      <c r="C245" s="494">
        <v>245601.49012729418</v>
      </c>
      <c r="D245" s="304">
        <f>+'E) PCS'!G251</f>
        <v>262489.1313560768</v>
      </c>
      <c r="E245" s="309">
        <f t="shared" si="9"/>
        <v>16887.641228782624</v>
      </c>
      <c r="F245" s="496">
        <v>24818.758313042934</v>
      </c>
      <c r="G245" s="229">
        <f>+'H) Péréquation directe'!I255+'I) Dépenses thématiques'!T245+'J) Plafonnement effort'!J245+'K) Plafonnement aide'!J245+'L) Plafonnement taux'!Q246</f>
        <v>-295130.01911272213</v>
      </c>
      <c r="H245" s="309">
        <f t="shared" si="10"/>
        <v>-319948.77742576506</v>
      </c>
      <c r="I245" s="494">
        <v>45656.0211726501</v>
      </c>
      <c r="J245" s="229">
        <f>+'M) Police'!N245</f>
        <v>45541.347371458622</v>
      </c>
      <c r="K245" s="309">
        <f t="shared" si="11"/>
        <v>-114.67380119147856</v>
      </c>
    </row>
    <row r="246" spans="1:11" s="473" customFormat="1" ht="15" x14ac:dyDescent="0.25">
      <c r="A246" s="149">
        <f>+'B) D RI'!A247</f>
        <v>5816</v>
      </c>
      <c r="B246" s="469" t="str">
        <f>+'B) D RI'!B247</f>
        <v>Corcelles-près-Payerne</v>
      </c>
      <c r="C246" s="494">
        <v>1035001.5711514332</v>
      </c>
      <c r="D246" s="304">
        <f>+'E) PCS'!G252</f>
        <v>936294.9984511605</v>
      </c>
      <c r="E246" s="309">
        <f t="shared" si="9"/>
        <v>-98706.572700272663</v>
      </c>
      <c r="F246" s="496">
        <v>-1067570.4025947647</v>
      </c>
      <c r="G246" s="229">
        <f>+'H) Péréquation directe'!I256+'I) Dépenses thématiques'!T246+'J) Plafonnement effort'!J246+'K) Plafonnement aide'!J246+'L) Plafonnement taux'!Q247</f>
        <v>-1116643.2619839052</v>
      </c>
      <c r="H246" s="309">
        <f t="shared" si="10"/>
        <v>-49072.859389140503</v>
      </c>
      <c r="I246" s="494">
        <v>187444.63896268979</v>
      </c>
      <c r="J246" s="229">
        <f>+'M) Police'!N246</f>
        <v>195943.03691702138</v>
      </c>
      <c r="K246" s="309">
        <f t="shared" si="11"/>
        <v>8498.3979543315945</v>
      </c>
    </row>
    <row r="247" spans="1:11" s="473" customFormat="1" ht="15" x14ac:dyDescent="0.25">
      <c r="A247" s="149">
        <f>+'B) D RI'!A248</f>
        <v>5817</v>
      </c>
      <c r="B247" s="469" t="str">
        <f>+'B) D RI'!B248</f>
        <v>Grandcour</v>
      </c>
      <c r="C247" s="494">
        <v>358362.645434101</v>
      </c>
      <c r="D247" s="304">
        <f>+'E) PCS'!G253</f>
        <v>323194.48420202016</v>
      </c>
      <c r="E247" s="309">
        <f t="shared" si="9"/>
        <v>-35168.161232080834</v>
      </c>
      <c r="F247" s="496">
        <v>-353136.92556310282</v>
      </c>
      <c r="G247" s="229">
        <f>+'H) Péréquation directe'!I257+'I) Dépenses thématiques'!T247+'J) Plafonnement effort'!J247+'K) Plafonnement aide'!J247+'L) Plafonnement taux'!Q248</f>
        <v>-321088.31308448949</v>
      </c>
      <c r="H247" s="309">
        <f t="shared" si="10"/>
        <v>32048.61247861333</v>
      </c>
      <c r="I247" s="494">
        <v>68087.160430059026</v>
      </c>
      <c r="J247" s="229">
        <f>+'M) Police'!N247</f>
        <v>74214.579788756542</v>
      </c>
      <c r="K247" s="309">
        <f t="shared" si="11"/>
        <v>6127.4193586975161</v>
      </c>
    </row>
    <row r="248" spans="1:11" s="473" customFormat="1" ht="15" x14ac:dyDescent="0.25">
      <c r="A248" s="149">
        <f>+'B) D RI'!A249</f>
        <v>5819</v>
      </c>
      <c r="B248" s="469" t="str">
        <f>+'B) D RI'!B249</f>
        <v>Henniez</v>
      </c>
      <c r="C248" s="494">
        <v>214151.05518753466</v>
      </c>
      <c r="D248" s="304">
        <f>+'E) PCS'!G254</f>
        <v>155914.52808974349</v>
      </c>
      <c r="E248" s="309">
        <f t="shared" si="9"/>
        <v>-58236.527097791171</v>
      </c>
      <c r="F248" s="496">
        <v>7928.9656841233373</v>
      </c>
      <c r="G248" s="229">
        <f>+'H) Péréquation directe'!I258+'I) Dépenses thématiques'!T248+'J) Plafonnement effort'!J248+'K) Plafonnement aide'!J248+'L) Plafonnement taux'!Q249</f>
        <v>-178977.98397472297</v>
      </c>
      <c r="H248" s="309">
        <f t="shared" si="10"/>
        <v>-186906.94965884631</v>
      </c>
      <c r="I248" s="494">
        <v>36556.343239684145</v>
      </c>
      <c r="J248" s="229">
        <f>+'M) Police'!N248</f>
        <v>29162.335478776738</v>
      </c>
      <c r="K248" s="309">
        <f t="shared" si="11"/>
        <v>-7394.0077609074069</v>
      </c>
    </row>
    <row r="249" spans="1:11" s="473" customFormat="1" ht="15" x14ac:dyDescent="0.25">
      <c r="A249" s="149">
        <f>+'B) D RI'!A250</f>
        <v>5821</v>
      </c>
      <c r="B249" s="469" t="str">
        <f>+'B) D RI'!B250</f>
        <v>Missy</v>
      </c>
      <c r="C249" s="494">
        <v>129824.35399238495</v>
      </c>
      <c r="D249" s="304">
        <f>+'E) PCS'!G255</f>
        <v>110409.64831767401</v>
      </c>
      <c r="E249" s="309">
        <f t="shared" si="9"/>
        <v>-19414.705674710931</v>
      </c>
      <c r="F249" s="496">
        <v>-69269.58434101686</v>
      </c>
      <c r="G249" s="229">
        <f>+'H) Péréquation directe'!I259+'I) Dépenses thématiques'!T249+'J) Plafonnement effort'!J249+'K) Plafonnement aide'!J249+'L) Plafonnement taux'!Q250</f>
        <v>-122748.60753779285</v>
      </c>
      <c r="H249" s="309">
        <f t="shared" si="10"/>
        <v>-53479.02319677599</v>
      </c>
      <c r="I249" s="494">
        <v>25929.085111209733</v>
      </c>
      <c r="J249" s="229">
        <f>+'M) Police'!N249</f>
        <v>23929.710953956368</v>
      </c>
      <c r="K249" s="309">
        <f t="shared" si="11"/>
        <v>-1999.3741572533654</v>
      </c>
    </row>
    <row r="250" spans="1:11" s="473" customFormat="1" ht="15" x14ac:dyDescent="0.25">
      <c r="A250" s="149">
        <f>+'B) D RI'!A251</f>
        <v>5822</v>
      </c>
      <c r="B250" s="469" t="str">
        <f>+'B) D RI'!B251</f>
        <v>Payerne</v>
      </c>
      <c r="C250" s="494">
        <v>4343125.7299065199</v>
      </c>
      <c r="D250" s="304">
        <f>+'E) PCS'!G256</f>
        <v>4067329.9368900489</v>
      </c>
      <c r="E250" s="309">
        <f t="shared" si="9"/>
        <v>-275795.79301647097</v>
      </c>
      <c r="F250" s="496">
        <v>-6904611.9028186705</v>
      </c>
      <c r="G250" s="229">
        <f>+'H) Péréquation directe'!I260+'I) Dépenses thématiques'!T250+'J) Plafonnement effort'!J250+'K) Plafonnement aide'!J250+'L) Plafonnement taux'!Q251</f>
        <v>-7607710.5753831994</v>
      </c>
      <c r="H250" s="309">
        <f t="shared" si="10"/>
        <v>-703098.67256452888</v>
      </c>
      <c r="I250" s="494">
        <v>757329.16193860094</v>
      </c>
      <c r="J250" s="229">
        <f>+'M) Police'!N250</f>
        <v>712772.44796386245</v>
      </c>
      <c r="K250" s="309">
        <f t="shared" si="11"/>
        <v>-44556.713974738494</v>
      </c>
    </row>
    <row r="251" spans="1:11" s="473" customFormat="1" ht="15" x14ac:dyDescent="0.25">
      <c r="A251" s="149">
        <f>+'B) D RI'!A252</f>
        <v>5827</v>
      </c>
      <c r="B251" s="469" t="str">
        <f>+'B) D RI'!B252</f>
        <v>Trey</v>
      </c>
      <c r="C251" s="494">
        <v>113787.58313018402</v>
      </c>
      <c r="D251" s="304">
        <f>+'E) PCS'!G257</f>
        <v>152182.84845722327</v>
      </c>
      <c r="E251" s="309">
        <f t="shared" si="9"/>
        <v>38395.265327039247</v>
      </c>
      <c r="F251" s="496">
        <v>-115413.01162123088</v>
      </c>
      <c r="G251" s="229">
        <f>+'H) Péréquation directe'!I261+'I) Dépenses thématiques'!T251+'J) Plafonnement effort'!J251+'K) Plafonnement aide'!J251+'L) Plafonnement taux'!Q252</f>
        <v>-118769.2759275359</v>
      </c>
      <c r="H251" s="309">
        <f t="shared" si="10"/>
        <v>-3356.26430630502</v>
      </c>
      <c r="I251" s="494">
        <v>21244.998659113393</v>
      </c>
      <c r="J251" s="229">
        <f>+'M) Police'!N251</f>
        <v>23400.84830436785</v>
      </c>
      <c r="K251" s="309">
        <f t="shared" si="11"/>
        <v>2155.8496452544568</v>
      </c>
    </row>
    <row r="252" spans="1:11" s="473" customFormat="1" ht="15" x14ac:dyDescent="0.25">
      <c r="A252" s="149">
        <f>+'B) D RI'!A253</f>
        <v>5828</v>
      </c>
      <c r="B252" s="469" t="str">
        <f>+'B) D RI'!B253</f>
        <v>Treytorrens (Payerne)</v>
      </c>
      <c r="C252" s="494">
        <v>53132.132993995794</v>
      </c>
      <c r="D252" s="304">
        <f>+'E) PCS'!G258</f>
        <v>42197.281319295616</v>
      </c>
      <c r="E252" s="309">
        <f t="shared" si="9"/>
        <v>-10934.851674700178</v>
      </c>
      <c r="F252" s="496">
        <v>-72003.345654593082</v>
      </c>
      <c r="G252" s="229">
        <f>+'H) Péréquation directe'!I262+'I) Dépenses thématiques'!T252+'J) Plafonnement effort'!J252+'K) Plafonnement aide'!J252+'L) Plafonnement taux'!Q253</f>
        <v>-48087.721899294513</v>
      </c>
      <c r="H252" s="309">
        <f t="shared" si="10"/>
        <v>23915.623755298569</v>
      </c>
      <c r="I252" s="494">
        <v>7585.4349982456906</v>
      </c>
      <c r="J252" s="229">
        <f>+'M) Police'!N252</f>
        <v>8786.6766830864599</v>
      </c>
      <c r="K252" s="309">
        <f t="shared" si="11"/>
        <v>1201.2416848407693</v>
      </c>
    </row>
    <row r="253" spans="1:11" s="473" customFormat="1" ht="15" x14ac:dyDescent="0.25">
      <c r="A253" s="149">
        <f>+'B) D RI'!A254</f>
        <v>5830</v>
      </c>
      <c r="B253" s="469" t="str">
        <f>+'B) D RI'!B254</f>
        <v>Villarzel</v>
      </c>
      <c r="C253" s="494">
        <v>250310.19473735071</v>
      </c>
      <c r="D253" s="304">
        <f>+'E) PCS'!G259</f>
        <v>216064.01456300783</v>
      </c>
      <c r="E253" s="309">
        <f t="shared" si="9"/>
        <v>-34246.18017434288</v>
      </c>
      <c r="F253" s="496">
        <v>-39082.191600834471</v>
      </c>
      <c r="G253" s="229">
        <f>+'H) Péréquation directe'!I263+'I) Dépenses thématiques'!T253+'J) Plafonnement effort'!J253+'K) Plafonnement aide'!J253+'L) Plafonnement taux'!Q254</f>
        <v>-226568.06542315547</v>
      </c>
      <c r="H253" s="309">
        <f t="shared" si="10"/>
        <v>-187485.87382232101</v>
      </c>
      <c r="I253" s="494">
        <v>43344.377671295631</v>
      </c>
      <c r="J253" s="229">
        <f>+'M) Police'!N253</f>
        <v>37683.229140421594</v>
      </c>
      <c r="K253" s="309">
        <f t="shared" si="11"/>
        <v>-5661.1485308740375</v>
      </c>
    </row>
    <row r="254" spans="1:11" s="473" customFormat="1" ht="15" x14ac:dyDescent="0.25">
      <c r="A254" s="149">
        <f>+'B) D RI'!A255</f>
        <v>5831</v>
      </c>
      <c r="B254" s="469" t="str">
        <f>+'B) D RI'!B255</f>
        <v>Valbroye</v>
      </c>
      <c r="C254" s="494">
        <v>1682121.7091504212</v>
      </c>
      <c r="D254" s="304">
        <f>+'E) PCS'!G260</f>
        <v>1421060.5394139052</v>
      </c>
      <c r="E254" s="309">
        <f t="shared" si="9"/>
        <v>-261061.16973651596</v>
      </c>
      <c r="F254" s="496">
        <v>-1353918.5820726207</v>
      </c>
      <c r="G254" s="229">
        <f>+'H) Péréquation directe'!I264+'I) Dépenses thématiques'!T254+'J) Plafonnement effort'!J254+'K) Plafonnement aide'!J254+'L) Plafonnement taux'!Q255</f>
        <v>-2064717.7227264382</v>
      </c>
      <c r="H254" s="309">
        <f t="shared" si="10"/>
        <v>-710799.14065381745</v>
      </c>
      <c r="I254" s="494">
        <v>275597.20435186435</v>
      </c>
      <c r="J254" s="229">
        <f>+'M) Police'!N254</f>
        <v>242037.37659459485</v>
      </c>
      <c r="K254" s="309">
        <f t="shared" si="11"/>
        <v>-33559.827757269493</v>
      </c>
    </row>
    <row r="255" spans="1:11" s="473" customFormat="1" ht="15" x14ac:dyDescent="0.25">
      <c r="A255" s="149">
        <f>+'B) D RI'!A256</f>
        <v>5841</v>
      </c>
      <c r="B255" s="469" t="str">
        <f>+'B) D RI'!B256</f>
        <v>Château-d'Oex</v>
      </c>
      <c r="C255" s="494">
        <v>2156967.8616806795</v>
      </c>
      <c r="D255" s="304">
        <f>+'E) PCS'!G261</f>
        <v>2246478.9389126273</v>
      </c>
      <c r="E255" s="309">
        <f t="shared" si="9"/>
        <v>89511.077231947798</v>
      </c>
      <c r="F255" s="496">
        <v>-1911127.0550157866</v>
      </c>
      <c r="G255" s="229">
        <f>+'H) Péréquation directe'!I265+'I) Dépenses thématiques'!T255+'J) Plafonnement effort'!J255+'K) Plafonnement aide'!J255+'L) Plafonnement taux'!Q256</f>
        <v>-3048159.4492581077</v>
      </c>
      <c r="H255" s="309">
        <f t="shared" si="10"/>
        <v>-1137032.3942423211</v>
      </c>
      <c r="I255" s="494">
        <v>364360.67695391277</v>
      </c>
      <c r="J255" s="229">
        <f>+'M) Police'!N255</f>
        <v>325598.30758732057</v>
      </c>
      <c r="K255" s="309">
        <f t="shared" si="11"/>
        <v>-38762.369366592204</v>
      </c>
    </row>
    <row r="256" spans="1:11" s="473" customFormat="1" ht="15" x14ac:dyDescent="0.25">
      <c r="A256" s="149">
        <f>+'B) D RI'!A257</f>
        <v>5842</v>
      </c>
      <c r="B256" s="469" t="str">
        <f>+'B) D RI'!B257</f>
        <v>Rossinière</v>
      </c>
      <c r="C256" s="494">
        <v>235003.03820593684</v>
      </c>
      <c r="D256" s="304">
        <f>+'E) PCS'!G262</f>
        <v>225853.53482266894</v>
      </c>
      <c r="E256" s="309">
        <f t="shared" si="9"/>
        <v>-9149.5033832679037</v>
      </c>
      <c r="F256" s="496">
        <v>-364979.89403567236</v>
      </c>
      <c r="G256" s="229">
        <f>+'H) Péréquation directe'!I266+'I) Dépenses thématiques'!T256+'J) Plafonnement effort'!J256+'K) Plafonnement aide'!J256+'L) Plafonnement taux'!Q257</f>
        <v>-409732.3625233866</v>
      </c>
      <c r="H256" s="309">
        <f t="shared" si="10"/>
        <v>-44752.468487714243</v>
      </c>
      <c r="I256" s="494">
        <v>42882.855081993403</v>
      </c>
      <c r="J256" s="229">
        <f>+'M) Police'!N256</f>
        <v>44974.251435595615</v>
      </c>
      <c r="K256" s="309">
        <f t="shared" si="11"/>
        <v>2091.3963536022129</v>
      </c>
    </row>
    <row r="257" spans="1:11" s="473" customFormat="1" ht="15" x14ac:dyDescent="0.25">
      <c r="A257" s="149">
        <f>+'B) D RI'!A258</f>
        <v>5843</v>
      </c>
      <c r="B257" s="469" t="str">
        <f>+'B) D RI'!B258</f>
        <v>Rougemont</v>
      </c>
      <c r="C257" s="494">
        <v>3445059.8118482009</v>
      </c>
      <c r="D257" s="304">
        <f>+'E) PCS'!G263</f>
        <v>3869902.1741587403</v>
      </c>
      <c r="E257" s="309">
        <f t="shared" si="9"/>
        <v>424842.36231053947</v>
      </c>
      <c r="F257" s="496">
        <v>1255297.9304340542</v>
      </c>
      <c r="G257" s="229">
        <f>+'H) Péréquation directe'!I267+'I) Dépenses thématiques'!T257+'J) Plafonnement effort'!J257+'K) Plafonnement aide'!J257+'L) Plafonnement taux'!Q258</f>
        <v>1703568.6798779189</v>
      </c>
      <c r="H257" s="309">
        <f t="shared" si="10"/>
        <v>448270.74944386468</v>
      </c>
      <c r="I257" s="494">
        <v>183436.94594599481</v>
      </c>
      <c r="J257" s="229">
        <f>+'M) Police'!N257</f>
        <v>190527.98554534733</v>
      </c>
      <c r="K257" s="309">
        <f t="shared" si="11"/>
        <v>7091.0395993525162</v>
      </c>
    </row>
    <row r="258" spans="1:11" s="473" customFormat="1" ht="15" x14ac:dyDescent="0.25">
      <c r="A258" s="149">
        <f>+'B) D RI'!A259</f>
        <v>5851</v>
      </c>
      <c r="B258" s="469" t="str">
        <f>+'B) D RI'!B259</f>
        <v>Allaman</v>
      </c>
      <c r="C258" s="494">
        <v>584420.6802248084</v>
      </c>
      <c r="D258" s="304">
        <f>+'E) PCS'!G264</f>
        <v>405927.0899063751</v>
      </c>
      <c r="E258" s="309">
        <f t="shared" si="9"/>
        <v>-178493.5903184333</v>
      </c>
      <c r="F258" s="496">
        <v>400187.09855818766</v>
      </c>
      <c r="G258" s="229">
        <f>+'H) Péréquation directe'!I268+'I) Dépenses thématiques'!T258+'J) Plafonnement effort'!J258+'K) Plafonnement aide'!J258+'L) Plafonnement taux'!Q259</f>
        <v>392925.9180372085</v>
      </c>
      <c r="H258" s="309">
        <f t="shared" si="10"/>
        <v>-7261.1805209791637</v>
      </c>
      <c r="I258" s="494">
        <v>68275.843984436346</v>
      </c>
      <c r="J258" s="229">
        <f>+'M) Police'!N258</f>
        <v>67508.355384015624</v>
      </c>
      <c r="K258" s="309">
        <f t="shared" si="11"/>
        <v>-767.48860042072192</v>
      </c>
    </row>
    <row r="259" spans="1:11" s="473" customFormat="1" ht="15" x14ac:dyDescent="0.25">
      <c r="A259" s="149">
        <f>+'B) D RI'!A260</f>
        <v>5852</v>
      </c>
      <c r="B259" s="469" t="str">
        <f>+'B) D RI'!B260</f>
        <v>Bursinel</v>
      </c>
      <c r="C259" s="494">
        <v>1211268.5554570733</v>
      </c>
      <c r="D259" s="304">
        <f>+'E) PCS'!G265</f>
        <v>742869.92702316504</v>
      </c>
      <c r="E259" s="309">
        <f t="shared" si="9"/>
        <v>-468398.62843390822</v>
      </c>
      <c r="F259" s="496">
        <v>720216.10601585824</v>
      </c>
      <c r="G259" s="229">
        <f>+'H) Péréquation directe'!I269+'I) Dépenses thématiques'!T259+'J) Plafonnement effort'!J259+'K) Plafonnement aide'!J259+'L) Plafonnement taux'!Q260</f>
        <v>581873.97652823501</v>
      </c>
      <c r="H259" s="309">
        <f t="shared" si="10"/>
        <v>-138342.12948762323</v>
      </c>
      <c r="I259" s="494">
        <v>91260.655491359445</v>
      </c>
      <c r="J259" s="229">
        <f>+'M) Police'!N259</f>
        <v>86514.586745531982</v>
      </c>
      <c r="K259" s="309">
        <f t="shared" si="11"/>
        <v>-4746.0687458274624</v>
      </c>
    </row>
    <row r="260" spans="1:11" s="473" customFormat="1" ht="15" x14ac:dyDescent="0.25">
      <c r="A260" s="149">
        <f>+'B) D RI'!A261</f>
        <v>5853</v>
      </c>
      <c r="B260" s="469" t="str">
        <f>+'B) D RI'!B261</f>
        <v>Bursins</v>
      </c>
      <c r="C260" s="494">
        <v>741179.51991488878</v>
      </c>
      <c r="D260" s="304">
        <f>+'E) PCS'!G266</f>
        <v>928971.54011563887</v>
      </c>
      <c r="E260" s="309">
        <f t="shared" si="9"/>
        <v>187792.02020075009</v>
      </c>
      <c r="F260" s="496">
        <v>588770.94667833322</v>
      </c>
      <c r="G260" s="229">
        <f>+'H) Péréquation directe'!I270+'I) Dépenses thématiques'!T260+'J) Plafonnement effort'!J260+'K) Plafonnement aide'!J260+'L) Plafonnement taux'!Q261</f>
        <v>726284.3533334228</v>
      </c>
      <c r="H260" s="309">
        <f t="shared" si="10"/>
        <v>137513.40665508958</v>
      </c>
      <c r="I260" s="494">
        <v>113111.63388386983</v>
      </c>
      <c r="J260" s="229">
        <f>+'M) Police'!N260</f>
        <v>121086.24292025267</v>
      </c>
      <c r="K260" s="309">
        <f t="shared" si="11"/>
        <v>7974.6090363828407</v>
      </c>
    </row>
    <row r="261" spans="1:11" s="473" customFormat="1" ht="15" x14ac:dyDescent="0.25">
      <c r="A261" s="149">
        <f>+'B) D RI'!A262</f>
        <v>5854</v>
      </c>
      <c r="B261" s="469" t="str">
        <f>+'B) D RI'!B262</f>
        <v>Burtigny</v>
      </c>
      <c r="C261" s="494">
        <v>266967.91672117676</v>
      </c>
      <c r="D261" s="304">
        <f>+'E) PCS'!G267</f>
        <v>221424.00018306062</v>
      </c>
      <c r="E261" s="309">
        <f t="shared" si="9"/>
        <v>-45543.916538116144</v>
      </c>
      <c r="F261" s="496">
        <v>-57873.973333431612</v>
      </c>
      <c r="G261" s="229">
        <f>+'H) Péréquation directe'!I271+'I) Dépenses thématiques'!T261+'J) Plafonnement effort'!J261+'K) Plafonnement aide'!J261+'L) Plafonnement taux'!Q262</f>
        <v>27704.154972789023</v>
      </c>
      <c r="H261" s="309">
        <f t="shared" si="10"/>
        <v>85578.128306220635</v>
      </c>
      <c r="I261" s="494">
        <v>34474.331555910881</v>
      </c>
      <c r="J261" s="229">
        <f>+'M) Police'!N261</f>
        <v>46383.739912078643</v>
      </c>
      <c r="K261" s="309">
        <f t="shared" si="11"/>
        <v>11909.408356167762</v>
      </c>
    </row>
    <row r="262" spans="1:11" s="473" customFormat="1" ht="15" x14ac:dyDescent="0.25">
      <c r="A262" s="149">
        <f>+'B) D RI'!A263</f>
        <v>5855</v>
      </c>
      <c r="B262" s="469" t="str">
        <f>+'B) D RI'!B263</f>
        <v>Dully</v>
      </c>
      <c r="C262" s="494">
        <v>2494720.2095259842</v>
      </c>
      <c r="D262" s="304">
        <f>+'E) PCS'!G268</f>
        <v>2772985.6326648057</v>
      </c>
      <c r="E262" s="309">
        <f t="shared" ref="E262:E313" si="12">D262-C262</f>
        <v>278265.4231388215</v>
      </c>
      <c r="F262" s="496">
        <v>1483522.3495471298</v>
      </c>
      <c r="G262" s="229">
        <f>+'H) Péréquation directe'!I272+'I) Dépenses thématiques'!T262+'J) Plafonnement effort'!J262+'K) Plafonnement aide'!J262+'L) Plafonnement taux'!Q263</f>
        <v>1668513.2181443127</v>
      </c>
      <c r="H262" s="309">
        <f t="shared" ref="H262:H313" si="13">G262-F262</f>
        <v>184990.86859718291</v>
      </c>
      <c r="I262" s="494">
        <v>156680.21253317044</v>
      </c>
      <c r="J262" s="229">
        <f>+'M) Police'!N262</f>
        <v>166172.048340821</v>
      </c>
      <c r="K262" s="309">
        <f t="shared" ref="K262:K313" si="14">J262-I262</f>
        <v>9491.8358076505538</v>
      </c>
    </row>
    <row r="263" spans="1:11" s="473" customFormat="1" ht="15" x14ac:dyDescent="0.25">
      <c r="A263" s="149">
        <f>+'B) D RI'!A264</f>
        <v>5856</v>
      </c>
      <c r="B263" s="469" t="str">
        <f>+'B) D RI'!B264</f>
        <v>Essertines-sur-Rolle</v>
      </c>
      <c r="C263" s="494">
        <v>668774.3227134879</v>
      </c>
      <c r="D263" s="304">
        <f>+'E) PCS'!G269</f>
        <v>822650.18292078457</v>
      </c>
      <c r="E263" s="309">
        <f t="shared" si="12"/>
        <v>153875.86020729668</v>
      </c>
      <c r="F263" s="496">
        <v>626723.7014985499</v>
      </c>
      <c r="G263" s="229">
        <f>+'H) Péréquation directe'!I273+'I) Dépenses thématiques'!T263+'J) Plafonnement effort'!J263+'K) Plafonnement aide'!J263+'L) Plafonnement taux'!Q264</f>
        <v>690672.91648452997</v>
      </c>
      <c r="H263" s="309">
        <f t="shared" si="13"/>
        <v>63949.21498598007</v>
      </c>
      <c r="I263" s="494">
        <v>108390.79484531717</v>
      </c>
      <c r="J263" s="229">
        <f>+'M) Police'!N263</f>
        <v>116463.39589793174</v>
      </c>
      <c r="K263" s="309">
        <f t="shared" si="14"/>
        <v>8072.6010526145692</v>
      </c>
    </row>
    <row r="264" spans="1:11" s="473" customFormat="1" ht="15" x14ac:dyDescent="0.25">
      <c r="A264" s="149">
        <f>+'B) D RI'!A265</f>
        <v>5857</v>
      </c>
      <c r="B264" s="469" t="str">
        <f>+'B) D RI'!B265</f>
        <v>Gilly</v>
      </c>
      <c r="C264" s="494">
        <v>1904765.0070852141</v>
      </c>
      <c r="D264" s="304">
        <f>+'E) PCS'!G270</f>
        <v>1613022.1053109961</v>
      </c>
      <c r="E264" s="309">
        <f t="shared" si="12"/>
        <v>-291742.90177421807</v>
      </c>
      <c r="F264" s="496">
        <v>1423107.9910492732</v>
      </c>
      <c r="G264" s="229">
        <f>+'H) Péréquation directe'!I274+'I) Dépenses thématiques'!T264+'J) Plafonnement effort'!J264+'K) Plafonnement aide'!J264+'L) Plafonnement taux'!Q265</f>
        <v>1379995.224643057</v>
      </c>
      <c r="H264" s="309">
        <f t="shared" si="13"/>
        <v>-43112.766406216193</v>
      </c>
      <c r="I264" s="494">
        <v>226442.12305234844</v>
      </c>
      <c r="J264" s="229">
        <f>+'M) Police'!N264</f>
        <v>232396.25156114771</v>
      </c>
      <c r="K264" s="309">
        <f t="shared" si="14"/>
        <v>5954.1285087992728</v>
      </c>
    </row>
    <row r="265" spans="1:11" s="473" customFormat="1" ht="15" x14ac:dyDescent="0.25">
      <c r="A265" s="149">
        <f>+'B) D RI'!A266</f>
        <v>5858</v>
      </c>
      <c r="B265" s="469" t="str">
        <f>+'B) D RI'!B266</f>
        <v>Luins</v>
      </c>
      <c r="C265" s="494">
        <v>1055710.9922344123</v>
      </c>
      <c r="D265" s="304">
        <f>+'E) PCS'!G271</f>
        <v>621419.71056704025</v>
      </c>
      <c r="E265" s="309">
        <f t="shared" si="12"/>
        <v>-434291.2816673721</v>
      </c>
      <c r="F265" s="496">
        <v>839316.85031258431</v>
      </c>
      <c r="G265" s="229">
        <f>+'H) Péréquation directe'!I275+'I) Dépenses thématiques'!T265+'J) Plafonnement effort'!J265+'K) Plafonnement aide'!J265+'L) Plafonnement taux'!Q266</f>
        <v>634995.31473957864</v>
      </c>
      <c r="H265" s="309">
        <f t="shared" si="13"/>
        <v>-204321.53557300568</v>
      </c>
      <c r="I265" s="494">
        <v>112866.50521729147</v>
      </c>
      <c r="J265" s="229">
        <f>+'M) Police'!N265</f>
        <v>101020.14097756648</v>
      </c>
      <c r="K265" s="309">
        <f t="shared" si="14"/>
        <v>-11846.364239724993</v>
      </c>
    </row>
    <row r="266" spans="1:11" s="473" customFormat="1" ht="15" x14ac:dyDescent="0.25">
      <c r="A266" s="149">
        <f>+'B) D RI'!A267</f>
        <v>5859</v>
      </c>
      <c r="B266" s="469" t="str">
        <f>+'B) D RI'!B267</f>
        <v>Mont-sur-Rolle</v>
      </c>
      <c r="C266" s="494">
        <v>2940586.2008493673</v>
      </c>
      <c r="D266" s="304">
        <f>+'E) PCS'!G272</f>
        <v>3206396.1448316365</v>
      </c>
      <c r="E266" s="309">
        <f t="shared" si="12"/>
        <v>265809.94398226915</v>
      </c>
      <c r="F266" s="496">
        <v>1963645.4140143935</v>
      </c>
      <c r="G266" s="229">
        <f>+'H) Péréquation directe'!I276+'I) Dépenses thématiques'!T266+'J) Plafonnement effort'!J266+'K) Plafonnement aide'!J266+'L) Plafonnement taux'!Q267</f>
        <v>2269492.4106874382</v>
      </c>
      <c r="H266" s="309">
        <f t="shared" si="13"/>
        <v>305846.99667304475</v>
      </c>
      <c r="I266" s="494">
        <v>403137.79736905126</v>
      </c>
      <c r="J266" s="229">
        <f>+'M) Police'!N266</f>
        <v>432884.58753764606</v>
      </c>
      <c r="K266" s="309">
        <f t="shared" si="14"/>
        <v>29746.790168594802</v>
      </c>
    </row>
    <row r="267" spans="1:11" s="473" customFormat="1" ht="15" x14ac:dyDescent="0.25">
      <c r="A267" s="149">
        <f>+'B) D RI'!A268</f>
        <v>5860</v>
      </c>
      <c r="B267" s="469" t="str">
        <f>+'B) D RI'!B268</f>
        <v>Perroy</v>
      </c>
      <c r="C267" s="494">
        <v>2340978.422270217</v>
      </c>
      <c r="D267" s="304">
        <f>+'E) PCS'!G273</f>
        <v>2920563.0969144264</v>
      </c>
      <c r="E267" s="309">
        <f t="shared" si="12"/>
        <v>579584.67464420944</v>
      </c>
      <c r="F267" s="496">
        <v>-240318.16147045814</v>
      </c>
      <c r="G267" s="229">
        <f>+'H) Péréquation directe'!I277+'I) Dépenses thématiques'!T267+'J) Plafonnement effort'!J267+'K) Plafonnement aide'!J267+'L) Plafonnement taux'!Q268</f>
        <v>2013351.5955185993</v>
      </c>
      <c r="H267" s="309">
        <f t="shared" si="13"/>
        <v>2253669.7569890572</v>
      </c>
      <c r="I267" s="494">
        <v>259350.65877945794</v>
      </c>
      <c r="J267" s="229">
        <f>+'M) Police'!N267</f>
        <v>280539.9483263985</v>
      </c>
      <c r="K267" s="309">
        <f t="shared" si="14"/>
        <v>21189.289546940563</v>
      </c>
    </row>
    <row r="268" spans="1:11" s="473" customFormat="1" ht="15" x14ac:dyDescent="0.25">
      <c r="A268" s="149">
        <f>+'B) D RI'!A269</f>
        <v>5861</v>
      </c>
      <c r="B268" s="469" t="str">
        <f>+'B) D RI'!B269</f>
        <v>Rolle</v>
      </c>
      <c r="C268" s="494">
        <v>14676409.509460783</v>
      </c>
      <c r="D268" s="304">
        <f>+'E) PCS'!G274</f>
        <v>16444796.796830293</v>
      </c>
      <c r="E268" s="309">
        <f t="shared" si="12"/>
        <v>1768387.2873695102</v>
      </c>
      <c r="F268" s="496">
        <v>8070198.17404259</v>
      </c>
      <c r="G268" s="229">
        <f>+'H) Péréquation directe'!I278+'I) Dépenses thématiques'!T268+'J) Plafonnement effort'!J268+'K) Plafonnement aide'!J268+'L) Plafonnement taux'!Q269</f>
        <v>9309414.518197082</v>
      </c>
      <c r="H268" s="309">
        <f t="shared" si="13"/>
        <v>1239216.344154492</v>
      </c>
      <c r="I268" s="494">
        <v>1228560.6947761048</v>
      </c>
      <c r="J268" s="229">
        <f>+'M) Police'!N268</f>
        <v>1308168.0830146014</v>
      </c>
      <c r="K268" s="309">
        <f t="shared" si="14"/>
        <v>79607.388238496613</v>
      </c>
    </row>
    <row r="269" spans="1:11" s="473" customFormat="1" ht="15" x14ac:dyDescent="0.25">
      <c r="A269" s="149">
        <f>+'B) D RI'!A270</f>
        <v>5862</v>
      </c>
      <c r="B269" s="469" t="str">
        <f>+'B) D RI'!B270</f>
        <v>Tartegnin</v>
      </c>
      <c r="C269" s="494">
        <v>174853.01543037046</v>
      </c>
      <c r="D269" s="304">
        <f>+'E) PCS'!G275</f>
        <v>114277.81862967758</v>
      </c>
      <c r="E269" s="309">
        <f t="shared" si="12"/>
        <v>-60575.19680069288</v>
      </c>
      <c r="F269" s="496">
        <v>185938.1282762794</v>
      </c>
      <c r="G269" s="229">
        <f>+'H) Péréquation directe'!I279+'I) Dépenses thématiques'!T269+'J) Plafonnement effort'!J269+'K) Plafonnement aide'!J269+'L) Plafonnement taux'!Q270</f>
        <v>23151.407580388855</v>
      </c>
      <c r="H269" s="309">
        <f t="shared" si="13"/>
        <v>-162786.72069589054</v>
      </c>
      <c r="I269" s="494">
        <v>33912.253535347372</v>
      </c>
      <c r="J269" s="229">
        <f>+'M) Police'!N269</f>
        <v>23734.174642583166</v>
      </c>
      <c r="K269" s="309">
        <f t="shared" si="14"/>
        <v>-10178.078892764206</v>
      </c>
    </row>
    <row r="270" spans="1:11" s="473" customFormat="1" ht="15" x14ac:dyDescent="0.25">
      <c r="A270" s="149">
        <f>+'B) D RI'!A271</f>
        <v>5863</v>
      </c>
      <c r="B270" s="469" t="str">
        <f>+'B) D RI'!B271</f>
        <v>Vinzel</v>
      </c>
      <c r="C270" s="494">
        <v>343226.23523043201</v>
      </c>
      <c r="D270" s="304">
        <f>+'E) PCS'!G276</f>
        <v>413769.46388951188</v>
      </c>
      <c r="E270" s="309">
        <f t="shared" si="12"/>
        <v>70543.228659079876</v>
      </c>
      <c r="F270" s="496">
        <v>306197.21104707377</v>
      </c>
      <c r="G270" s="229">
        <f>+'H) Péréquation directe'!I280+'I) Dépenses thématiques'!T270+'J) Plafonnement effort'!J270+'K) Plafonnement aide'!J270+'L) Plafonnement taux'!Q271</f>
        <v>353617.97629429994</v>
      </c>
      <c r="H270" s="309">
        <f t="shared" si="13"/>
        <v>47420.765247226169</v>
      </c>
      <c r="I270" s="494">
        <v>53166.68668333596</v>
      </c>
      <c r="J270" s="229">
        <f>+'M) Police'!N270</f>
        <v>58021.718113565476</v>
      </c>
      <c r="K270" s="309">
        <f t="shared" si="14"/>
        <v>4855.0314302295155</v>
      </c>
    </row>
    <row r="271" spans="1:11" s="473" customFormat="1" ht="15" x14ac:dyDescent="0.25">
      <c r="A271" s="149">
        <f>+'B) D RI'!A272</f>
        <v>5871</v>
      </c>
      <c r="B271" s="469" t="str">
        <f>+'B) D RI'!B272</f>
        <v>L'Abbaye</v>
      </c>
      <c r="C271" s="494">
        <v>1041555.1115587964</v>
      </c>
      <c r="D271" s="304">
        <f>+'E) PCS'!G277</f>
        <v>1121866.7050835602</v>
      </c>
      <c r="E271" s="309">
        <f t="shared" si="12"/>
        <v>80311.593524763826</v>
      </c>
      <c r="F271" s="496">
        <v>-282719.31592866138</v>
      </c>
      <c r="G271" s="229">
        <f>+'H) Péréquation directe'!I281+'I) Dépenses thématiques'!T271+'J) Plafonnement effort'!J271+'K) Plafonnement aide'!J271+'L) Plafonnement taux'!Q272</f>
        <v>-267593.35892661882</v>
      </c>
      <c r="H271" s="309">
        <f t="shared" si="13"/>
        <v>15125.95700204256</v>
      </c>
      <c r="I271" s="494">
        <v>145653.80688630856</v>
      </c>
      <c r="J271" s="229">
        <f>+'M) Police'!N271</f>
        <v>158055.24715079795</v>
      </c>
      <c r="K271" s="309">
        <f t="shared" si="14"/>
        <v>12401.440264489385</v>
      </c>
    </row>
    <row r="272" spans="1:11" s="473" customFormat="1" ht="15" x14ac:dyDescent="0.25">
      <c r="A272" s="149">
        <f>+'B) D RI'!A273</f>
        <v>5872</v>
      </c>
      <c r="B272" s="469" t="str">
        <f>+'B) D RI'!B273</f>
        <v>Le Chenit</v>
      </c>
      <c r="C272" s="494">
        <v>7105805.9462640854</v>
      </c>
      <c r="D272" s="304">
        <f>+'E) PCS'!G278</f>
        <v>5292868.0630786242</v>
      </c>
      <c r="E272" s="309">
        <f t="shared" si="12"/>
        <v>-1812937.8831854612</v>
      </c>
      <c r="F272" s="496">
        <v>2093620.4672975198</v>
      </c>
      <c r="G272" s="229">
        <f>+'H) Péréquation directe'!I282+'I) Dépenses thématiques'!T272+'J) Plafonnement effort'!J272+'K) Plafonnement aide'!J272+'L) Plafonnement taux'!Q273</f>
        <v>-295.57354454183951</v>
      </c>
      <c r="H272" s="309">
        <f t="shared" si="13"/>
        <v>-2093916.0408420616</v>
      </c>
      <c r="I272" s="494">
        <v>722856.58221702627</v>
      </c>
      <c r="J272" s="229">
        <f>+'M) Police'!N272</f>
        <v>606186.81772579858</v>
      </c>
      <c r="K272" s="309">
        <f t="shared" si="14"/>
        <v>-116669.76449122769</v>
      </c>
    </row>
    <row r="273" spans="1:11" s="473" customFormat="1" ht="15" x14ac:dyDescent="0.25">
      <c r="A273" s="149">
        <f>+'B) D RI'!A274</f>
        <v>5873</v>
      </c>
      <c r="B273" s="469" t="str">
        <f>+'B) D RI'!B274</f>
        <v>Le Lieu</v>
      </c>
      <c r="C273" s="494">
        <v>721493.82728844974</v>
      </c>
      <c r="D273" s="304">
        <f>+'E) PCS'!G279</f>
        <v>756818.9948690068</v>
      </c>
      <c r="E273" s="309">
        <f t="shared" si="12"/>
        <v>35325.167580557056</v>
      </c>
      <c r="F273" s="496">
        <v>-469147.05084499257</v>
      </c>
      <c r="G273" s="229">
        <f>+'H) Péréquation directe'!I283+'I) Dépenses thématiques'!T273+'J) Plafonnement effort'!J273+'K) Plafonnement aide'!J273+'L) Plafonnement taux'!Q274</f>
        <v>-444427.3465126814</v>
      </c>
      <c r="H273" s="309">
        <f t="shared" si="13"/>
        <v>24719.704332311172</v>
      </c>
      <c r="I273" s="494">
        <v>89637.460060686935</v>
      </c>
      <c r="J273" s="229">
        <f>+'M) Police'!N273</f>
        <v>95493.295085422476</v>
      </c>
      <c r="K273" s="309">
        <f t="shared" si="14"/>
        <v>5855.8350247355411</v>
      </c>
    </row>
    <row r="274" spans="1:11" s="473" customFormat="1" ht="15" x14ac:dyDescent="0.25">
      <c r="A274" s="149">
        <f>+'B) D RI'!A275</f>
        <v>5881</v>
      </c>
      <c r="B274" s="469" t="str">
        <f>+'B) D RI'!B275</f>
        <v>Blonay</v>
      </c>
      <c r="C274" s="494">
        <v>7904886.0976911858</v>
      </c>
      <c r="D274" s="304">
        <f>+'E) PCS'!G280</f>
        <v>7926781.7556913812</v>
      </c>
      <c r="E274" s="309">
        <f t="shared" si="12"/>
        <v>21895.658000195399</v>
      </c>
      <c r="F274" s="496">
        <v>3879654.8460205328</v>
      </c>
      <c r="G274" s="229">
        <f>+'H) Péréquation directe'!I284+'I) Dépenses thématiques'!T274+'J) Plafonnement effort'!J274+'K) Plafonnement aide'!J274+'L) Plafonnement taux'!Q275</f>
        <v>3372140.7720507635</v>
      </c>
      <c r="H274" s="309">
        <f t="shared" si="13"/>
        <v>-507514.07396976929</v>
      </c>
      <c r="I274" s="494">
        <v>456330.91193259292</v>
      </c>
      <c r="J274" s="229">
        <f>+'M) Police'!N274</f>
        <v>434141.14926301222</v>
      </c>
      <c r="K274" s="309">
        <f t="shared" si="14"/>
        <v>-22189.762669580698</v>
      </c>
    </row>
    <row r="275" spans="1:11" s="473" customFormat="1" ht="15" x14ac:dyDescent="0.25">
      <c r="A275" s="149">
        <f>+'B) D RI'!A276</f>
        <v>5882</v>
      </c>
      <c r="B275" s="469" t="str">
        <f>+'B) D RI'!B276</f>
        <v>Chardonne</v>
      </c>
      <c r="C275" s="494">
        <v>4711478.3172603659</v>
      </c>
      <c r="D275" s="304">
        <f>+'E) PCS'!G281</f>
        <v>3587219.0931571643</v>
      </c>
      <c r="E275" s="309">
        <f t="shared" si="12"/>
        <v>-1124259.2241032016</v>
      </c>
      <c r="F275" s="496">
        <v>2387567.4263591398</v>
      </c>
      <c r="G275" s="229">
        <f>+'H) Péréquation directe'!I285+'I) Dépenses thématiques'!T275+'J) Plafonnement effort'!J275+'K) Plafonnement aide'!J275+'L) Plafonnement taux'!Q276</f>
        <v>2308781.8086948092</v>
      </c>
      <c r="H275" s="309">
        <f t="shared" si="13"/>
        <v>-78785.617664330639</v>
      </c>
      <c r="I275" s="494">
        <v>236542.31681502046</v>
      </c>
      <c r="J275" s="229">
        <f>+'M) Police'!N275</f>
        <v>218530.04224327655</v>
      </c>
      <c r="K275" s="309">
        <f t="shared" si="14"/>
        <v>-18012.27457174391</v>
      </c>
    </row>
    <row r="276" spans="1:11" s="473" customFormat="1" ht="15" x14ac:dyDescent="0.25">
      <c r="A276" s="149">
        <f>+'B) D RI'!A277</f>
        <v>5883</v>
      </c>
      <c r="B276" s="469" t="str">
        <f>+'B) D RI'!B277</f>
        <v>Corseaux</v>
      </c>
      <c r="C276" s="494">
        <v>3989778.6218227679</v>
      </c>
      <c r="D276" s="304">
        <f>+'E) PCS'!G282</f>
        <v>5544331.8233422516</v>
      </c>
      <c r="E276" s="309">
        <f t="shared" si="12"/>
        <v>1554553.2015194837</v>
      </c>
      <c r="F276" s="496">
        <v>2652939.937490514</v>
      </c>
      <c r="G276" s="229">
        <f>+'H) Péréquation directe'!I286+'I) Dépenses thématiques'!T276+'J) Plafonnement effort'!J276+'K) Plafonnement aide'!J276+'L) Plafonnement taux'!Q277</f>
        <v>3012728.2216709508</v>
      </c>
      <c r="H276" s="309">
        <f t="shared" si="13"/>
        <v>359788.28418043675</v>
      </c>
      <c r="I276" s="494">
        <v>211337.62175653939</v>
      </c>
      <c r="J276" s="229">
        <f>+'M) Police'!N276</f>
        <v>225713.9969953715</v>
      </c>
      <c r="K276" s="309">
        <f t="shared" si="14"/>
        <v>14376.375238832115</v>
      </c>
    </row>
    <row r="277" spans="1:11" s="473" customFormat="1" ht="15" x14ac:dyDescent="0.25">
      <c r="A277" s="149">
        <f>+'B) D RI'!A278</f>
        <v>5884</v>
      </c>
      <c r="B277" s="469" t="str">
        <f>+'B) D RI'!B278</f>
        <v>Corsier-sur-Vevey</v>
      </c>
      <c r="C277" s="494">
        <v>2296171.8026586641</v>
      </c>
      <c r="D277" s="304">
        <f>+'E) PCS'!G283</f>
        <v>2373237.3536488004</v>
      </c>
      <c r="E277" s="309">
        <f t="shared" si="12"/>
        <v>77065.55099013634</v>
      </c>
      <c r="F277" s="496">
        <v>-449526.14510455471</v>
      </c>
      <c r="G277" s="229">
        <f>+'H) Péréquation directe'!I287+'I) Dépenses thématiques'!T277+'J) Plafonnement effort'!J277+'K) Plafonnement aide'!J277+'L) Plafonnement taux'!Q278</f>
        <v>143620.41096208664</v>
      </c>
      <c r="H277" s="309">
        <f t="shared" si="13"/>
        <v>593146.55606664135</v>
      </c>
      <c r="I277" s="494">
        <v>160786.63860977895</v>
      </c>
      <c r="J277" s="229">
        <f>+'M) Police'!N277</f>
        <v>174049.23596567041</v>
      </c>
      <c r="K277" s="309">
        <f t="shared" si="14"/>
        <v>13262.597355891456</v>
      </c>
    </row>
    <row r="278" spans="1:11" s="473" customFormat="1" ht="15" x14ac:dyDescent="0.25">
      <c r="A278" s="149">
        <f>+'B) D RI'!A279</f>
        <v>5885</v>
      </c>
      <c r="B278" s="469" t="str">
        <f>+'B) D RI'!B279</f>
        <v>Jongny</v>
      </c>
      <c r="C278" s="494">
        <v>1607615.4957783823</v>
      </c>
      <c r="D278" s="304">
        <f>+'E) PCS'!G284</f>
        <v>1900634.685096516</v>
      </c>
      <c r="E278" s="309">
        <f t="shared" si="12"/>
        <v>293019.18931813375</v>
      </c>
      <c r="F278" s="496">
        <v>1112803.0983890742</v>
      </c>
      <c r="G278" s="229">
        <f>+'H) Péréquation directe'!I288+'I) Dépenses thématiques'!T278+'J) Plafonnement effort'!J278+'K) Plafonnement aide'!J278+'L) Plafonnement taux'!Q279</f>
        <v>1329314.3351124222</v>
      </c>
      <c r="H278" s="309">
        <f t="shared" si="13"/>
        <v>216511.23672334803</v>
      </c>
      <c r="I278" s="494">
        <v>101067.65453046648</v>
      </c>
      <c r="J278" s="229">
        <f>+'M) Police'!N278</f>
        <v>113475.6989324539</v>
      </c>
      <c r="K278" s="309">
        <f t="shared" si="14"/>
        <v>12408.044401987427</v>
      </c>
    </row>
    <row r="279" spans="1:11" s="473" customFormat="1" ht="15" x14ac:dyDescent="0.25">
      <c r="A279" s="149">
        <f>+'B) D RI'!A280</f>
        <v>5886</v>
      </c>
      <c r="B279" s="469" t="str">
        <f>+'B) D RI'!B280</f>
        <v>Montreux</v>
      </c>
      <c r="C279" s="494">
        <v>25495100.122386526</v>
      </c>
      <c r="D279" s="304">
        <f>+'E) PCS'!G285</f>
        <v>30454076.072836891</v>
      </c>
      <c r="E279" s="309">
        <f t="shared" si="12"/>
        <v>4958975.9504503645</v>
      </c>
      <c r="F279" s="496">
        <v>-5508448.0157019664</v>
      </c>
      <c r="G279" s="229">
        <f>+'H) Péréquation directe'!I289+'I) Dépenses thématiques'!T279+'J) Plafonnement effort'!J279+'K) Plafonnement aide'!J279+'L) Plafonnement taux'!Q280</f>
        <v>-5195213.6910524014</v>
      </c>
      <c r="H279" s="309">
        <f t="shared" si="13"/>
        <v>313234.32464956492</v>
      </c>
      <c r="I279" s="494">
        <v>1457000.0418254547</v>
      </c>
      <c r="J279" s="229">
        <f>+'M) Police'!N279</f>
        <v>1430069.1965174198</v>
      </c>
      <c r="K279" s="309">
        <f t="shared" si="14"/>
        <v>-26930.845308034914</v>
      </c>
    </row>
    <row r="280" spans="1:11" s="473" customFormat="1" ht="15" x14ac:dyDescent="0.25">
      <c r="A280" s="149">
        <f>+'B) D RI'!A281</f>
        <v>5888</v>
      </c>
      <c r="B280" s="469" t="str">
        <f>+'B) D RI'!B281</f>
        <v>Saint-Légier-La Chiésaz</v>
      </c>
      <c r="C280" s="494">
        <v>7786392.344727044</v>
      </c>
      <c r="D280" s="304">
        <f>+'E) PCS'!G286</f>
        <v>6356669.3554294417</v>
      </c>
      <c r="E280" s="309">
        <f t="shared" si="12"/>
        <v>-1429722.9892976023</v>
      </c>
      <c r="F280" s="496">
        <v>4439080.3386976607</v>
      </c>
      <c r="G280" s="229">
        <f>+'H) Péréquation directe'!I290+'I) Dépenses thématiques'!T280+'J) Plafonnement effort'!J280+'K) Plafonnement aide'!J280+'L) Plafonnement taux'!Q281</f>
        <v>2290057.1458307859</v>
      </c>
      <c r="H280" s="309">
        <f t="shared" si="13"/>
        <v>-2149023.1928668749</v>
      </c>
      <c r="I280" s="494">
        <v>433489.5523341978</v>
      </c>
      <c r="J280" s="229">
        <f>+'M) Police'!N280</f>
        <v>390441.16792574793</v>
      </c>
      <c r="K280" s="309">
        <f t="shared" si="14"/>
        <v>-43048.384408449871</v>
      </c>
    </row>
    <row r="281" spans="1:11" s="473" customFormat="1" ht="15" x14ac:dyDescent="0.25">
      <c r="A281" s="149">
        <f>+'B) D RI'!A282</f>
        <v>5889</v>
      </c>
      <c r="B281" s="469" t="str">
        <f>+'B) D RI'!B282</f>
        <v>La Tour-de-Peilz</v>
      </c>
      <c r="C281" s="494">
        <v>14604198.910341332</v>
      </c>
      <c r="D281" s="304">
        <f>+'E) PCS'!G287</f>
        <v>13126594.957033912</v>
      </c>
      <c r="E281" s="309">
        <f t="shared" si="12"/>
        <v>-1477603.95330742</v>
      </c>
      <c r="F281" s="496">
        <v>6850621.0920082126</v>
      </c>
      <c r="G281" s="229">
        <f>+'H) Péréquation directe'!I291+'I) Dépenses thématiques'!T281+'J) Plafonnement effort'!J281+'K) Plafonnement aide'!J281+'L) Plafonnement taux'!Q282</f>
        <v>6669086.6137614027</v>
      </c>
      <c r="H281" s="309">
        <f t="shared" si="13"/>
        <v>-181534.47824680991</v>
      </c>
      <c r="I281" s="494">
        <v>888141.47071124683</v>
      </c>
      <c r="J281" s="229">
        <f>+'M) Police'!N281</f>
        <v>865630.85190637724</v>
      </c>
      <c r="K281" s="309">
        <f t="shared" si="14"/>
        <v>-22510.618804869591</v>
      </c>
    </row>
    <row r="282" spans="1:11" s="473" customFormat="1" ht="15" x14ac:dyDescent="0.25">
      <c r="A282" s="149">
        <f>+'B) D RI'!A283</f>
        <v>5890</v>
      </c>
      <c r="B282" s="469" t="str">
        <f>+'B) D RI'!B283</f>
        <v>Vevey</v>
      </c>
      <c r="C282" s="494">
        <v>17290824.745667629</v>
      </c>
      <c r="D282" s="304">
        <f>+'E) PCS'!G288</f>
        <v>15403783.250322388</v>
      </c>
      <c r="E282" s="309">
        <f t="shared" si="12"/>
        <v>-1887041.4953452405</v>
      </c>
      <c r="F282" s="496">
        <v>1286328.5297227302</v>
      </c>
      <c r="G282" s="229">
        <f>+'H) Péréquation directe'!I292+'I) Dépenses thématiques'!T282+'J) Plafonnement effort'!J282+'K) Plafonnement aide'!J282+'L) Plafonnement taux'!Q283</f>
        <v>-268664.75591139961</v>
      </c>
      <c r="H282" s="309">
        <f t="shared" si="13"/>
        <v>-1554993.2856341298</v>
      </c>
      <c r="I282" s="494">
        <v>1240084.67953367</v>
      </c>
      <c r="J282" s="229">
        <f>+'M) Police'!N282</f>
        <v>1133596.7051647913</v>
      </c>
      <c r="K282" s="309">
        <f t="shared" si="14"/>
        <v>-106487.97436887864</v>
      </c>
    </row>
    <row r="283" spans="1:11" s="473" customFormat="1" ht="15" x14ac:dyDescent="0.25">
      <c r="A283" s="149">
        <f>+'B) D RI'!A284</f>
        <v>5891</v>
      </c>
      <c r="B283" s="469" t="str">
        <f>+'B) D RI'!B284</f>
        <v>Veytaux</v>
      </c>
      <c r="C283" s="494">
        <v>678513.60521478334</v>
      </c>
      <c r="D283" s="304">
        <f>+'E) PCS'!G289</f>
        <v>608072.58121840481</v>
      </c>
      <c r="E283" s="309">
        <f t="shared" si="12"/>
        <v>-70441.023996378528</v>
      </c>
      <c r="F283" s="496">
        <v>-348728.65804808214</v>
      </c>
      <c r="G283" s="229">
        <f>+'H) Péréquation directe'!I293+'I) Dépenses thématiques'!T283+'J) Plafonnement effort'!J283+'K) Plafonnement aide'!J283+'L) Plafonnement taux'!Q284</f>
        <v>-104003.76952571538</v>
      </c>
      <c r="H283" s="309">
        <f t="shared" si="13"/>
        <v>244724.88852236676</v>
      </c>
      <c r="I283" s="494">
        <v>47594.238301029109</v>
      </c>
      <c r="J283" s="229">
        <f>+'M) Police'!N283</f>
        <v>45732.280450913349</v>
      </c>
      <c r="K283" s="309">
        <f t="shared" si="14"/>
        <v>-1861.9578501157594</v>
      </c>
    </row>
    <row r="284" spans="1:11" s="473" customFormat="1" ht="15" x14ac:dyDescent="0.25">
      <c r="A284" s="149">
        <f>+'B) D RI'!A285</f>
        <v>5902</v>
      </c>
      <c r="B284" s="469" t="str">
        <f>+'B) D RI'!B285</f>
        <v>Belmont-sur-Yverdon</v>
      </c>
      <c r="C284" s="494">
        <v>165204.09168107496</v>
      </c>
      <c r="D284" s="304">
        <f>+'E) PCS'!G290</f>
        <v>179077.17065847831</v>
      </c>
      <c r="E284" s="309">
        <f t="shared" si="12"/>
        <v>13873.078977403347</v>
      </c>
      <c r="F284" s="496">
        <v>9096.9827875997489</v>
      </c>
      <c r="G284" s="229">
        <f>+'H) Péréquation directe'!I294+'I) Dépenses thématiques'!T284+'J) Plafonnement effort'!J284+'K) Plafonnement aide'!J284+'L) Plafonnement taux'!Q285</f>
        <v>-97383.485951965151</v>
      </c>
      <c r="H284" s="309">
        <f t="shared" si="13"/>
        <v>-106480.46873956489</v>
      </c>
      <c r="I284" s="494">
        <v>33920.55210053562</v>
      </c>
      <c r="J284" s="229">
        <f>+'M) Police'!N284</f>
        <v>36664.805539670968</v>
      </c>
      <c r="K284" s="309">
        <f t="shared" si="14"/>
        <v>2744.2534391353474</v>
      </c>
    </row>
    <row r="285" spans="1:11" s="473" customFormat="1" ht="15" x14ac:dyDescent="0.25">
      <c r="A285" s="149">
        <f>+'B) D RI'!A286</f>
        <v>5903</v>
      </c>
      <c r="B285" s="469" t="str">
        <f>+'B) D RI'!B286</f>
        <v>Bioley-Magnoux</v>
      </c>
      <c r="C285" s="494">
        <v>106740.51471111011</v>
      </c>
      <c r="D285" s="304">
        <f>+'E) PCS'!G291</f>
        <v>84661.204005376916</v>
      </c>
      <c r="E285" s="309">
        <f t="shared" si="12"/>
        <v>-22079.310705733194</v>
      </c>
      <c r="F285" s="496">
        <v>-190814.47986677173</v>
      </c>
      <c r="G285" s="229">
        <f>+'H) Péréquation directe'!I295+'I) Dépenses thématiques'!T285+'J) Plafonnement effort'!J285+'K) Plafonnement aide'!J285+'L) Plafonnement taux'!Q286</f>
        <v>-178091.20687404298</v>
      </c>
      <c r="H285" s="309">
        <f t="shared" si="13"/>
        <v>12723.272992728744</v>
      </c>
      <c r="I285" s="494">
        <v>20273.553878319202</v>
      </c>
      <c r="J285" s="229">
        <f>+'M) Police'!N285</f>
        <v>18125.739957688653</v>
      </c>
      <c r="K285" s="309">
        <f t="shared" si="14"/>
        <v>-2147.8139206305495</v>
      </c>
    </row>
    <row r="286" spans="1:11" s="473" customFormat="1" ht="15" x14ac:dyDescent="0.25">
      <c r="A286" s="149">
        <f>+'B) D RI'!A287</f>
        <v>5904</v>
      </c>
      <c r="B286" s="469" t="str">
        <f>+'B) D RI'!B287</f>
        <v>Chamblon</v>
      </c>
      <c r="C286" s="494">
        <v>363285.59017588414</v>
      </c>
      <c r="D286" s="304">
        <f>+'E) PCS'!G292</f>
        <v>303551.39081881504</v>
      </c>
      <c r="E286" s="309">
        <f t="shared" si="12"/>
        <v>-59734.199357069097</v>
      </c>
      <c r="F286" s="496">
        <v>314438.22567146196</v>
      </c>
      <c r="G286" s="229">
        <f>+'H) Péréquation directe'!I296+'I) Dépenses thématiques'!T286+'J) Plafonnement effort'!J286+'K) Plafonnement aide'!J286+'L) Plafonnement taux'!Q287</f>
        <v>257310.51530140691</v>
      </c>
      <c r="H286" s="309">
        <f t="shared" si="13"/>
        <v>-57127.710370055051</v>
      </c>
      <c r="I286" s="494">
        <v>28232.245088263146</v>
      </c>
      <c r="J286" s="229">
        <f>+'M) Police'!N286</f>
        <v>25924.678422241497</v>
      </c>
      <c r="K286" s="309">
        <f t="shared" si="14"/>
        <v>-2307.5666660216484</v>
      </c>
    </row>
    <row r="287" spans="1:11" s="473" customFormat="1" ht="15" x14ac:dyDescent="0.25">
      <c r="A287" s="149">
        <f>+'B) D RI'!A288</f>
        <v>5905</v>
      </c>
      <c r="B287" s="469" t="str">
        <f>+'B) D RI'!B288</f>
        <v>Champvent</v>
      </c>
      <c r="C287" s="494">
        <v>534194.32081509032</v>
      </c>
      <c r="D287" s="304">
        <f>+'E) PCS'!G293</f>
        <v>458912.33425263269</v>
      </c>
      <c r="E287" s="309">
        <f t="shared" si="12"/>
        <v>-75281.986562457634</v>
      </c>
      <c r="F287" s="496">
        <v>175276.757792964</v>
      </c>
      <c r="G287" s="229">
        <f>+'H) Péréquation directe'!I297+'I) Dépenses thématiques'!T287+'J) Plafonnement effort'!J287+'K) Plafonnement aide'!J287+'L) Plafonnement taux'!Q288</f>
        <v>104396.75908931144</v>
      </c>
      <c r="H287" s="309">
        <f t="shared" si="13"/>
        <v>-70879.998703652556</v>
      </c>
      <c r="I287" s="494">
        <v>73745.465521207632</v>
      </c>
      <c r="J287" s="229">
        <f>+'M) Police'!N287</f>
        <v>70662.213091790501</v>
      </c>
      <c r="K287" s="309">
        <f t="shared" si="14"/>
        <v>-3083.2524294171308</v>
      </c>
    </row>
    <row r="288" spans="1:11" s="473" customFormat="1" ht="15" x14ac:dyDescent="0.25">
      <c r="A288" s="149">
        <f>+'B) D RI'!A289</f>
        <v>5907</v>
      </c>
      <c r="B288" s="469" t="str">
        <f>+'B) D RI'!B289</f>
        <v>Chavannes-le-Chêne</v>
      </c>
      <c r="C288" s="494">
        <v>150859.05262112906</v>
      </c>
      <c r="D288" s="304">
        <f>+'E) PCS'!G294</f>
        <v>108067.45565425461</v>
      </c>
      <c r="E288" s="309">
        <f t="shared" si="12"/>
        <v>-42791.596966874451</v>
      </c>
      <c r="F288" s="496">
        <v>-47183.898721542631</v>
      </c>
      <c r="G288" s="229">
        <f>+'H) Péréquation directe'!I298+'I) Dépenses thématiques'!T288+'J) Plafonnement effort'!J288+'K) Plafonnement aide'!J288+'L) Plafonnement taux'!Q289</f>
        <v>-140498.87824019309</v>
      </c>
      <c r="H288" s="309">
        <f t="shared" si="13"/>
        <v>-93314.979518650463</v>
      </c>
      <c r="I288" s="494">
        <v>29867.621287325535</v>
      </c>
      <c r="J288" s="229">
        <f>+'M) Police'!N288</f>
        <v>23425.721841763756</v>
      </c>
      <c r="K288" s="309">
        <f t="shared" si="14"/>
        <v>-6441.8994455617794</v>
      </c>
    </row>
    <row r="289" spans="1:11" s="473" customFormat="1" ht="15" x14ac:dyDescent="0.25">
      <c r="A289" s="149">
        <f>+'B) D RI'!A290</f>
        <v>5908</v>
      </c>
      <c r="B289" s="469" t="str">
        <f>+'B) D RI'!B290</f>
        <v>Chêne-Pâquier</v>
      </c>
      <c r="C289" s="494">
        <v>54092.726817834227</v>
      </c>
      <c r="D289" s="304">
        <f>+'E) PCS'!G295</f>
        <v>61267.820840012762</v>
      </c>
      <c r="E289" s="309">
        <f t="shared" si="12"/>
        <v>7175.0940221785349</v>
      </c>
      <c r="F289" s="496">
        <v>-66338.89800038423</v>
      </c>
      <c r="G289" s="229">
        <f>+'H) Péréquation directe'!I299+'I) Dépenses thématiques'!T289+'J) Plafonnement effort'!J289+'K) Plafonnement aide'!J289+'L) Plafonnement taux'!Q290</f>
        <v>-39295.634034954914</v>
      </c>
      <c r="H289" s="309">
        <f t="shared" si="13"/>
        <v>27043.263965429316</v>
      </c>
      <c r="I289" s="494">
        <v>10628.29400651843</v>
      </c>
      <c r="J289" s="229">
        <f>+'M) Police'!N289</f>
        <v>13386.989549689428</v>
      </c>
      <c r="K289" s="309">
        <f t="shared" si="14"/>
        <v>2758.6955431709976</v>
      </c>
    </row>
    <row r="290" spans="1:11" s="473" customFormat="1" ht="15" x14ac:dyDescent="0.25">
      <c r="A290" s="149">
        <f>+'B) D RI'!A291</f>
        <v>5909</v>
      </c>
      <c r="B290" s="469" t="str">
        <f>+'B) D RI'!B291</f>
        <v>Cheseaux-Noréaz</v>
      </c>
      <c r="C290" s="494">
        <v>607462.44435905979</v>
      </c>
      <c r="D290" s="304">
        <f>+'E) PCS'!G296</f>
        <v>607352.32261504605</v>
      </c>
      <c r="E290" s="309">
        <f t="shared" si="12"/>
        <v>-110.12174401374068</v>
      </c>
      <c r="F290" s="496">
        <v>419082.06326339114</v>
      </c>
      <c r="G290" s="229">
        <f>+'H) Péréquation directe'!I300+'I) Dépenses thématiques'!T290+'J) Plafonnement effort'!J290+'K) Plafonnement aide'!J290+'L) Plafonnement taux'!Q291</f>
        <v>554677.48009129392</v>
      </c>
      <c r="H290" s="309">
        <f t="shared" si="13"/>
        <v>135595.41682790278</v>
      </c>
      <c r="I290" s="494">
        <v>41561.778707954545</v>
      </c>
      <c r="J290" s="229">
        <f>+'M) Police'!N290</f>
        <v>43131.678370505448</v>
      </c>
      <c r="K290" s="309">
        <f t="shared" si="14"/>
        <v>1569.8996625509026</v>
      </c>
    </row>
    <row r="291" spans="1:11" s="473" customFormat="1" ht="15" x14ac:dyDescent="0.25">
      <c r="A291" s="149">
        <f>+'B) D RI'!A292</f>
        <v>5910</v>
      </c>
      <c r="B291" s="469" t="str">
        <f>+'B) D RI'!B292</f>
        <v>Cronay</v>
      </c>
      <c r="C291" s="494">
        <v>233193.17182915035</v>
      </c>
      <c r="D291" s="304">
        <f>+'E) PCS'!G297</f>
        <v>158168.91659135983</v>
      </c>
      <c r="E291" s="309">
        <f t="shared" si="12"/>
        <v>-75024.255237790523</v>
      </c>
      <c r="F291" s="496">
        <v>-45376.070816775486</v>
      </c>
      <c r="G291" s="229">
        <f>+'H) Péréquation directe'!I301+'I) Dépenses thématiques'!T291+'J) Plafonnement effort'!J291+'K) Plafonnement aide'!J291+'L) Plafonnement taux'!Q292</f>
        <v>-114548.94460937299</v>
      </c>
      <c r="H291" s="309">
        <f t="shared" si="13"/>
        <v>-69172.8737925975</v>
      </c>
      <c r="I291" s="494">
        <v>32143.156898544014</v>
      </c>
      <c r="J291" s="229">
        <f>+'M) Police'!N291</f>
        <v>31949.901583776045</v>
      </c>
      <c r="K291" s="309">
        <f t="shared" si="14"/>
        <v>-193.25531476796823</v>
      </c>
    </row>
    <row r="292" spans="1:11" s="473" customFormat="1" ht="15" x14ac:dyDescent="0.25">
      <c r="A292" s="149">
        <f>+'B) D RI'!A293</f>
        <v>5911</v>
      </c>
      <c r="B292" s="469" t="str">
        <f>+'B) D RI'!B293</f>
        <v>Cuarny</v>
      </c>
      <c r="C292" s="494">
        <v>112485.41038574767</v>
      </c>
      <c r="D292" s="304">
        <f>+'E) PCS'!G298</f>
        <v>115772.67183424793</v>
      </c>
      <c r="E292" s="309">
        <f t="shared" si="12"/>
        <v>3287.2614485002559</v>
      </c>
      <c r="F292" s="496">
        <v>32043.252516614091</v>
      </c>
      <c r="G292" s="229">
        <f>+'H) Péréquation directe'!I302+'I) Dépenses thématiques'!T292+'J) Plafonnement effort'!J292+'K) Plafonnement aide'!J292+'L) Plafonnement taux'!Q293</f>
        <v>-18216.420749754383</v>
      </c>
      <c r="H292" s="309">
        <f t="shared" si="13"/>
        <v>-50259.673266368474</v>
      </c>
      <c r="I292" s="494">
        <v>24869.21934643991</v>
      </c>
      <c r="J292" s="229">
        <f>+'M) Police'!N292</f>
        <v>22755.981981089764</v>
      </c>
      <c r="K292" s="309">
        <f t="shared" si="14"/>
        <v>-2113.2373653501454</v>
      </c>
    </row>
    <row r="293" spans="1:11" s="473" customFormat="1" ht="15" x14ac:dyDescent="0.25">
      <c r="A293" s="149">
        <f>+'B) D RI'!A294</f>
        <v>5912</v>
      </c>
      <c r="B293" s="469" t="str">
        <f>+'B) D RI'!B294</f>
        <v>Démoret</v>
      </c>
      <c r="C293" s="494">
        <v>60769.666107222925</v>
      </c>
      <c r="D293" s="304">
        <f>+'E) PCS'!G299</f>
        <v>74457.681913055058</v>
      </c>
      <c r="E293" s="309">
        <f t="shared" si="12"/>
        <v>13688.015805832132</v>
      </c>
      <c r="F293" s="496">
        <v>-41580.597138114623</v>
      </c>
      <c r="G293" s="229">
        <f>+'H) Péréquation directe'!I303+'I) Dépenses thématiques'!T293+'J) Plafonnement effort'!J293+'K) Plafonnement aide'!J293+'L) Plafonnement taux'!Q294</f>
        <v>-34935.904692179596</v>
      </c>
      <c r="H293" s="309">
        <f t="shared" si="13"/>
        <v>6644.6924459350266</v>
      </c>
      <c r="I293" s="494">
        <v>12515.174174949112</v>
      </c>
      <c r="J293" s="229">
        <f>+'M) Police'!N293</f>
        <v>14403.51631055615</v>
      </c>
      <c r="K293" s="309">
        <f t="shared" si="14"/>
        <v>1888.3421356070376</v>
      </c>
    </row>
    <row r="294" spans="1:11" s="473" customFormat="1" ht="15" x14ac:dyDescent="0.25">
      <c r="A294" s="149">
        <f>+'B) D RI'!A295</f>
        <v>5913</v>
      </c>
      <c r="B294" s="469" t="str">
        <f>+'B) D RI'!B295</f>
        <v>Donneloye</v>
      </c>
      <c r="C294" s="494">
        <v>413608.51539367886</v>
      </c>
      <c r="D294" s="304">
        <f>+'E) PCS'!G300</f>
        <v>371823.2972757612</v>
      </c>
      <c r="E294" s="309">
        <f t="shared" si="12"/>
        <v>-41785.218117917655</v>
      </c>
      <c r="F294" s="496">
        <v>-76509.309709596593</v>
      </c>
      <c r="G294" s="229">
        <f>+'H) Péréquation directe'!I304+'I) Dépenses thématiques'!T294+'J) Plafonnement effort'!J294+'K) Plafonnement aide'!J294+'L) Plafonnement taux'!Q295</f>
        <v>-101367.49261924817</v>
      </c>
      <c r="H294" s="309">
        <f t="shared" si="13"/>
        <v>-24858.182909651572</v>
      </c>
      <c r="I294" s="494">
        <v>67652.763859188402</v>
      </c>
      <c r="J294" s="229">
        <f>+'M) Police'!N294</f>
        <v>72337.844852167735</v>
      </c>
      <c r="K294" s="309">
        <f t="shared" si="14"/>
        <v>4685.0809929793322</v>
      </c>
    </row>
    <row r="295" spans="1:11" s="473" customFormat="1" ht="15" x14ac:dyDescent="0.25">
      <c r="A295" s="149">
        <f>+'B) D RI'!A296</f>
        <v>5914</v>
      </c>
      <c r="B295" s="469" t="str">
        <f>+'B) D RI'!B296</f>
        <v>Ependes</v>
      </c>
      <c r="C295" s="494">
        <v>166407.74699438032</v>
      </c>
      <c r="D295" s="304">
        <f>+'E) PCS'!G301</f>
        <v>183870.58837965818</v>
      </c>
      <c r="E295" s="309">
        <f t="shared" si="12"/>
        <v>17462.841385277861</v>
      </c>
      <c r="F295" s="496">
        <v>-31329.573763339897</v>
      </c>
      <c r="G295" s="229">
        <f>+'H) Péréquation directe'!I305+'I) Dépenses thématiques'!T295+'J) Plafonnement effort'!J295+'K) Plafonnement aide'!J295+'L) Plafonnement taux'!Q296</f>
        <v>-109404.03567919432</v>
      </c>
      <c r="H295" s="309">
        <f t="shared" si="13"/>
        <v>-78074.461915854423</v>
      </c>
      <c r="I295" s="494">
        <v>13005.259258965654</v>
      </c>
      <c r="J295" s="229">
        <f>+'M) Police'!N295</f>
        <v>11489.967541251521</v>
      </c>
      <c r="K295" s="309">
        <f t="shared" si="14"/>
        <v>-1515.2917177141335</v>
      </c>
    </row>
    <row r="296" spans="1:11" s="473" customFormat="1" ht="15" x14ac:dyDescent="0.25">
      <c r="A296" s="149">
        <f>+'B) D RI'!A297</f>
        <v>5919</v>
      </c>
      <c r="B296" s="469" t="str">
        <f>+'B) D RI'!B297</f>
        <v>Mathod</v>
      </c>
      <c r="C296" s="494">
        <v>297826.7981493299</v>
      </c>
      <c r="D296" s="304">
        <f>+'E) PCS'!G302</f>
        <v>275678.18312221282</v>
      </c>
      <c r="E296" s="309">
        <f t="shared" si="12"/>
        <v>-22148.615027117077</v>
      </c>
      <c r="F296" s="496">
        <v>-30548.263636798962</v>
      </c>
      <c r="G296" s="229">
        <f>+'H) Péréquation directe'!I306+'I) Dépenses thématiques'!T296+'J) Plafonnement effort'!J296+'K) Plafonnement aide'!J296+'L) Plafonnement taux'!Q297</f>
        <v>-143733.03852269051</v>
      </c>
      <c r="H296" s="309">
        <f t="shared" si="13"/>
        <v>-113184.77488589154</v>
      </c>
      <c r="I296" s="494">
        <v>22391.985712401318</v>
      </c>
      <c r="J296" s="229">
        <f>+'M) Police'!N296</f>
        <v>21841.237307728956</v>
      </c>
      <c r="K296" s="309">
        <f t="shared" si="14"/>
        <v>-550.74840467236208</v>
      </c>
    </row>
    <row r="297" spans="1:11" s="473" customFormat="1" ht="15" x14ac:dyDescent="0.25">
      <c r="A297" s="149">
        <f>+'B) D RI'!A298</f>
        <v>5921</v>
      </c>
      <c r="B297" s="469" t="str">
        <f>+'B) D RI'!B298</f>
        <v>Molondin</v>
      </c>
      <c r="C297" s="494">
        <v>108204.66103044036</v>
      </c>
      <c r="D297" s="304">
        <f>+'E) PCS'!G303</f>
        <v>76204.145911582687</v>
      </c>
      <c r="E297" s="309">
        <f t="shared" si="12"/>
        <v>-32000.515118857671</v>
      </c>
      <c r="F297" s="496">
        <v>-94689.557706408959</v>
      </c>
      <c r="G297" s="229">
        <f>+'H) Péréquation directe'!I307+'I) Dépenses thématiques'!T297+'J) Plafonnement effort'!J297+'K) Plafonnement aide'!J297+'L) Plafonnement taux'!Q298</f>
        <v>-106038.72746623479</v>
      </c>
      <c r="H297" s="309">
        <f t="shared" si="13"/>
        <v>-11349.169759825832</v>
      </c>
      <c r="I297" s="494">
        <v>17764.75246815693</v>
      </c>
      <c r="J297" s="229">
        <f>+'M) Police'!N297</f>
        <v>17732.548226514602</v>
      </c>
      <c r="K297" s="309">
        <f t="shared" si="14"/>
        <v>-32.20424164232827</v>
      </c>
    </row>
    <row r="298" spans="1:11" s="473" customFormat="1" ht="15" x14ac:dyDescent="0.25">
      <c r="A298" s="149">
        <f>+'B) D RI'!A299</f>
        <v>5922</v>
      </c>
      <c r="B298" s="469" t="str">
        <f>+'B) D RI'!B299</f>
        <v>Montagny-près-Yverdon</v>
      </c>
      <c r="C298" s="494">
        <v>735779.01669125585</v>
      </c>
      <c r="D298" s="304">
        <f>+'E) PCS'!G304</f>
        <v>786702.26874901948</v>
      </c>
      <c r="E298" s="309">
        <f t="shared" si="12"/>
        <v>50923.252057763631</v>
      </c>
      <c r="F298" s="496">
        <v>408893.99711029662</v>
      </c>
      <c r="G298" s="229">
        <f>+'H) Péréquation directe'!I308+'I) Dépenses thématiques'!T298+'J) Plafonnement effort'!J298+'K) Plafonnement aide'!J298+'L) Plafonnement taux'!Q299</f>
        <v>493910.6177135997</v>
      </c>
      <c r="H298" s="309">
        <f t="shared" si="13"/>
        <v>85016.620603303076</v>
      </c>
      <c r="I298" s="494">
        <v>106214.34590748484</v>
      </c>
      <c r="J298" s="229">
        <f>+'M) Police'!N298</f>
        <v>114437.29503463616</v>
      </c>
      <c r="K298" s="309">
        <f t="shared" si="14"/>
        <v>8222.9491271513252</v>
      </c>
    </row>
    <row r="299" spans="1:11" s="473" customFormat="1" ht="15" x14ac:dyDescent="0.25">
      <c r="A299" s="149">
        <f>+'B) D RI'!A300</f>
        <v>5923</v>
      </c>
      <c r="B299" s="469" t="str">
        <f>+'B) D RI'!B300</f>
        <v>Oppens</v>
      </c>
      <c r="C299" s="494">
        <v>96921.591359828584</v>
      </c>
      <c r="D299" s="304">
        <f>+'E) PCS'!G305</f>
        <v>96869.408135966689</v>
      </c>
      <c r="E299" s="309">
        <f t="shared" si="12"/>
        <v>-52.183223861895385</v>
      </c>
      <c r="F299" s="496">
        <v>-50347.729324535918</v>
      </c>
      <c r="G299" s="229">
        <f>+'H) Péréquation directe'!I309+'I) Dépenses thématiques'!T299+'J) Plafonnement effort'!J299+'K) Plafonnement aide'!J299+'L) Plafonnement taux'!Q300</f>
        <v>-88431.643179025326</v>
      </c>
      <c r="H299" s="309">
        <f t="shared" si="13"/>
        <v>-38083.913854489409</v>
      </c>
      <c r="I299" s="494">
        <v>17068.008266169963</v>
      </c>
      <c r="J299" s="229">
        <f>+'M) Police'!N299</f>
        <v>15493.219035338381</v>
      </c>
      <c r="K299" s="309">
        <f t="shared" si="14"/>
        <v>-1574.7892308315822</v>
      </c>
    </row>
    <row r="300" spans="1:11" s="473" customFormat="1" ht="15" x14ac:dyDescent="0.25">
      <c r="A300" s="149">
        <f>+'B) D RI'!A301</f>
        <v>5924</v>
      </c>
      <c r="B300" s="469" t="str">
        <f>+'B) D RI'!B301</f>
        <v>Orges</v>
      </c>
      <c r="C300" s="494">
        <v>229721.0578387595</v>
      </c>
      <c r="D300" s="304">
        <f>+'E) PCS'!G306</f>
        <v>206595.2453155634</v>
      </c>
      <c r="E300" s="309">
        <f t="shared" si="12"/>
        <v>-23125.812523196102</v>
      </c>
      <c r="F300" s="496">
        <v>117789.81343482192</v>
      </c>
      <c r="G300" s="229">
        <f>+'H) Péréquation directe'!I310+'I) Dépenses thématiques'!T300+'J) Plafonnement effort'!J300+'K) Plafonnement aide'!J300+'L) Plafonnement taux'!Q301</f>
        <v>67647.475979116323</v>
      </c>
      <c r="H300" s="309">
        <f t="shared" si="13"/>
        <v>-50142.337455705594</v>
      </c>
      <c r="I300" s="494">
        <v>37543.704305196559</v>
      </c>
      <c r="J300" s="229">
        <f>+'M) Police'!N300</f>
        <v>39973.372904319112</v>
      </c>
      <c r="K300" s="309">
        <f t="shared" si="14"/>
        <v>2429.6685991225531</v>
      </c>
    </row>
    <row r="301" spans="1:11" s="473" customFormat="1" ht="15" x14ac:dyDescent="0.25">
      <c r="A301" s="149">
        <f>+'B) D RI'!A302</f>
        <v>5925</v>
      </c>
      <c r="B301" s="469" t="str">
        <f>+'B) D RI'!B302</f>
        <v>Orzens</v>
      </c>
      <c r="C301" s="494">
        <v>177278.55617274522</v>
      </c>
      <c r="D301" s="304">
        <f>+'E) PCS'!G307</f>
        <v>132457.02515421042</v>
      </c>
      <c r="E301" s="309">
        <f t="shared" si="12"/>
        <v>-44821.531018534792</v>
      </c>
      <c r="F301" s="496">
        <v>-67072.036794961052</v>
      </c>
      <c r="G301" s="229">
        <f>+'H) Péréquation directe'!I311+'I) Dépenses thématiques'!T301+'J) Plafonnement effort'!J301+'K) Plafonnement aide'!J301+'L) Plafonnement taux'!Q302</f>
        <v>-50762.384501390872</v>
      </c>
      <c r="H301" s="309">
        <f t="shared" si="13"/>
        <v>16309.65229357018</v>
      </c>
      <c r="I301" s="494">
        <v>16744.816717775208</v>
      </c>
      <c r="J301" s="229">
        <f>+'M) Police'!N301</f>
        <v>15752.088706495881</v>
      </c>
      <c r="K301" s="309">
        <f t="shared" si="14"/>
        <v>-992.72801127932689</v>
      </c>
    </row>
    <row r="302" spans="1:11" s="473" customFormat="1" ht="15" x14ac:dyDescent="0.25">
      <c r="A302" s="149">
        <f>+'B) D RI'!A303</f>
        <v>5926</v>
      </c>
      <c r="B302" s="469" t="str">
        <f>+'B) D RI'!B303</f>
        <v>Pomy</v>
      </c>
      <c r="C302" s="494">
        <v>468617.83027336549</v>
      </c>
      <c r="D302" s="304">
        <f>+'E) PCS'!G308</f>
        <v>446435.44922087685</v>
      </c>
      <c r="E302" s="309">
        <f t="shared" si="12"/>
        <v>-22182.381052488636</v>
      </c>
      <c r="F302" s="496">
        <v>227555.92486913974</v>
      </c>
      <c r="G302" s="229">
        <f>+'H) Péréquation directe'!I312+'I) Dépenses thématiques'!T302+'J) Plafonnement effort'!J302+'K) Plafonnement aide'!J302+'L) Plafonnement taux'!Q303</f>
        <v>115262.88185329011</v>
      </c>
      <c r="H302" s="309">
        <f t="shared" si="13"/>
        <v>-112293.04301584963</v>
      </c>
      <c r="I302" s="494">
        <v>35317.315244122772</v>
      </c>
      <c r="J302" s="229">
        <f>+'M) Police'!N302</f>
        <v>32583.916279512825</v>
      </c>
      <c r="K302" s="309">
        <f t="shared" si="14"/>
        <v>-2733.3989646099471</v>
      </c>
    </row>
    <row r="303" spans="1:11" s="473" customFormat="1" ht="15" x14ac:dyDescent="0.25">
      <c r="A303" s="149">
        <f>+'B) D RI'!A304</f>
        <v>5928</v>
      </c>
      <c r="B303" s="469" t="str">
        <f>+'B) D RI'!B304</f>
        <v>Rovray</v>
      </c>
      <c r="C303" s="494">
        <v>120744.48972670648</v>
      </c>
      <c r="D303" s="304">
        <f>+'E) PCS'!G309</f>
        <v>79600.88357565015</v>
      </c>
      <c r="E303" s="309">
        <f t="shared" si="12"/>
        <v>-41143.60615105633</v>
      </c>
      <c r="F303" s="496">
        <v>39639.506512163585</v>
      </c>
      <c r="G303" s="229">
        <f>+'H) Péréquation directe'!I313+'I) Dépenses thématiques'!T303+'J) Plafonnement effort'!J303+'K) Plafonnement aide'!J303+'L) Plafonnement taux'!Q304</f>
        <v>-40447.624826546118</v>
      </c>
      <c r="H303" s="309">
        <f t="shared" si="13"/>
        <v>-80087.131338709703</v>
      </c>
      <c r="I303" s="494">
        <v>19091.625129955995</v>
      </c>
      <c r="J303" s="229">
        <f>+'M) Police'!N303</f>
        <v>16644.02772964559</v>
      </c>
      <c r="K303" s="309">
        <f t="shared" si="14"/>
        <v>-2447.5974003104056</v>
      </c>
    </row>
    <row r="304" spans="1:11" s="473" customFormat="1" ht="15" x14ac:dyDescent="0.25">
      <c r="A304" s="149">
        <f>+'B) D RI'!A305</f>
        <v>5929</v>
      </c>
      <c r="B304" s="469" t="str">
        <f>+'B) D RI'!B305</f>
        <v>Suchy</v>
      </c>
      <c r="C304" s="494">
        <v>369910.12077986152</v>
      </c>
      <c r="D304" s="304">
        <f>+'E) PCS'!G310</f>
        <v>320720.77426411188</v>
      </c>
      <c r="E304" s="309">
        <f t="shared" si="12"/>
        <v>-49189.346515749639</v>
      </c>
      <c r="F304" s="496">
        <v>-9749.7336098256055</v>
      </c>
      <c r="G304" s="229">
        <f>+'H) Péréquation directe'!I314+'I) Dépenses thématiques'!T304+'J) Plafonnement effort'!J304+'K) Plafonnement aide'!J304+'L) Plafonnement taux'!Q305</f>
        <v>36408.078229327155</v>
      </c>
      <c r="H304" s="309">
        <f t="shared" si="13"/>
        <v>46157.811839152761</v>
      </c>
      <c r="I304" s="494">
        <v>22123.591415220493</v>
      </c>
      <c r="J304" s="229">
        <f>+'M) Police'!N304</f>
        <v>23690.596970163657</v>
      </c>
      <c r="K304" s="309">
        <f t="shared" si="14"/>
        <v>1567.0055549431636</v>
      </c>
    </row>
    <row r="305" spans="1:11" s="473" customFormat="1" ht="15" x14ac:dyDescent="0.25">
      <c r="A305" s="149">
        <f>+'B) D RI'!A306</f>
        <v>5930</v>
      </c>
      <c r="B305" s="469" t="str">
        <f>+'B) D RI'!B306</f>
        <v>Suscévaz</v>
      </c>
      <c r="C305" s="494">
        <v>91186.400313806298</v>
      </c>
      <c r="D305" s="304">
        <f>+'E) PCS'!G311</f>
        <v>121171.51926991678</v>
      </c>
      <c r="E305" s="309">
        <f t="shared" si="12"/>
        <v>29985.118956110484</v>
      </c>
      <c r="F305" s="496">
        <v>-27196.372326595723</v>
      </c>
      <c r="G305" s="229">
        <f>+'H) Péréquation directe'!I315+'I) Dépenses thématiques'!T305+'J) Plafonnement effort'!J305+'K) Plafonnement aide'!J305+'L) Plafonnement taux'!Q306</f>
        <v>-7979.9636338591481</v>
      </c>
      <c r="H305" s="309">
        <f t="shared" si="13"/>
        <v>19216.408692736575</v>
      </c>
      <c r="I305" s="494">
        <v>7529.3801829753265</v>
      </c>
      <c r="J305" s="229">
        <f>+'M) Police'!N305</f>
        <v>7787.1632860621694</v>
      </c>
      <c r="K305" s="309">
        <f t="shared" si="14"/>
        <v>257.78310308684286</v>
      </c>
    </row>
    <row r="306" spans="1:11" s="473" customFormat="1" ht="15" x14ac:dyDescent="0.25">
      <c r="A306" s="149">
        <f>+'B) D RI'!A307</f>
        <v>5931</v>
      </c>
      <c r="B306" s="469" t="str">
        <f>+'B) D RI'!B307</f>
        <v>Treycovagnes</v>
      </c>
      <c r="C306" s="494">
        <v>209551.34514910905</v>
      </c>
      <c r="D306" s="304">
        <f>+'E) PCS'!G312</f>
        <v>267505.06715272361</v>
      </c>
      <c r="E306" s="309">
        <f t="shared" si="12"/>
        <v>57953.722003614559</v>
      </c>
      <c r="F306" s="496">
        <v>-61606.310186656439</v>
      </c>
      <c r="G306" s="229">
        <f>+'H) Péréquation directe'!I316+'I) Dépenses thématiques'!T306+'J) Plafonnement effort'!J306+'K) Plafonnement aide'!J306+'L) Plafonnement taux'!Q307</f>
        <v>-27801.150823655131</v>
      </c>
      <c r="H306" s="309">
        <f t="shared" si="13"/>
        <v>33805.159363001309</v>
      </c>
      <c r="I306" s="494">
        <v>15643.244702377744</v>
      </c>
      <c r="J306" s="229">
        <f>+'M) Police'!N306</f>
        <v>17850.768629245613</v>
      </c>
      <c r="K306" s="309">
        <f t="shared" si="14"/>
        <v>2207.5239268678688</v>
      </c>
    </row>
    <row r="307" spans="1:11" s="473" customFormat="1" ht="15" x14ac:dyDescent="0.25">
      <c r="A307" s="149">
        <f>+'B) D RI'!A308</f>
        <v>5932</v>
      </c>
      <c r="B307" s="469" t="str">
        <f>+'B) D RI'!B308</f>
        <v>Ursins</v>
      </c>
      <c r="C307" s="494">
        <v>150169.24934803191</v>
      </c>
      <c r="D307" s="304">
        <f>+'E) PCS'!G313</f>
        <v>98877.721915866146</v>
      </c>
      <c r="E307" s="309">
        <f t="shared" si="12"/>
        <v>-51291.527432165763</v>
      </c>
      <c r="F307" s="496">
        <v>74879.682962159786</v>
      </c>
      <c r="G307" s="229">
        <f>+'H) Péréquation directe'!I317+'I) Dépenses thématiques'!T307+'J) Plafonnement effort'!J307+'K) Plafonnement aide'!J307+'L) Plafonnement taux'!Q308</f>
        <v>32432.17933824315</v>
      </c>
      <c r="H307" s="309">
        <f t="shared" si="13"/>
        <v>-42447.503623916637</v>
      </c>
      <c r="I307" s="494">
        <v>26343.972475632552</v>
      </c>
      <c r="J307" s="229">
        <f>+'M) Police'!N307</f>
        <v>23474.492148923779</v>
      </c>
      <c r="K307" s="309">
        <f t="shared" si="14"/>
        <v>-2869.4803267087736</v>
      </c>
    </row>
    <row r="308" spans="1:11" s="473" customFormat="1" ht="15" x14ac:dyDescent="0.25">
      <c r="A308" s="149">
        <f>+'B) D RI'!A309</f>
        <v>5933</v>
      </c>
      <c r="B308" s="469" t="str">
        <f>+'B) D RI'!B309</f>
        <v>Valeyres-sous-Montagny</v>
      </c>
      <c r="C308" s="494">
        <v>407181.28871076641</v>
      </c>
      <c r="D308" s="304">
        <f>+'E) PCS'!G314</f>
        <v>310594.59098091035</v>
      </c>
      <c r="E308" s="309">
        <f t="shared" si="12"/>
        <v>-96586.697729856067</v>
      </c>
      <c r="F308" s="496">
        <v>16476.825514297714</v>
      </c>
      <c r="G308" s="229">
        <f>+'H) Péréquation directe'!I318+'I) Dépenses thématiques'!T308+'J) Plafonnement effort'!J308+'K) Plafonnement aide'!J308+'L) Plafonnement taux'!Q309</f>
        <v>-446653.27915886993</v>
      </c>
      <c r="H308" s="309">
        <f t="shared" si="13"/>
        <v>-463130.10467316763</v>
      </c>
      <c r="I308" s="494">
        <v>69194.612292484293</v>
      </c>
      <c r="J308" s="229">
        <f>+'M) Police'!N308</f>
        <v>58545.94135155165</v>
      </c>
      <c r="K308" s="309">
        <f t="shared" si="14"/>
        <v>-10648.670940932643</v>
      </c>
    </row>
    <row r="309" spans="1:11" s="473" customFormat="1" ht="15" x14ac:dyDescent="0.25">
      <c r="A309" s="149">
        <f>+'B) D RI'!A310</f>
        <v>5934</v>
      </c>
      <c r="B309" s="469" t="str">
        <f>+'B) D RI'!B310</f>
        <v>Valeyres-sous-Ursins</v>
      </c>
      <c r="C309" s="494">
        <v>134481.79295574487</v>
      </c>
      <c r="D309" s="304">
        <f>+'E) PCS'!G315</f>
        <v>91622.937173481638</v>
      </c>
      <c r="E309" s="309">
        <f t="shared" si="12"/>
        <v>-42858.855782263228</v>
      </c>
      <c r="F309" s="496">
        <v>-97429.742943628808</v>
      </c>
      <c r="G309" s="229">
        <f>+'H) Péréquation directe'!I319+'I) Dépenses thématiques'!T309+'J) Plafonnement effort'!J309+'K) Plafonnement aide'!J309+'L) Plafonnement taux'!Q310</f>
        <v>-23995.551433324719</v>
      </c>
      <c r="H309" s="309">
        <f t="shared" si="13"/>
        <v>73434.191510304081</v>
      </c>
      <c r="I309" s="494">
        <v>24050.750273449401</v>
      </c>
      <c r="J309" s="229">
        <f>+'M) Police'!N309</f>
        <v>21458.259948523231</v>
      </c>
      <c r="K309" s="309">
        <f t="shared" si="14"/>
        <v>-2592.4903249261697</v>
      </c>
    </row>
    <row r="310" spans="1:11" s="473" customFormat="1" ht="15" x14ac:dyDescent="0.25">
      <c r="A310" s="149">
        <f>+'B) D RI'!A311</f>
        <v>5935</v>
      </c>
      <c r="B310" s="469" t="str">
        <f>+'B) D RI'!B311</f>
        <v>Villars-Epeney</v>
      </c>
      <c r="C310" s="494">
        <v>76887.623339691156</v>
      </c>
      <c r="D310" s="304">
        <f>+'E) PCS'!G316</f>
        <v>47116.242966755104</v>
      </c>
      <c r="E310" s="309">
        <f t="shared" si="12"/>
        <v>-29771.380372936052</v>
      </c>
      <c r="F310" s="496">
        <v>80450.996129951847</v>
      </c>
      <c r="G310" s="229">
        <f>+'H) Péréquation directe'!I320+'I) Dépenses thématiques'!T310+'J) Plafonnement effort'!J310+'K) Plafonnement aide'!J310+'L) Plafonnement taux'!Q311</f>
        <v>26058.430522055944</v>
      </c>
      <c r="H310" s="309">
        <f t="shared" si="13"/>
        <v>-54392.5656078959</v>
      </c>
      <c r="I310" s="494">
        <v>14920.274645405243</v>
      </c>
      <c r="J310" s="229">
        <f>+'M) Police'!N310</f>
        <v>10242.200123990557</v>
      </c>
      <c r="K310" s="309">
        <f t="shared" si="14"/>
        <v>-4678.0745214146864</v>
      </c>
    </row>
    <row r="311" spans="1:11" s="473" customFormat="1" ht="15" x14ac:dyDescent="0.25">
      <c r="A311" s="149">
        <f>+'B) D RI'!A312</f>
        <v>5937</v>
      </c>
      <c r="B311" s="469" t="str">
        <f>+'B) D RI'!B312</f>
        <v>Vugelles-La Mothe</v>
      </c>
      <c r="C311" s="494">
        <v>63433.265788612785</v>
      </c>
      <c r="D311" s="304">
        <f>+'E) PCS'!G317</f>
        <v>47555.966080358419</v>
      </c>
      <c r="E311" s="309">
        <f t="shared" si="12"/>
        <v>-15877.299708254366</v>
      </c>
      <c r="F311" s="496">
        <v>-48913.702032335976</v>
      </c>
      <c r="G311" s="229">
        <f>+'H) Péréquation directe'!I321+'I) Dépenses thématiques'!T311+'J) Plafonnement effort'!J311+'K) Plafonnement aide'!J311+'L) Plafonnement taux'!Q312</f>
        <v>-38325.522632003565</v>
      </c>
      <c r="H311" s="309">
        <f t="shared" si="13"/>
        <v>10588.17940033241</v>
      </c>
      <c r="I311" s="494">
        <v>9433.8132738115928</v>
      </c>
      <c r="J311" s="229">
        <f>+'M) Police'!N311</f>
        <v>10530.62590790489</v>
      </c>
      <c r="K311" s="309">
        <f t="shared" si="14"/>
        <v>1096.8126340932977</v>
      </c>
    </row>
    <row r="312" spans="1:11" s="473" customFormat="1" ht="15" x14ac:dyDescent="0.25">
      <c r="A312" s="149">
        <f>+'B) D RI'!A313</f>
        <v>5938</v>
      </c>
      <c r="B312" s="469" t="str">
        <f>+'B) D RI'!B313</f>
        <v>Yverdon-les-Bains</v>
      </c>
      <c r="C312" s="494">
        <v>15173955.596625937</v>
      </c>
      <c r="D312" s="304">
        <f>+'E) PCS'!G318</f>
        <v>13887379.728330832</v>
      </c>
      <c r="E312" s="309">
        <f t="shared" si="12"/>
        <v>-1286575.8682951052</v>
      </c>
      <c r="F312" s="496">
        <v>-31166526.620987236</v>
      </c>
      <c r="G312" s="229">
        <f>+'H) Péréquation directe'!I322+'I) Dépenses thématiques'!T312+'J) Plafonnement effort'!J312+'K) Plafonnement aide'!J312+'L) Plafonnement taux'!Q313</f>
        <v>-29747416.824597497</v>
      </c>
      <c r="H312" s="309">
        <f t="shared" si="13"/>
        <v>1419109.79638974</v>
      </c>
      <c r="I312" s="494">
        <v>1004508.2061329724</v>
      </c>
      <c r="J312" s="229">
        <f>+'M) Police'!N312</f>
        <v>891621.55538891524</v>
      </c>
      <c r="K312" s="309">
        <f t="shared" si="14"/>
        <v>-112886.65074405714</v>
      </c>
    </row>
    <row r="313" spans="1:11" s="473" customFormat="1" ht="15" x14ac:dyDescent="0.25">
      <c r="A313" s="149">
        <f>+'B) D RI'!A314</f>
        <v>5939</v>
      </c>
      <c r="B313" s="469" t="str">
        <f>+'B) D RI'!B314</f>
        <v>Yvonand</v>
      </c>
      <c r="C313" s="494">
        <v>2111324.9528675438</v>
      </c>
      <c r="D313" s="304">
        <f>+'E) PCS'!G319</f>
        <v>1638281.8689666861</v>
      </c>
      <c r="E313" s="309">
        <f t="shared" si="12"/>
        <v>-473043.08390085772</v>
      </c>
      <c r="F313" s="496">
        <v>-835302.74259001995</v>
      </c>
      <c r="G313" s="229">
        <f>+'H) Péréquation directe'!I323+'I) Dépenses thématiques'!T313+'J) Plafonnement effort'!J313+'K) Plafonnement aide'!J313+'L) Plafonnement taux'!Q314</f>
        <v>-886995.15729918983</v>
      </c>
      <c r="H313" s="309">
        <f t="shared" si="13"/>
        <v>-51692.414709169883</v>
      </c>
      <c r="I313" s="494">
        <v>295679.48597277969</v>
      </c>
      <c r="J313" s="229">
        <f>+'M) Police'!N313</f>
        <v>315828.51362514478</v>
      </c>
      <c r="K313" s="309">
        <f t="shared" si="14"/>
        <v>20149.027652365097</v>
      </c>
    </row>
    <row r="314" spans="1:11" s="473" customFormat="1" ht="15" x14ac:dyDescent="0.25">
      <c r="A314" s="30"/>
      <c r="B314" s="24">
        <f>COUNTA(B6:B313)</f>
        <v>308</v>
      </c>
      <c r="C314" s="495">
        <f>SUM(C6:C313)</f>
        <v>815872099.99999952</v>
      </c>
      <c r="D314" s="471">
        <f t="shared" ref="D314:K314" si="15">SUM(D6:D313)</f>
        <v>795342043.99999952</v>
      </c>
      <c r="E314" s="470">
        <f t="shared" si="15"/>
        <v>-20530055.999999482</v>
      </c>
      <c r="F314" s="495">
        <f>SUM(F6:F313)</f>
        <v>450000.00000024354</v>
      </c>
      <c r="G314" s="471">
        <f t="shared" si="15"/>
        <v>450000.00000042189</v>
      </c>
      <c r="H314" s="470">
        <f t="shared" si="15"/>
        <v>1.5553086996078491E-7</v>
      </c>
      <c r="I314" s="495">
        <f t="shared" si="15"/>
        <v>69975804.441903159</v>
      </c>
      <c r="J314" s="471">
        <f t="shared" si="15"/>
        <v>69975804.441903159</v>
      </c>
      <c r="K314" s="470">
        <f t="shared" si="15"/>
        <v>-1.0273652151226997E-8</v>
      </c>
    </row>
    <row r="315" spans="1:11" s="473" customFormat="1" ht="15" x14ac:dyDescent="0.25">
      <c r="A315" s="474"/>
      <c r="B315" s="474"/>
      <c r="C315" s="474"/>
      <c r="D315" s="390"/>
      <c r="E315" s="474"/>
      <c r="F315" s="474"/>
      <c r="G315" s="474"/>
      <c r="H315" s="474"/>
      <c r="I315" s="472"/>
      <c r="J315" s="6"/>
      <c r="K315" s="474"/>
    </row>
    <row r="316" spans="1:11" s="473" customFormat="1" ht="15" x14ac:dyDescent="0.25">
      <c r="A316" s="474"/>
      <c r="B316" s="474"/>
      <c r="C316" s="474"/>
      <c r="D316" s="474"/>
      <c r="E316" s="474"/>
      <c r="F316" s="474"/>
      <c r="G316" s="539"/>
      <c r="H316" s="474"/>
      <c r="I316" s="472"/>
      <c r="J316" s="6"/>
      <c r="K316" s="474"/>
    </row>
    <row r="317" spans="1:11" s="473" customFormat="1" ht="15" x14ac:dyDescent="0.25">
      <c r="A317" s="474"/>
      <c r="B317" s="474"/>
      <c r="C317" s="474"/>
      <c r="D317" s="474"/>
      <c r="E317" s="474"/>
      <c r="F317" s="474"/>
      <c r="G317" s="474"/>
      <c r="H317" s="474"/>
      <c r="I317" s="472"/>
      <c r="J317" s="474"/>
      <c r="K317" s="474"/>
    </row>
    <row r="318" spans="1:11" s="473" customFormat="1" ht="15" x14ac:dyDescent="0.25">
      <c r="A318" s="474"/>
      <c r="B318" s="474"/>
      <c r="C318" s="474"/>
      <c r="D318" s="474"/>
      <c r="E318" s="474"/>
      <c r="F318" s="474"/>
      <c r="G318" s="474"/>
      <c r="H318" s="474"/>
      <c r="I318" s="423"/>
      <c r="J318" s="474"/>
      <c r="K318" s="474"/>
    </row>
  </sheetData>
  <mergeCells count="6">
    <mergeCell ref="I4:K4"/>
    <mergeCell ref="A1:E1"/>
    <mergeCell ref="A4:A5"/>
    <mergeCell ref="B4:B5"/>
    <mergeCell ref="C4:E4"/>
    <mergeCell ref="F4:H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3" tint="0.39997558519241921"/>
    <pageSetUpPr fitToPage="1"/>
  </sheetPr>
  <dimension ref="B1:L68"/>
  <sheetViews>
    <sheetView workbookViewId="0">
      <selection activeCell="C3" sqref="C3:E3"/>
    </sheetView>
  </sheetViews>
  <sheetFormatPr baseColWidth="10" defaultColWidth="10.875" defaultRowHeight="15" x14ac:dyDescent="0.25"/>
  <cols>
    <col min="1" max="1" width="3.375" style="156" customWidth="1"/>
    <col min="2" max="2" width="17.125" style="156" customWidth="1"/>
    <col min="3" max="4" width="12.75" style="156" customWidth="1"/>
    <col min="5" max="6" width="12.75" style="200" customWidth="1"/>
    <col min="7" max="7" width="11.75" style="156" bestFit="1" customWidth="1"/>
    <col min="8" max="16384" width="10.875" style="156"/>
  </cols>
  <sheetData>
    <row r="1" spans="2:9" ht="31.5" x14ac:dyDescent="0.5">
      <c r="B1" s="195" t="s">
        <v>465</v>
      </c>
    </row>
    <row r="3" spans="2:9" s="201" customFormat="1" ht="26.25" x14ac:dyDescent="0.4">
      <c r="B3" s="204"/>
      <c r="C3" s="549"/>
      <c r="D3" s="549"/>
      <c r="E3" s="549"/>
      <c r="F3" s="202"/>
    </row>
    <row r="4" spans="2:9" x14ac:dyDescent="0.25">
      <c r="C4" s="156" t="s">
        <v>522</v>
      </c>
    </row>
    <row r="6" spans="2:9" ht="18.75" x14ac:dyDescent="0.3">
      <c r="B6" s="548" t="str">
        <f>CONCATENATE("Péréquation, ",Paramètres!B5)</f>
        <v>Péréquation, 2021</v>
      </c>
      <c r="C6" s="548"/>
      <c r="D6" s="548"/>
      <c r="E6" s="548"/>
      <c r="F6" s="548"/>
    </row>
    <row r="7" spans="2:9" s="245" customFormat="1" ht="18.75" x14ac:dyDescent="0.3">
      <c r="B7" s="548">
        <f>C3</f>
        <v>0</v>
      </c>
      <c r="C7" s="548"/>
      <c r="D7" s="548"/>
      <c r="E7" s="548"/>
      <c r="F7" s="548"/>
    </row>
    <row r="8" spans="2:9" s="245" customFormat="1" ht="12.75" x14ac:dyDescent="0.2">
      <c r="B8" s="252" t="e">
        <f>CONCATENATE("Population : ",VLOOKUP($B$7,'A) Base RI'!$B$7:$Z$314,21,FALSE))</f>
        <v>#N/A</v>
      </c>
      <c r="C8" s="243"/>
      <c r="D8" s="243"/>
      <c r="E8" s="244"/>
      <c r="F8" s="251" t="e">
        <f>CONCATENATE("N° OFS : ",VLOOKUP($B$7,Paramètres!$A$64:$B$371,2,FALSE))</f>
        <v>#N/A</v>
      </c>
    </row>
    <row r="9" spans="2:9" s="245" customFormat="1" ht="12.75" x14ac:dyDescent="0.2">
      <c r="B9" s="252" t="e">
        <f>CONCATENATE("Taux : ",VLOOKUP($B$7,'A) Base RI'!$B$7:$Z$314,20,FALSE))</f>
        <v>#N/A</v>
      </c>
      <c r="C9" s="243"/>
      <c r="D9" s="243"/>
      <c r="E9" s="244"/>
      <c r="F9" s="315" t="e">
        <f>CONCATENATE("Point impôt communal : ",ROUND(VLOOKUP(B7,'D) Ecrêtage'!B6:M322,2,FALSE),0))</f>
        <v>#N/A</v>
      </c>
    </row>
    <row r="10" spans="2:9" s="245" customFormat="1" ht="12.75" x14ac:dyDescent="0.2">
      <c r="B10" s="243"/>
      <c r="C10" s="243"/>
      <c r="D10" s="243"/>
      <c r="E10" s="244"/>
      <c r="F10" s="315"/>
      <c r="H10" s="338"/>
      <c r="I10" s="338"/>
    </row>
    <row r="11" spans="2:9" ht="18" x14ac:dyDescent="0.35">
      <c r="B11" s="236" t="s">
        <v>523</v>
      </c>
      <c r="C11" s="103"/>
      <c r="D11" s="103"/>
      <c r="E11" s="203"/>
      <c r="F11" s="203"/>
    </row>
    <row r="12" spans="2:9" s="245" customFormat="1" ht="6" customHeight="1" x14ac:dyDescent="0.2">
      <c r="B12" s="243"/>
      <c r="C12" s="243"/>
      <c r="D12" s="243"/>
      <c r="E12" s="244"/>
      <c r="F12" s="244"/>
    </row>
    <row r="13" spans="2:9" s="245" customFormat="1" ht="12.75" x14ac:dyDescent="0.2">
      <c r="B13" s="250" t="s">
        <v>419</v>
      </c>
      <c r="C13" s="243"/>
      <c r="D13" s="243"/>
      <c r="E13" s="244"/>
      <c r="F13" s="244"/>
    </row>
    <row r="14" spans="2:9" s="245" customFormat="1" ht="12.75" x14ac:dyDescent="0.2">
      <c r="B14" s="243" t="s">
        <v>457</v>
      </c>
      <c r="C14" s="243"/>
      <c r="D14" s="243"/>
      <c r="E14" s="246" t="e">
        <f>VLOOKUP($C$3,'C) Prél. conj.'!$B$4:$E$391,2,FALSE)*0.5</f>
        <v>#N/A</v>
      </c>
      <c r="F14" s="244"/>
    </row>
    <row r="15" spans="2:9" s="245" customFormat="1" ht="12.75" x14ac:dyDescent="0.2">
      <c r="B15" s="243" t="s">
        <v>190</v>
      </c>
      <c r="C15" s="243"/>
      <c r="D15" s="243"/>
      <c r="E15" s="246" t="e">
        <f>VLOOKUP($C$3,'C) Prél. conj.'!$B$4:$E$391,3,FALSE)*0.3</f>
        <v>#N/A</v>
      </c>
      <c r="F15" s="244" t="e">
        <f>E14+E15</f>
        <v>#N/A</v>
      </c>
    </row>
    <row r="16" spans="2:9" s="245" customFormat="1" ht="6" customHeight="1" x14ac:dyDescent="0.2">
      <c r="B16" s="243"/>
      <c r="C16" s="243"/>
      <c r="D16" s="243"/>
      <c r="E16" s="244"/>
      <c r="F16" s="244"/>
    </row>
    <row r="17" spans="2:8" s="245" customFormat="1" ht="12.75" x14ac:dyDescent="0.2">
      <c r="B17" s="250" t="s">
        <v>455</v>
      </c>
      <c r="C17" s="243"/>
      <c r="D17" s="243"/>
      <c r="E17" s="244"/>
      <c r="F17" s="244"/>
    </row>
    <row r="18" spans="2:8" s="245" customFormat="1" ht="12.75" x14ac:dyDescent="0.2">
      <c r="B18" s="243" t="s">
        <v>508</v>
      </c>
      <c r="C18" s="243"/>
      <c r="D18" s="247" t="e">
        <f>VLOOKUP($C$3,'D) Ecrêtage'!$B$4:$M$391,11,FALSE)</f>
        <v>#N/A</v>
      </c>
      <c r="E18" s="244"/>
      <c r="F18" s="244" t="e">
        <f>VLOOKUP($C$3,'D) Ecrêtage'!$B$4:$M$391,12,FALSE)</f>
        <v>#N/A</v>
      </c>
    </row>
    <row r="19" spans="2:8" s="245" customFormat="1" ht="6" customHeight="1" x14ac:dyDescent="0.2">
      <c r="B19" s="243"/>
      <c r="C19" s="243"/>
      <c r="D19" s="243"/>
      <c r="E19" s="244"/>
      <c r="F19" s="244"/>
    </row>
    <row r="20" spans="2:8" s="245" customFormat="1" ht="12.75" x14ac:dyDescent="0.2">
      <c r="B20" s="250" t="s">
        <v>458</v>
      </c>
      <c r="C20" s="243"/>
      <c r="D20" s="243"/>
      <c r="E20" s="244"/>
      <c r="F20" s="244"/>
    </row>
    <row r="21" spans="2:8" s="245" customFormat="1" ht="12.75" x14ac:dyDescent="0.2">
      <c r="B21" s="243" t="str">
        <f>CONCATENATE("Nombre de points à répartir ",ROUND('E) PCS'!D8,2))</f>
        <v>Nombre de points à répartir 12.2</v>
      </c>
      <c r="C21" s="243"/>
      <c r="D21" s="243"/>
      <c r="E21" s="244"/>
      <c r="F21" s="244"/>
    </row>
    <row r="22" spans="2:8" s="245" customFormat="1" ht="12.75" x14ac:dyDescent="0.2">
      <c r="B22" s="243" t="s">
        <v>464</v>
      </c>
      <c r="C22" s="243"/>
      <c r="D22" s="243"/>
      <c r="E22" s="244"/>
      <c r="F22" s="244" t="e">
        <f>VLOOKUP($C$3,'E) PCS'!$B$10:$G$391,5,FALSE)</f>
        <v>#N/A</v>
      </c>
      <c r="G22" s="408"/>
    </row>
    <row r="23" spans="2:8" s="245" customFormat="1" ht="6" customHeight="1" x14ac:dyDescent="0.2">
      <c r="B23" s="243"/>
      <c r="C23" s="243"/>
      <c r="D23" s="243"/>
      <c r="E23" s="244"/>
      <c r="F23" s="248"/>
    </row>
    <row r="24" spans="2:8" s="245" customFormat="1" ht="12.75" x14ac:dyDescent="0.2">
      <c r="B24" s="250" t="s">
        <v>577</v>
      </c>
      <c r="C24" s="243"/>
      <c r="D24" s="243"/>
      <c r="E24" s="244"/>
      <c r="F24" s="249" t="e">
        <f>F15+F18+F22</f>
        <v>#N/A</v>
      </c>
      <c r="G24" s="409"/>
      <c r="H24" s="408"/>
    </row>
    <row r="25" spans="2:8" s="245" customFormat="1" ht="6" customHeight="1" x14ac:dyDescent="0.2">
      <c r="B25" s="243"/>
      <c r="C25" s="243"/>
      <c r="D25" s="243"/>
      <c r="E25" s="244"/>
      <c r="F25" s="244"/>
    </row>
    <row r="26" spans="2:8" ht="18" x14ac:dyDescent="0.35">
      <c r="B26" s="236" t="s">
        <v>488</v>
      </c>
      <c r="C26" s="103"/>
      <c r="D26" s="103"/>
      <c r="E26" s="203"/>
      <c r="F26" s="203"/>
      <c r="G26" s="407"/>
    </row>
    <row r="27" spans="2:8" s="245" customFormat="1" ht="6" customHeight="1" x14ac:dyDescent="0.2">
      <c r="B27" s="243"/>
      <c r="C27" s="243"/>
      <c r="D27" s="243"/>
      <c r="E27" s="244"/>
      <c r="F27" s="244"/>
    </row>
    <row r="28" spans="2:8" s="245" customFormat="1" ht="12.75" x14ac:dyDescent="0.2">
      <c r="B28" s="250" t="s">
        <v>296</v>
      </c>
      <c r="C28" s="243"/>
      <c r="D28" s="243"/>
      <c r="E28" s="244"/>
      <c r="F28" s="244" t="e">
        <f>-VLOOKUP($C$3,'F) Population'!$B$9:$K$391,10,FALSE)</f>
        <v>#N/A</v>
      </c>
      <c r="G28" s="409"/>
    </row>
    <row r="29" spans="2:8" s="245" customFormat="1" ht="6" customHeight="1" x14ac:dyDescent="0.2">
      <c r="B29" s="243"/>
      <c r="C29" s="243"/>
      <c r="D29" s="243"/>
      <c r="E29" s="244"/>
      <c r="F29" s="244"/>
    </row>
    <row r="30" spans="2:8" s="245" customFormat="1" ht="12.75" x14ac:dyDescent="0.2">
      <c r="B30" s="250" t="s">
        <v>459</v>
      </c>
      <c r="C30" s="243"/>
      <c r="D30" s="243"/>
      <c r="E30" s="244"/>
      <c r="F30" s="244" t="e">
        <f>-VLOOKUP($C$3,'G) Solidarité'!$B$6:$I$391,8,FALSE)</f>
        <v>#N/A</v>
      </c>
    </row>
    <row r="31" spans="2:8" s="245" customFormat="1" ht="6" customHeight="1" x14ac:dyDescent="0.2">
      <c r="B31" s="243"/>
      <c r="C31" s="243"/>
      <c r="D31" s="243"/>
      <c r="E31" s="244"/>
      <c r="F31" s="244"/>
      <c r="H31" s="245" t="s">
        <v>522</v>
      </c>
    </row>
    <row r="32" spans="2:8" s="245" customFormat="1" ht="12.75" x14ac:dyDescent="0.2">
      <c r="B32" s="250" t="s">
        <v>137</v>
      </c>
      <c r="C32" s="243"/>
      <c r="D32" s="243"/>
      <c r="E32" s="244"/>
      <c r="F32" s="449"/>
    </row>
    <row r="33" spans="2:12" s="245" customFormat="1" ht="12.75" x14ac:dyDescent="0.2">
      <c r="B33" s="451" t="s">
        <v>526</v>
      </c>
      <c r="C33" s="450"/>
      <c r="D33" s="450"/>
      <c r="E33" s="452" t="e">
        <f>VLOOKUP(B7,'I) Dépenses thématiques'!B6:U313,12,FALSE)</f>
        <v>#N/A</v>
      </c>
      <c r="F33" s="450"/>
    </row>
    <row r="34" spans="2:12" s="245" customFormat="1" ht="12.75" x14ac:dyDescent="0.2">
      <c r="B34" s="451" t="s">
        <v>527</v>
      </c>
      <c r="C34" s="450"/>
      <c r="D34" s="450"/>
      <c r="E34" s="452" t="e">
        <f>VLOOKUP(B7,'I) Dépenses thématiques'!B6:T313,18,FALSE)</f>
        <v>#N/A</v>
      </c>
      <c r="F34" s="453" t="e">
        <f>SUM(E33:E34)</f>
        <v>#N/A</v>
      </c>
    </row>
    <row r="35" spans="2:12" s="245" customFormat="1" ht="6" customHeight="1" x14ac:dyDescent="0.2">
      <c r="B35" s="450"/>
      <c r="C35" s="450"/>
      <c r="D35" s="450"/>
      <c r="E35" s="450"/>
      <c r="F35" s="450"/>
    </row>
    <row r="36" spans="2:12" s="245" customFormat="1" ht="12.75" x14ac:dyDescent="0.2">
      <c r="B36" s="250" t="s">
        <v>460</v>
      </c>
      <c r="C36" s="243"/>
      <c r="D36" s="243"/>
      <c r="E36" s="244"/>
      <c r="F36" s="244"/>
    </row>
    <row r="37" spans="2:12" s="245" customFormat="1" ht="12.75" customHeight="1" x14ac:dyDescent="0.2">
      <c r="B37" s="243" t="s">
        <v>500</v>
      </c>
      <c r="C37" s="243"/>
      <c r="D37" s="243"/>
      <c r="E37" s="246" t="e">
        <f>VLOOKUP($C$3,'J) Plafonnement effort'!$B$6:$J$391,9,FALSE)</f>
        <v>#N/A</v>
      </c>
      <c r="F37" s="244"/>
      <c r="L37" s="442"/>
    </row>
    <row r="38" spans="2:12" s="245" customFormat="1" ht="12.75" customHeight="1" x14ac:dyDescent="0.2">
      <c r="B38" s="243" t="s">
        <v>461</v>
      </c>
      <c r="C38" s="243"/>
      <c r="D38" s="243"/>
      <c r="E38" s="246" t="e">
        <f>VLOOKUP($C$3,'K) Plafonnement aide'!$B$6:$J$391,9,FALSE)</f>
        <v>#N/A</v>
      </c>
      <c r="F38" s="244"/>
      <c r="L38" s="442"/>
    </row>
    <row r="39" spans="2:12" s="245" customFormat="1" ht="12.75" customHeight="1" x14ac:dyDescent="0.2">
      <c r="B39" s="243" t="s">
        <v>462</v>
      </c>
      <c r="C39" s="243"/>
      <c r="D39" s="243"/>
      <c r="E39" s="246" t="e">
        <f>VLOOKUP($C$3,'L) Plafonnement taux'!$B$7:$Q$391,16,FALSE)</f>
        <v>#N/A</v>
      </c>
      <c r="F39" s="244" t="e">
        <f>SUM(E37:E39)</f>
        <v>#N/A</v>
      </c>
      <c r="L39" s="442"/>
    </row>
    <row r="40" spans="2:12" s="245" customFormat="1" ht="6" customHeight="1" x14ac:dyDescent="0.2">
      <c r="B40" s="243"/>
      <c r="C40" s="243"/>
      <c r="D40" s="243"/>
      <c r="E40" s="244"/>
      <c r="F40" s="244"/>
      <c r="L40" s="442"/>
    </row>
    <row r="41" spans="2:12" s="245" customFormat="1" ht="12.75" customHeight="1" x14ac:dyDescent="0.2">
      <c r="B41" s="250" t="s">
        <v>92</v>
      </c>
      <c r="C41" s="243"/>
      <c r="D41" s="243"/>
      <c r="E41" s="244"/>
      <c r="F41" s="244" t="e">
        <f>VLOOKUP($C$3,'H) Péréquation directe'!$B$16:$I$390,4,FALSE)</f>
        <v>#N/A</v>
      </c>
      <c r="L41" s="442"/>
    </row>
    <row r="42" spans="2:12" s="245" customFormat="1" ht="6" customHeight="1" x14ac:dyDescent="0.2">
      <c r="B42" s="243"/>
      <c r="C42" s="243"/>
      <c r="D42" s="243"/>
      <c r="E42" s="244"/>
      <c r="F42" s="248"/>
      <c r="L42" s="442"/>
    </row>
    <row r="43" spans="2:12" s="245" customFormat="1" ht="12.75" x14ac:dyDescent="0.2">
      <c r="B43" s="250" t="s">
        <v>463</v>
      </c>
      <c r="C43" s="243"/>
      <c r="D43" s="243"/>
      <c r="E43" s="244"/>
      <c r="F43" s="339" t="e">
        <f>SUM(F27:F42)</f>
        <v>#N/A</v>
      </c>
    </row>
    <row r="44" spans="2:12" s="245" customFormat="1" ht="6" customHeight="1" x14ac:dyDescent="0.2">
      <c r="B44" s="243"/>
      <c r="C44" s="243"/>
      <c r="D44" s="243"/>
      <c r="E44" s="244"/>
      <c r="F44" s="244"/>
    </row>
    <row r="45" spans="2:12" ht="18" x14ac:dyDescent="0.35">
      <c r="B45" s="236" t="s">
        <v>578</v>
      </c>
      <c r="C45" s="103"/>
      <c r="D45" s="103"/>
      <c r="E45" s="203"/>
      <c r="F45" s="203"/>
      <c r="G45" s="245"/>
      <c r="H45" s="245"/>
      <c r="I45" s="245"/>
      <c r="J45" s="245"/>
      <c r="K45" s="245"/>
    </row>
    <row r="46" spans="2:12" s="245" customFormat="1" ht="6" customHeight="1" x14ac:dyDescent="0.2">
      <c r="B46" s="243"/>
      <c r="C46" s="243"/>
      <c r="D46" s="243"/>
      <c r="E46" s="244"/>
      <c r="F46" s="244"/>
    </row>
    <row r="47" spans="2:12" s="245" customFormat="1" ht="12.75" x14ac:dyDescent="0.2">
      <c r="B47" s="243" t="s">
        <v>472</v>
      </c>
      <c r="C47" s="243"/>
      <c r="D47" s="243"/>
      <c r="E47" s="246" t="e">
        <f>VLOOKUP($C$3,'M) Police'!$B$6:$M$395,10,FALSE)</f>
        <v>#N/A</v>
      </c>
      <c r="F47" s="244"/>
    </row>
    <row r="48" spans="2:12" s="245" customFormat="1" ht="12.75" x14ac:dyDescent="0.2">
      <c r="B48" s="243" t="s">
        <v>473</v>
      </c>
      <c r="C48" s="243"/>
      <c r="D48" s="243"/>
      <c r="E48" s="246" t="e">
        <f>VLOOKUP($C$3,'M) Police'!$B$6:$M$395,12,FALSE)</f>
        <v>#N/A</v>
      </c>
      <c r="F48" s="244" t="e">
        <f>E47+E48</f>
        <v>#N/A</v>
      </c>
    </row>
    <row r="49" spans="2:6" s="245" customFormat="1" ht="12.75" x14ac:dyDescent="0.2">
      <c r="B49" s="243"/>
      <c r="C49" s="243"/>
      <c r="D49" s="243"/>
      <c r="E49" s="244"/>
      <c r="F49" s="248"/>
    </row>
    <row r="50" spans="2:6" s="245" customFormat="1" ht="12.75" x14ac:dyDescent="0.2">
      <c r="B50" s="250" t="s">
        <v>478</v>
      </c>
      <c r="C50" s="243"/>
      <c r="D50" s="243"/>
      <c r="E50" s="244"/>
      <c r="F50" s="249" t="e">
        <f>F48</f>
        <v>#N/A</v>
      </c>
    </row>
    <row r="51" spans="2:6" s="245" customFormat="1" ht="6" customHeight="1" x14ac:dyDescent="0.2">
      <c r="B51" s="243"/>
      <c r="C51" s="243"/>
      <c r="D51" s="243"/>
      <c r="E51" s="244"/>
      <c r="F51" s="244"/>
    </row>
    <row r="52" spans="2:6" ht="18" x14ac:dyDescent="0.35">
      <c r="B52" s="236" t="s">
        <v>579</v>
      </c>
      <c r="C52" s="103"/>
      <c r="D52" s="103"/>
      <c r="E52" s="203"/>
      <c r="F52" s="203"/>
    </row>
    <row r="53" spans="2:6" ht="6" customHeight="1" x14ac:dyDescent="0.25">
      <c r="B53" s="243"/>
      <c r="C53" s="243"/>
      <c r="D53" s="243"/>
      <c r="E53" s="243"/>
      <c r="F53" s="243"/>
    </row>
    <row r="54" spans="2:6" x14ac:dyDescent="0.25">
      <c r="B54" s="250" t="s">
        <v>501</v>
      </c>
      <c r="C54" s="243"/>
      <c r="D54" s="243"/>
      <c r="E54" s="243"/>
      <c r="F54" s="249" t="e">
        <f>+F24+F43+F50</f>
        <v>#N/A</v>
      </c>
    </row>
    <row r="55" spans="2:6" ht="6" customHeight="1" x14ac:dyDescent="0.25">
      <c r="B55" s="243"/>
      <c r="C55" s="243"/>
      <c r="D55" s="243"/>
      <c r="E55" s="243"/>
      <c r="F55" s="243"/>
    </row>
    <row r="56" spans="2:6" ht="18" x14ac:dyDescent="0.35">
      <c r="B56" s="236" t="s">
        <v>502</v>
      </c>
      <c r="C56" s="103"/>
      <c r="D56" s="103"/>
      <c r="E56" s="203"/>
      <c r="F56" s="203"/>
    </row>
    <row r="57" spans="2:6" ht="6" customHeight="1" x14ac:dyDescent="0.25">
      <c r="B57" s="243"/>
      <c r="C57" s="243"/>
      <c r="D57" s="243"/>
      <c r="E57" s="244"/>
      <c r="F57" s="244"/>
    </row>
    <row r="58" spans="2:6" ht="25.5" x14ac:dyDescent="0.25">
      <c r="B58" s="243"/>
      <c r="C58" s="454" t="s">
        <v>528</v>
      </c>
      <c r="D58" s="455" t="s">
        <v>542</v>
      </c>
      <c r="E58" s="455" t="s">
        <v>320</v>
      </c>
      <c r="F58" s="456" t="s">
        <v>468</v>
      </c>
    </row>
    <row r="59" spans="2:6" x14ac:dyDescent="0.25">
      <c r="B59" s="457" t="s">
        <v>529</v>
      </c>
      <c r="C59" s="458" t="e">
        <f>SUM(D59:F59)</f>
        <v>#N/A</v>
      </c>
      <c r="D59" s="459" t="e">
        <f>VLOOKUP($C$3,'Acomptes vs Décompte'!$B$6:$K$313,2,FALSE)</f>
        <v>#N/A</v>
      </c>
      <c r="E59" s="459" t="e">
        <f>VLOOKUP($C$3,'Acomptes vs Décompte'!$B$6:$K$313,5,FALSE)</f>
        <v>#N/A</v>
      </c>
      <c r="F59" s="460" t="e">
        <f>VLOOKUP($C$3,'Acomptes vs Décompte'!$B$6:$K$313,8,FALSE)</f>
        <v>#N/A</v>
      </c>
    </row>
    <row r="60" spans="2:6" x14ac:dyDescent="0.25">
      <c r="B60" s="457" t="s">
        <v>530</v>
      </c>
      <c r="C60" s="461" t="e">
        <f>SUM(D60:F60)</f>
        <v>#N/A</v>
      </c>
      <c r="D60" s="462" t="e">
        <f>VLOOKUP($C$3,'Acomptes vs Décompte'!$B$6:$K$313,3,FALSE)</f>
        <v>#N/A</v>
      </c>
      <c r="E60" s="462" t="e">
        <f>VLOOKUP($C$3,'Acomptes vs Décompte'!$B$6:$K$313,6,FALSE)</f>
        <v>#N/A</v>
      </c>
      <c r="F60" s="463" t="e">
        <f>VLOOKUP($C$3,'Acomptes vs Décompte'!$B$6:$K$313,9,FALSE)</f>
        <v>#N/A</v>
      </c>
    </row>
    <row r="61" spans="2:6" x14ac:dyDescent="0.25">
      <c r="B61" s="457" t="s">
        <v>531</v>
      </c>
      <c r="C61" s="458" t="e">
        <f>SUM(D61:F61)</f>
        <v>#N/A</v>
      </c>
      <c r="D61" s="458" t="e">
        <f>D60-D59</f>
        <v>#N/A</v>
      </c>
      <c r="E61" s="458" t="e">
        <f t="shared" ref="E61:F61" si="0">E60-E59</f>
        <v>#N/A</v>
      </c>
      <c r="F61" s="458" t="e">
        <f t="shared" si="0"/>
        <v>#N/A</v>
      </c>
    </row>
    <row r="62" spans="2:6" x14ac:dyDescent="0.25">
      <c r="B62" s="393"/>
      <c r="C62" s="464" t="s">
        <v>532</v>
      </c>
      <c r="D62" s="393"/>
      <c r="E62" s="6"/>
      <c r="F62" s="6"/>
    </row>
    <row r="63" spans="2:6" x14ac:dyDescent="0.25">
      <c r="B63" s="550" t="s">
        <v>543</v>
      </c>
      <c r="C63" s="550"/>
      <c r="D63" s="550"/>
      <c r="E63" s="550"/>
      <c r="F63" s="550"/>
    </row>
    <row r="64" spans="2:6" x14ac:dyDescent="0.25">
      <c r="B64" s="550"/>
      <c r="C64" s="550"/>
      <c r="D64" s="550"/>
      <c r="E64" s="550"/>
      <c r="F64" s="550"/>
    </row>
    <row r="65" spans="2:6" x14ac:dyDescent="0.25">
      <c r="B65" s="550"/>
      <c r="C65" s="550"/>
      <c r="D65" s="550"/>
      <c r="E65" s="550"/>
      <c r="F65" s="550"/>
    </row>
    <row r="66" spans="2:6" x14ac:dyDescent="0.25">
      <c r="B66" s="550"/>
      <c r="C66" s="550"/>
      <c r="D66" s="550"/>
      <c r="E66" s="550"/>
      <c r="F66" s="550"/>
    </row>
    <row r="67" spans="2:6" x14ac:dyDescent="0.25">
      <c r="B67" s="550"/>
      <c r="C67" s="550"/>
      <c r="D67" s="550"/>
      <c r="E67" s="550"/>
      <c r="F67" s="550"/>
    </row>
    <row r="68" spans="2:6" x14ac:dyDescent="0.25">
      <c r="B68" s="550"/>
      <c r="C68" s="550"/>
      <c r="D68" s="550"/>
      <c r="E68" s="550"/>
      <c r="F68" s="550"/>
    </row>
  </sheetData>
  <protectedRanges>
    <protectedRange sqref="C3:E3" name="Plage1"/>
  </protectedRanges>
  <mergeCells count="4">
    <mergeCell ref="B6:F6"/>
    <mergeCell ref="B7:F7"/>
    <mergeCell ref="C3:E3"/>
    <mergeCell ref="B63:F68"/>
  </mergeCells>
  <printOptions horizontalCentered="1" verticalCentered="1"/>
  <pageMargins left="0.70866141732283472" right="0.70866141732283472" top="0.35433070866141736" bottom="0.35433070866141736"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Paramètres!$A$64:$A$371</xm:f>
          </x14:formula1>
          <xm:sqref>C3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F25FB-D334-417A-A20B-D82E39DD7E6F}">
  <sheetPr>
    <tabColor rgb="FF92D050"/>
    <pageSetUpPr fitToPage="1"/>
  </sheetPr>
  <dimension ref="B1:E53"/>
  <sheetViews>
    <sheetView zoomScaleNormal="100" zoomScaleSheetLayoutView="90" workbookViewId="0"/>
  </sheetViews>
  <sheetFormatPr baseColWidth="10" defaultColWidth="10.875" defaultRowHeight="15" x14ac:dyDescent="0.25"/>
  <cols>
    <col min="1" max="1" width="3.375" style="501" customWidth="1"/>
    <col min="2" max="2" width="9.75" style="501" customWidth="1"/>
    <col min="3" max="3" width="33.75" style="501" bestFit="1" customWidth="1"/>
    <col min="4" max="4" width="12.5" style="501" customWidth="1"/>
    <col min="5" max="5" width="31.125" style="501" customWidth="1"/>
    <col min="6" max="16384" width="10.875" style="501"/>
  </cols>
  <sheetData>
    <row r="1" spans="2:5" ht="30.75" customHeight="1" x14ac:dyDescent="0.5">
      <c r="B1" s="502" t="s">
        <v>465</v>
      </c>
      <c r="E1" s="503"/>
    </row>
    <row r="3" spans="2:5" s="504" customFormat="1" ht="26.25" x14ac:dyDescent="0.4">
      <c r="B3" s="505"/>
      <c r="C3" s="553" t="s">
        <v>118</v>
      </c>
      <c r="D3" s="553"/>
      <c r="E3" s="501"/>
    </row>
    <row r="6" spans="2:5" ht="37.5" customHeight="1" x14ac:dyDescent="0.25">
      <c r="B6" s="554" t="s">
        <v>603</v>
      </c>
      <c r="C6" s="554"/>
      <c r="D6" s="554"/>
      <c r="E6" s="554"/>
    </row>
    <row r="7" spans="2:5" ht="23.25" x14ac:dyDescent="0.35">
      <c r="B7" s="555" t="str">
        <f>C3</f>
        <v>Lausanne</v>
      </c>
      <c r="C7" s="555"/>
      <c r="D7" s="555"/>
      <c r="E7" s="555"/>
    </row>
    <row r="8" spans="2:5" s="506" customFormat="1" ht="12.75" x14ac:dyDescent="0.2">
      <c r="B8" s="507"/>
      <c r="C8" s="508"/>
      <c r="D8" s="509"/>
      <c r="E8" s="510" t="str">
        <f>CONCATENATE("N° OFS : ",VLOOKUP($B$7,Paramètres!A64:B371,2,FALSE))</f>
        <v>N° OFS : 5586</v>
      </c>
    </row>
    <row r="9" spans="2:5" ht="18" x14ac:dyDescent="0.35">
      <c r="B9" s="511" t="s">
        <v>609</v>
      </c>
      <c r="C9" s="512"/>
      <c r="D9" s="513" t="s">
        <v>437</v>
      </c>
      <c r="E9" s="514" t="s">
        <v>580</v>
      </c>
    </row>
    <row r="10" spans="2:5" s="506" customFormat="1" ht="3.75" customHeight="1" x14ac:dyDescent="0.2">
      <c r="B10" s="509"/>
      <c r="C10" s="509"/>
      <c r="D10" s="509"/>
      <c r="E10" s="509"/>
    </row>
    <row r="11" spans="2:5" s="515" customFormat="1" ht="12.75" x14ac:dyDescent="0.2">
      <c r="B11" s="516">
        <v>4001</v>
      </c>
      <c r="C11" s="517" t="s">
        <v>581</v>
      </c>
      <c r="D11" s="518">
        <f>VLOOKUP($C$3,'A) Base RI'!$B$7:$M$314,2,FALSE)</f>
        <v>308573433.68000001</v>
      </c>
      <c r="E11" s="498"/>
    </row>
    <row r="12" spans="2:5" s="515" customFormat="1" ht="12.75" x14ac:dyDescent="0.2">
      <c r="B12" s="516">
        <v>4002</v>
      </c>
      <c r="C12" s="517" t="s">
        <v>582</v>
      </c>
      <c r="D12" s="518">
        <f>VLOOKUP($C$3,'A) Base RI'!$B$7:$M$314,3,FALSE)</f>
        <v>49706320.859999999</v>
      </c>
      <c r="E12" s="499"/>
    </row>
    <row r="13" spans="2:5" s="515" customFormat="1" ht="12.75" x14ac:dyDescent="0.2">
      <c r="B13" s="516">
        <v>4005</v>
      </c>
      <c r="C13" s="517" t="s">
        <v>583</v>
      </c>
      <c r="D13" s="518">
        <f>VLOOKUP($C$3,'A) Base RI'!$B$7:$M$314,5,FALSE)</f>
        <v>0</v>
      </c>
      <c r="E13" s="498"/>
    </row>
    <row r="14" spans="2:5" s="515" customFormat="1" ht="12.75" x14ac:dyDescent="0.2">
      <c r="B14" s="516">
        <v>4011</v>
      </c>
      <c r="C14" s="517" t="s">
        <v>584</v>
      </c>
      <c r="D14" s="518">
        <f>VLOOKUP($C$3,'A) Base RI'!$B$7:$M$314,6,FALSE)</f>
        <v>74430166.900000006</v>
      </c>
      <c r="E14" s="498"/>
    </row>
    <row r="15" spans="2:5" s="515" customFormat="1" ht="12.75" x14ac:dyDescent="0.2">
      <c r="B15" s="516">
        <v>4012</v>
      </c>
      <c r="C15" s="517" t="s">
        <v>585</v>
      </c>
      <c r="D15" s="518">
        <f>VLOOKUP($C$3,'A) Base RI'!$B$7:$M$314,7,FALSE)</f>
        <v>7754175.8499999996</v>
      </c>
      <c r="E15" s="498"/>
    </row>
    <row r="16" spans="2:5" s="515" customFormat="1" ht="12.75" x14ac:dyDescent="0.2">
      <c r="B16" s="516">
        <v>4004</v>
      </c>
      <c r="C16" s="517" t="s">
        <v>586</v>
      </c>
      <c r="D16" s="518">
        <f>VLOOKUP($C$3,'A) Base RI'!$B$7:$M$314,8,FALSE)</f>
        <v>6608887.4400000004</v>
      </c>
      <c r="E16" s="498"/>
    </row>
    <row r="17" spans="2:5" s="515" customFormat="1" ht="12.75" x14ac:dyDescent="0.2">
      <c r="B17" s="516">
        <v>4003</v>
      </c>
      <c r="C17" s="517" t="s">
        <v>369</v>
      </c>
      <c r="D17" s="518">
        <f>VLOOKUP($C$3,'A) Base RI'!$B$7:$M$314,9,FALSE)</f>
        <v>20383530.43</v>
      </c>
      <c r="E17" s="498"/>
    </row>
    <row r="18" spans="2:5" s="515" customFormat="1" ht="12.75" x14ac:dyDescent="0.2">
      <c r="B18" s="516">
        <v>4013</v>
      </c>
      <c r="C18" s="517" t="s">
        <v>587</v>
      </c>
      <c r="D18" s="518">
        <f>VLOOKUP($C$3,'A) Base RI'!$B$7:$M$314,10,FALSE)</f>
        <v>6198102.4000000004</v>
      </c>
      <c r="E18" s="498"/>
    </row>
    <row r="19" spans="2:5" s="515" customFormat="1" ht="12.75" x14ac:dyDescent="0.2">
      <c r="B19" s="516">
        <v>4020</v>
      </c>
      <c r="C19" s="517" t="s">
        <v>588</v>
      </c>
      <c r="D19" s="518">
        <f>VLOOKUP($C$3,'A) Base RI'!$B$7:$M$314,11,FALSE)</f>
        <v>45109690.149999999</v>
      </c>
      <c r="E19" s="498"/>
    </row>
    <row r="20" spans="2:5" s="515" customFormat="1" ht="12.75" x14ac:dyDescent="0.2">
      <c r="B20" s="516"/>
      <c r="C20" s="519" t="s">
        <v>589</v>
      </c>
      <c r="D20" s="520">
        <f>VLOOKUP($C$3,'A) Base RI'!$B$7:$M$314,12,FALSE)</f>
        <v>518764307.71000004</v>
      </c>
      <c r="E20" s="520"/>
    </row>
    <row r="21" spans="2:5" s="515" customFormat="1" ht="7.15" customHeight="1" x14ac:dyDescent="0.2">
      <c r="B21" s="516"/>
      <c r="C21" s="517"/>
      <c r="D21" s="521"/>
      <c r="E21" s="521"/>
    </row>
    <row r="22" spans="2:5" s="515" customFormat="1" ht="12.75" x14ac:dyDescent="0.2">
      <c r="B22" s="516" t="s">
        <v>590</v>
      </c>
      <c r="C22" s="517" t="s">
        <v>591</v>
      </c>
      <c r="D22" s="518">
        <f>VLOOKUP($C$3,'A) Base RI'!$B$7:$T$314,13,FALSE)</f>
        <v>13203708.65</v>
      </c>
      <c r="E22" s="498"/>
    </row>
    <row r="23" spans="2:5" s="515" customFormat="1" ht="12.75" x14ac:dyDescent="0.2">
      <c r="B23" s="516">
        <v>4050</v>
      </c>
      <c r="C23" s="517" t="s">
        <v>592</v>
      </c>
      <c r="D23" s="518">
        <f>VLOOKUP($C$3,'A) Base RI'!$B$7:$T$314,14,FALSE)</f>
        <v>22230070.300000001</v>
      </c>
      <c r="E23" s="498"/>
    </row>
    <row r="24" spans="2:5" s="515" customFormat="1" ht="12.75" x14ac:dyDescent="0.2">
      <c r="B24" s="516">
        <v>4040</v>
      </c>
      <c r="C24" s="517" t="s">
        <v>192</v>
      </c>
      <c r="D24" s="518">
        <f>VLOOKUP($C$3,'A) Base RI'!$B$7:$T$314,15,FALSE)</f>
        <v>13693939.9</v>
      </c>
      <c r="E24" s="498"/>
    </row>
    <row r="25" spans="2:5" s="515" customFormat="1" ht="12.75" x14ac:dyDescent="0.2">
      <c r="B25" s="516">
        <v>4090</v>
      </c>
      <c r="C25" s="517" t="s">
        <v>399</v>
      </c>
      <c r="D25" s="518">
        <f>VLOOKUP($C$3,'A) Base RI'!$B$7:$T$314,16,FALSE)</f>
        <v>2236041.6</v>
      </c>
      <c r="E25" s="498"/>
    </row>
    <row r="26" spans="2:5" s="515" customFormat="1" ht="12.75" x14ac:dyDescent="0.2">
      <c r="B26" s="516">
        <v>4411</v>
      </c>
      <c r="C26" s="517" t="s">
        <v>593</v>
      </c>
      <c r="D26" s="518">
        <f>VLOOKUP($C$3,'A) Base RI'!$B$7:$T$314,17,FALSE)</f>
        <v>12379655.1</v>
      </c>
      <c r="E26" s="498"/>
    </row>
    <row r="27" spans="2:5" s="515" customFormat="1" ht="12.75" x14ac:dyDescent="0.2">
      <c r="B27" s="516">
        <v>451</v>
      </c>
      <c r="C27" s="517" t="s">
        <v>594</v>
      </c>
      <c r="D27" s="518">
        <f>VLOOKUP($C$3,'A) Base RI'!$B$7:$T$314,18,FALSE)</f>
        <v>9308373.2599999998</v>
      </c>
      <c r="E27" s="498"/>
    </row>
    <row r="28" spans="2:5" s="515" customFormat="1" ht="12.75" x14ac:dyDescent="0.2">
      <c r="B28" s="516"/>
      <c r="C28" s="519" t="s">
        <v>189</v>
      </c>
      <c r="D28" s="520">
        <f>SUM(D22:D27)</f>
        <v>73051788.810000002</v>
      </c>
      <c r="E28" s="520"/>
    </row>
    <row r="29" spans="2:5" s="515" customFormat="1" ht="12.75" x14ac:dyDescent="0.2">
      <c r="B29" s="516"/>
      <c r="C29" s="519" t="s">
        <v>595</v>
      </c>
      <c r="D29" s="520">
        <f>VLOOKUP(C3,'A) Base RI'!B7:T314,19,FALSE)</f>
        <v>591816096.51999998</v>
      </c>
      <c r="E29" s="520"/>
    </row>
    <row r="30" spans="2:5" s="515" customFormat="1" ht="6" customHeight="1" x14ac:dyDescent="0.2">
      <c r="B30" s="516"/>
      <c r="C30" s="517"/>
      <c r="D30" s="518"/>
      <c r="E30" s="518"/>
    </row>
    <row r="31" spans="2:5" s="515" customFormat="1" ht="7.15" customHeight="1" x14ac:dyDescent="0.2">
      <c r="B31" s="516"/>
      <c r="C31" s="519"/>
      <c r="D31" s="518"/>
      <c r="E31" s="518"/>
    </row>
    <row r="32" spans="2:5" s="515" customFormat="1" ht="12.75" x14ac:dyDescent="0.2">
      <c r="B32" s="516" t="s">
        <v>596</v>
      </c>
      <c r="C32" s="517" t="s">
        <v>597</v>
      </c>
      <c r="D32" s="518">
        <f>VLOOKUP(C3,'A) Base RI'!B7:W314,22,FALSE)</f>
        <v>-7446520.7599999998</v>
      </c>
      <c r="E32" s="498"/>
    </row>
    <row r="33" spans="2:5" s="515" customFormat="1" ht="12.75" x14ac:dyDescent="0.2">
      <c r="B33" s="516"/>
      <c r="C33" s="517" t="s">
        <v>598</v>
      </c>
      <c r="D33" s="518">
        <f>VLOOKUP(C3,'A) Base RI'!B7:X314,23,FALSE)</f>
        <v>0</v>
      </c>
      <c r="E33" s="498"/>
    </row>
    <row r="34" spans="2:5" s="515" customFormat="1" ht="12.75" x14ac:dyDescent="0.2">
      <c r="B34" s="516"/>
      <c r="C34" s="517" t="s">
        <v>240</v>
      </c>
      <c r="D34" s="518">
        <f>VLOOKUP(C3,'A) Base RI'!B7:Y314,24,FALSE)</f>
        <v>-598538.9</v>
      </c>
      <c r="E34" s="498"/>
    </row>
    <row r="35" spans="2:5" s="515" customFormat="1" ht="6" customHeight="1" x14ac:dyDescent="0.2">
      <c r="B35" s="516"/>
      <c r="C35" s="517"/>
      <c r="D35" s="518"/>
      <c r="E35" s="518"/>
    </row>
    <row r="36" spans="2:5" s="522" customFormat="1" ht="18" x14ac:dyDescent="0.2">
      <c r="B36" s="523" t="s">
        <v>610</v>
      </c>
      <c r="C36" s="524"/>
      <c r="D36" s="525"/>
      <c r="E36" s="526"/>
    </row>
    <row r="37" spans="2:5" s="515" customFormat="1" ht="6" customHeight="1" x14ac:dyDescent="0.2">
      <c r="B37" s="527"/>
      <c r="C37" s="528"/>
      <c r="D37" s="518"/>
      <c r="E37" s="518"/>
    </row>
    <row r="38" spans="2:5" s="515" customFormat="1" ht="13.9" customHeight="1" x14ac:dyDescent="0.2">
      <c r="B38" s="529"/>
      <c r="C38" s="529" t="s">
        <v>605</v>
      </c>
      <c r="D38" s="518">
        <f>VLOOKUP(C3,'A) Base RI'!B7:U314,20,FALSE)</f>
        <v>78.5</v>
      </c>
      <c r="E38" s="498"/>
    </row>
    <row r="39" spans="2:5" s="515" customFormat="1" ht="13.9" customHeight="1" x14ac:dyDescent="0.2">
      <c r="B39" s="529"/>
      <c r="C39" s="529" t="s">
        <v>606</v>
      </c>
      <c r="D39" s="518">
        <f>VLOOKUP(C3,'A) Base RI'!B7:Z314,25,FALSE)</f>
        <v>1.5</v>
      </c>
      <c r="E39" s="498"/>
    </row>
    <row r="40" spans="2:5" s="515" customFormat="1" ht="13.9" customHeight="1" x14ac:dyDescent="0.2">
      <c r="B40" s="529"/>
      <c r="C40" s="529" t="s">
        <v>607</v>
      </c>
      <c r="D40" s="530">
        <f>VLOOKUP(C3,'A) Base RI'!B7:V314,21,FALSE)</f>
        <v>140824</v>
      </c>
      <c r="E40" s="498"/>
    </row>
    <row r="41" spans="2:5" s="506" customFormat="1" ht="6" customHeight="1" x14ac:dyDescent="0.2">
      <c r="B41" s="509"/>
      <c r="C41" s="509"/>
      <c r="D41" s="509"/>
      <c r="E41" s="509"/>
    </row>
    <row r="42" spans="2:5" ht="18" x14ac:dyDescent="0.35">
      <c r="B42" s="511"/>
      <c r="C42" s="512"/>
      <c r="D42" s="531"/>
      <c r="E42" s="532"/>
    </row>
    <row r="43" spans="2:5" s="506" customFormat="1" ht="6" customHeight="1" x14ac:dyDescent="0.2">
      <c r="B43" s="509"/>
      <c r="C43" s="509"/>
      <c r="D43" s="509"/>
      <c r="E43" s="509"/>
    </row>
    <row r="44" spans="2:5" ht="45.6" customHeight="1" x14ac:dyDescent="0.25">
      <c r="B44" s="556" t="s">
        <v>608</v>
      </c>
      <c r="C44" s="556"/>
      <c r="D44" s="556"/>
      <c r="E44" s="556"/>
    </row>
    <row r="45" spans="2:5" x14ac:dyDescent="0.25">
      <c r="B45" s="557" t="str">
        <f>CONCATENATE(B7,", le")</f>
        <v>Lausanne, le</v>
      </c>
      <c r="C45" s="557"/>
      <c r="D45" s="533"/>
      <c r="E45" s="533"/>
    </row>
    <row r="46" spans="2:5" x14ac:dyDescent="0.25">
      <c r="B46" s="534">
        <f ca="1">TODAY()</f>
        <v>43322</v>
      </c>
      <c r="C46" s="535"/>
      <c r="D46" s="533"/>
      <c r="E46" s="533"/>
    </row>
    <row r="47" spans="2:5" x14ac:dyDescent="0.25">
      <c r="B47" s="534"/>
      <c r="C47" s="535"/>
      <c r="D47" s="533"/>
      <c r="E47" s="533"/>
    </row>
    <row r="48" spans="2:5" x14ac:dyDescent="0.25">
      <c r="B48" s="500" t="s">
        <v>599</v>
      </c>
      <c r="C48" s="535"/>
      <c r="D48" s="533"/>
      <c r="E48" s="538" t="s">
        <v>600</v>
      </c>
    </row>
    <row r="49" spans="2:5" x14ac:dyDescent="0.25">
      <c r="B49" s="536"/>
      <c r="C49" s="535"/>
      <c r="D49" s="533"/>
      <c r="E49" s="533"/>
    </row>
    <row r="50" spans="2:5" x14ac:dyDescent="0.25">
      <c r="B50" s="551"/>
      <c r="C50" s="551"/>
      <c r="D50" s="552"/>
      <c r="E50" s="552"/>
    </row>
    <row r="51" spans="2:5" x14ac:dyDescent="0.25">
      <c r="B51" s="537" t="s">
        <v>601</v>
      </c>
      <c r="C51" s="535"/>
      <c r="D51" s="533"/>
      <c r="E51" s="533"/>
    </row>
    <row r="52" spans="2:5" x14ac:dyDescent="0.25">
      <c r="B52" s="551"/>
      <c r="C52" s="551"/>
      <c r="D52" s="552"/>
      <c r="E52" s="552"/>
    </row>
    <row r="53" spans="2:5" x14ac:dyDescent="0.25">
      <c r="B53" s="537" t="s">
        <v>602</v>
      </c>
      <c r="C53" s="535"/>
      <c r="D53" s="533"/>
      <c r="E53" s="533"/>
    </row>
  </sheetData>
  <protectedRanges>
    <protectedRange sqref="E13:E19 E32:E34 E38:E40 E11 E22:E27" name="Plage2_2"/>
    <protectedRange sqref="C3" name="Plage1_2"/>
  </protectedRanges>
  <mergeCells count="9">
    <mergeCell ref="B52:C52"/>
    <mergeCell ref="D52:E52"/>
    <mergeCell ref="C3:D3"/>
    <mergeCell ref="B6:E6"/>
    <mergeCell ref="B7:E7"/>
    <mergeCell ref="B44:E44"/>
    <mergeCell ref="B45:C45"/>
    <mergeCell ref="B50:C50"/>
    <mergeCell ref="D50:E50"/>
  </mergeCells>
  <pageMargins left="0.7" right="0.7" top="0.75" bottom="0.75" header="0.3" footer="0.3"/>
  <pageSetup paperSize="9" scale="88" orientation="portrait" r:id="rId1"/>
  <drawing r:id="rId2"/>
  <extLst>
    <ext xmlns:x14="http://schemas.microsoft.com/office/spreadsheetml/2009/9/main" uri="{CCE6A557-97BC-4b89-ADB6-D9C93CAAB3DF}">
      <x14:dataValidations xmlns:xm="http://schemas.microsoft.com/office/excel/2006/main" xWindow="537" yWindow="242" count="1">
        <x14:dataValidation type="list" allowBlank="1" showErrorMessage="1" prompt="Veuillez séléctionne votre commune" xr:uid="{18BB2F20-AB27-42F2-885E-7845DFCA0183}">
          <x14:formula1>
            <xm:f>Paramètres!$A$64:$A$371</xm:f>
          </x14:formula1>
          <xm:sqref>C3:D3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rgb="FF00B050"/>
  </sheetPr>
  <dimension ref="A1:AD317"/>
  <sheetViews>
    <sheetView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8.625" defaultRowHeight="15" x14ac:dyDescent="0.25"/>
  <cols>
    <col min="1" max="1" width="8.875" style="332" customWidth="1"/>
    <col min="2" max="2" width="20.375" style="15" bestFit="1" customWidth="1"/>
    <col min="3" max="3" width="15.375" style="326" bestFit="1" customWidth="1"/>
    <col min="4" max="4" width="14" style="15" bestFit="1" customWidth="1"/>
    <col min="5" max="5" width="12.125" style="15" bestFit="1" customWidth="1"/>
    <col min="6" max="6" width="11.25" style="15" bestFit="1" customWidth="1"/>
    <col min="7" max="7" width="18.375" style="359" bestFit="1" customWidth="1"/>
    <col min="8" max="8" width="13.375" style="359" bestFit="1" customWidth="1"/>
    <col min="9" max="9" width="13.875" style="15" customWidth="1"/>
    <col min="10" max="10" width="13" style="15" bestFit="1" customWidth="1"/>
    <col min="11" max="11" width="13.375" style="15" bestFit="1" customWidth="1"/>
    <col min="12" max="12" width="14.25" style="15" bestFit="1" customWidth="1"/>
    <col min="13" max="13" width="15.375" style="15" bestFit="1" customWidth="1"/>
    <col min="14" max="14" width="13" style="15" bestFit="1" customWidth="1"/>
    <col min="15" max="15" width="14" style="15" bestFit="1" customWidth="1"/>
    <col min="16" max="16" width="13" style="15" bestFit="1" customWidth="1"/>
    <col min="17" max="17" width="15.875" style="15" bestFit="1" customWidth="1"/>
    <col min="18" max="18" width="13" style="15" bestFit="1" customWidth="1"/>
    <col min="19" max="19" width="13" style="359" bestFit="1" customWidth="1"/>
    <col min="20" max="20" width="15.375" style="15" bestFit="1" customWidth="1"/>
    <col min="21" max="21" width="12" style="15" customWidth="1"/>
    <col min="22" max="22" width="10.875" style="6" bestFit="1" customWidth="1"/>
    <col min="23" max="23" width="12.125" style="15" bestFit="1" customWidth="1"/>
    <col min="24" max="24" width="11.25" style="15" bestFit="1" customWidth="1"/>
    <col min="25" max="25" width="11.875" style="15" bestFit="1" customWidth="1"/>
    <col min="26" max="26" width="7" style="15" bestFit="1" customWidth="1"/>
    <col min="27" max="30" width="8.625" style="427"/>
    <col min="31" max="16384" width="8.625" style="15"/>
  </cols>
  <sheetData>
    <row r="1" spans="1:26" ht="21" x14ac:dyDescent="0.35">
      <c r="A1" s="327" t="s">
        <v>432</v>
      </c>
      <c r="B1" s="317"/>
      <c r="C1" s="318"/>
      <c r="D1" s="317"/>
      <c r="E1" s="317"/>
      <c r="F1" s="317"/>
      <c r="G1" s="317"/>
      <c r="H1" s="317"/>
      <c r="I1" s="317"/>
      <c r="J1" s="317"/>
      <c r="S1" s="317"/>
      <c r="U1" s="333"/>
    </row>
    <row r="2" spans="1:26" ht="21" x14ac:dyDescent="0.35">
      <c r="A2" s="327">
        <f>Paramètres!B5</f>
        <v>2021</v>
      </c>
      <c r="C2" s="319"/>
      <c r="D2" s="319"/>
      <c r="E2" s="319"/>
      <c r="F2" s="319"/>
      <c r="G2" s="319"/>
      <c r="H2" s="319"/>
      <c r="I2" s="319"/>
      <c r="J2" s="319"/>
      <c r="K2" s="319"/>
      <c r="L2" s="319"/>
      <c r="M2" s="319"/>
      <c r="N2" s="319"/>
      <c r="O2" s="319"/>
      <c r="P2" s="319"/>
      <c r="Q2" s="319"/>
      <c r="R2" s="319"/>
      <c r="S2" s="319"/>
      <c r="T2" s="319"/>
      <c r="U2" s="319"/>
      <c r="V2" s="319"/>
      <c r="W2" s="319"/>
      <c r="X2" s="319"/>
      <c r="Y2" s="319"/>
      <c r="Z2" s="319"/>
    </row>
    <row r="3" spans="1:26" x14ac:dyDescent="0.25">
      <c r="A3" s="328"/>
      <c r="B3" s="317"/>
      <c r="C3" s="318"/>
      <c r="D3" s="317"/>
      <c r="E3" s="317"/>
      <c r="F3" s="317"/>
      <c r="G3" s="317"/>
      <c r="H3" s="317"/>
      <c r="I3" s="317"/>
      <c r="J3" s="317"/>
      <c r="L3" s="320"/>
      <c r="S3" s="317"/>
      <c r="U3" s="333"/>
    </row>
    <row r="4" spans="1:26" s="321" customFormat="1" ht="38.1" customHeight="1" x14ac:dyDescent="0.2">
      <c r="A4" s="564" t="s">
        <v>46</v>
      </c>
      <c r="B4" s="567" t="s">
        <v>541</v>
      </c>
      <c r="C4" s="562" t="s">
        <v>396</v>
      </c>
      <c r="D4" s="571" t="s">
        <v>397</v>
      </c>
      <c r="E4" s="558" t="s">
        <v>250</v>
      </c>
      <c r="F4" s="558" t="s">
        <v>251</v>
      </c>
      <c r="G4" s="558" t="s">
        <v>519</v>
      </c>
      <c r="H4" s="558" t="s">
        <v>520</v>
      </c>
      <c r="I4" s="558" t="s">
        <v>398</v>
      </c>
      <c r="J4" s="558" t="s">
        <v>369</v>
      </c>
      <c r="K4" s="558" t="s">
        <v>370</v>
      </c>
      <c r="L4" s="558" t="s">
        <v>371</v>
      </c>
      <c r="M4" s="558" t="s">
        <v>189</v>
      </c>
      <c r="N4" s="558" t="s">
        <v>190</v>
      </c>
      <c r="O4" s="558" t="s">
        <v>191</v>
      </c>
      <c r="P4" s="558" t="s">
        <v>192</v>
      </c>
      <c r="Q4" s="558" t="s">
        <v>399</v>
      </c>
      <c r="R4" s="558" t="s">
        <v>193</v>
      </c>
      <c r="S4" s="560" t="s">
        <v>518</v>
      </c>
      <c r="T4" s="558" t="s">
        <v>136</v>
      </c>
      <c r="U4" s="562" t="s">
        <v>77</v>
      </c>
      <c r="V4" s="573" t="s">
        <v>431</v>
      </c>
      <c r="W4" s="558" t="s">
        <v>238</v>
      </c>
      <c r="X4" s="558" t="s">
        <v>239</v>
      </c>
      <c r="Y4" s="558" t="s">
        <v>240</v>
      </c>
      <c r="Z4" s="558" t="s">
        <v>477</v>
      </c>
    </row>
    <row r="5" spans="1:26" s="321" customFormat="1" ht="44.25" customHeight="1" x14ac:dyDescent="0.2">
      <c r="A5" s="565"/>
      <c r="B5" s="568"/>
      <c r="C5" s="563"/>
      <c r="D5" s="572"/>
      <c r="E5" s="559"/>
      <c r="F5" s="559"/>
      <c r="G5" s="559"/>
      <c r="H5" s="559"/>
      <c r="I5" s="559"/>
      <c r="J5" s="559"/>
      <c r="K5" s="559"/>
      <c r="L5" s="559"/>
      <c r="M5" s="559"/>
      <c r="N5" s="559"/>
      <c r="O5" s="559"/>
      <c r="P5" s="559"/>
      <c r="Q5" s="570"/>
      <c r="R5" s="559"/>
      <c r="S5" s="561"/>
      <c r="T5" s="559"/>
      <c r="U5" s="563"/>
      <c r="V5" s="574"/>
      <c r="W5" s="570"/>
      <c r="X5" s="570"/>
      <c r="Y5" s="570"/>
      <c r="Z5" s="570"/>
    </row>
    <row r="6" spans="1:26" s="317" customFormat="1" x14ac:dyDescent="0.25">
      <c r="A6" s="566"/>
      <c r="B6" s="569"/>
      <c r="C6" s="334" t="s">
        <v>400</v>
      </c>
      <c r="D6" s="335" t="s">
        <v>401</v>
      </c>
      <c r="E6" s="322" t="s">
        <v>78</v>
      </c>
      <c r="F6" s="322" t="s">
        <v>79</v>
      </c>
      <c r="G6" s="322" t="s">
        <v>402</v>
      </c>
      <c r="H6" s="322" t="s">
        <v>403</v>
      </c>
      <c r="I6" s="322" t="s">
        <v>81</v>
      </c>
      <c r="J6" s="322" t="s">
        <v>82</v>
      </c>
      <c r="K6" s="322" t="s">
        <v>83</v>
      </c>
      <c r="L6" s="322" t="s">
        <v>84</v>
      </c>
      <c r="M6" s="322" t="s">
        <v>85</v>
      </c>
      <c r="N6" s="322" t="s">
        <v>86</v>
      </c>
      <c r="O6" s="322" t="s">
        <v>87</v>
      </c>
      <c r="P6" s="322" t="s">
        <v>88</v>
      </c>
      <c r="Q6" s="559"/>
      <c r="R6" s="322" t="s">
        <v>89</v>
      </c>
      <c r="S6" s="373"/>
      <c r="T6" s="322" t="s">
        <v>90</v>
      </c>
      <c r="U6" s="340">
        <f>+Paramètres!B8</f>
        <v>2021</v>
      </c>
      <c r="V6" s="336">
        <f>+Paramètres!B7</f>
        <v>43099</v>
      </c>
      <c r="W6" s="559"/>
      <c r="X6" s="559"/>
      <c r="Y6" s="570"/>
      <c r="Z6" s="570"/>
    </row>
    <row r="7" spans="1:26" x14ac:dyDescent="0.25">
      <c r="A7" s="329">
        <v>5401</v>
      </c>
      <c r="B7" s="447" t="s">
        <v>253</v>
      </c>
      <c r="C7" s="378">
        <v>12422451.02</v>
      </c>
      <c r="D7" s="378">
        <v>2014234.93</v>
      </c>
      <c r="E7" s="378"/>
      <c r="F7" s="497"/>
      <c r="G7" s="378">
        <v>1321441.6000000001</v>
      </c>
      <c r="H7" s="378">
        <v>120642.4</v>
      </c>
      <c r="I7" s="378">
        <v>55943.199999999997</v>
      </c>
      <c r="J7" s="378">
        <v>596061.34</v>
      </c>
      <c r="K7" s="378">
        <v>242822.05</v>
      </c>
      <c r="L7" s="378">
        <v>2208859.85</v>
      </c>
      <c r="M7" s="323">
        <f t="shared" ref="M7:M69" si="0">SUM(C7:L7)</f>
        <v>18982456.390000001</v>
      </c>
      <c r="N7" s="380">
        <v>1208164.8999999999</v>
      </c>
      <c r="O7" s="380">
        <v>410971.7</v>
      </c>
      <c r="P7" s="380">
        <v>1358488.4</v>
      </c>
      <c r="Q7" s="380">
        <v>78593.5</v>
      </c>
      <c r="R7" s="380">
        <v>428650.15</v>
      </c>
      <c r="S7" s="368">
        <v>163333.5</v>
      </c>
      <c r="T7" s="324">
        <f t="shared" ref="T7:T70" si="1">SUM(M7:S7)</f>
        <v>22630658.539999995</v>
      </c>
      <c r="U7" s="382">
        <v>66</v>
      </c>
      <c r="V7" s="385">
        <v>10828</v>
      </c>
      <c r="W7" s="427">
        <v>-301234.81</v>
      </c>
      <c r="X7" s="434"/>
      <c r="Y7" s="434">
        <v>-9568.57</v>
      </c>
      <c r="Z7" s="437">
        <v>1.2</v>
      </c>
    </row>
    <row r="8" spans="1:26" x14ac:dyDescent="0.25">
      <c r="A8" s="329">
        <v>5402</v>
      </c>
      <c r="B8" s="447" t="s">
        <v>254</v>
      </c>
      <c r="C8" s="378">
        <v>9504770.8900000006</v>
      </c>
      <c r="D8" s="378">
        <v>1557004.18</v>
      </c>
      <c r="E8" s="378"/>
      <c r="F8" s="497"/>
      <c r="G8" s="378">
        <v>690452.05</v>
      </c>
      <c r="H8" s="378">
        <v>144246.85</v>
      </c>
      <c r="I8" s="378">
        <v>117061.85</v>
      </c>
      <c r="J8" s="378">
        <v>311170.89</v>
      </c>
      <c r="K8" s="378">
        <v>109103.9</v>
      </c>
      <c r="L8" s="378">
        <v>1715893.25</v>
      </c>
      <c r="M8" s="323">
        <f t="shared" si="0"/>
        <v>14149703.860000001</v>
      </c>
      <c r="N8" s="380">
        <v>360746.15</v>
      </c>
      <c r="O8" s="380">
        <v>9093.9</v>
      </c>
      <c r="P8" s="380">
        <v>1061413.8500000001</v>
      </c>
      <c r="Q8" s="380">
        <v>76761.88</v>
      </c>
      <c r="R8" s="380">
        <v>515474.3</v>
      </c>
      <c r="S8" s="368">
        <v>94539.77</v>
      </c>
      <c r="T8" s="430">
        <f t="shared" si="1"/>
        <v>16267733.710000003</v>
      </c>
      <c r="U8" s="381">
        <v>71</v>
      </c>
      <c r="V8" s="384">
        <v>8063</v>
      </c>
      <c r="W8" s="427">
        <v>-291750.38</v>
      </c>
      <c r="X8" s="433"/>
      <c r="Y8" s="433">
        <v>-3880.84</v>
      </c>
      <c r="Z8" s="438">
        <v>1.25</v>
      </c>
    </row>
    <row r="9" spans="1:26" x14ac:dyDescent="0.25">
      <c r="A9" s="329">
        <v>5403</v>
      </c>
      <c r="B9" s="447" t="s">
        <v>110</v>
      </c>
      <c r="C9" s="378">
        <v>561479.42000000004</v>
      </c>
      <c r="D9" s="378">
        <v>92599.49</v>
      </c>
      <c r="E9" s="378"/>
      <c r="F9" s="497"/>
      <c r="G9" s="378">
        <v>105721.5</v>
      </c>
      <c r="H9" s="378">
        <v>1436.95</v>
      </c>
      <c r="I9" s="378"/>
      <c r="J9" s="378">
        <v>38914.879999999997</v>
      </c>
      <c r="K9" s="378">
        <v>7613.8</v>
      </c>
      <c r="L9" s="378">
        <v>89239.7</v>
      </c>
      <c r="M9" s="323">
        <f t="shared" si="0"/>
        <v>897005.74</v>
      </c>
      <c r="N9" s="380">
        <v>5448.25</v>
      </c>
      <c r="O9" s="380">
        <v>9021</v>
      </c>
      <c r="P9" s="380">
        <v>69123.399999999994</v>
      </c>
      <c r="Q9" s="380">
        <v>-631.95000000000005</v>
      </c>
      <c r="R9" s="380">
        <v>-305.2</v>
      </c>
      <c r="S9" s="368">
        <v>12136.99</v>
      </c>
      <c r="T9" s="430">
        <f t="shared" si="1"/>
        <v>991798.2300000001</v>
      </c>
      <c r="U9" s="381">
        <v>74</v>
      </c>
      <c r="V9" s="384">
        <v>497</v>
      </c>
      <c r="W9" s="427">
        <v>-13826.16</v>
      </c>
      <c r="X9" s="433"/>
      <c r="Y9" s="433">
        <v>0</v>
      </c>
      <c r="Z9" s="438">
        <v>1</v>
      </c>
    </row>
    <row r="10" spans="1:26" x14ac:dyDescent="0.25">
      <c r="A10" s="329">
        <v>5404</v>
      </c>
      <c r="B10" s="447" t="s">
        <v>111</v>
      </c>
      <c r="C10" s="378">
        <v>619426.31999999995</v>
      </c>
      <c r="D10" s="378">
        <v>140928.51</v>
      </c>
      <c r="E10" s="378"/>
      <c r="F10" s="497"/>
      <c r="G10" s="378">
        <v>273.05</v>
      </c>
      <c r="H10" s="378">
        <v>6621.65</v>
      </c>
      <c r="I10" s="378"/>
      <c r="J10" s="378">
        <v>2548.21</v>
      </c>
      <c r="K10" s="378">
        <v>1699.05</v>
      </c>
      <c r="L10" s="378">
        <v>133133.85</v>
      </c>
      <c r="M10" s="323">
        <f t="shared" si="0"/>
        <v>904630.64</v>
      </c>
      <c r="N10" s="380">
        <v>20708.849999999999</v>
      </c>
      <c r="O10" s="380">
        <v>49601.3</v>
      </c>
      <c r="P10" s="380">
        <v>22659.1</v>
      </c>
      <c r="Q10" s="380"/>
      <c r="R10" s="380">
        <v>24811.85</v>
      </c>
      <c r="S10" s="368">
        <v>780.91</v>
      </c>
      <c r="T10" s="430">
        <f t="shared" si="1"/>
        <v>1023192.65</v>
      </c>
      <c r="U10" s="381">
        <v>74</v>
      </c>
      <c r="V10" s="384">
        <v>439</v>
      </c>
      <c r="W10" s="427">
        <v>-3920.21</v>
      </c>
      <c r="X10" s="433"/>
      <c r="Y10" s="433">
        <v>-110.6</v>
      </c>
      <c r="Z10" s="438">
        <v>1.5</v>
      </c>
    </row>
    <row r="11" spans="1:26" x14ac:dyDescent="0.25">
      <c r="A11" s="329">
        <v>5405</v>
      </c>
      <c r="B11" s="447" t="s">
        <v>112</v>
      </c>
      <c r="C11" s="378">
        <v>2987706.78</v>
      </c>
      <c r="D11" s="378">
        <v>1368999.81</v>
      </c>
      <c r="E11" s="378"/>
      <c r="F11" s="497"/>
      <c r="G11" s="378">
        <v>90253.15</v>
      </c>
      <c r="H11" s="378">
        <v>5021.95</v>
      </c>
      <c r="I11" s="378">
        <v>386758.04</v>
      </c>
      <c r="J11" s="378">
        <v>112374.65</v>
      </c>
      <c r="K11" s="378">
        <v>-747.3</v>
      </c>
      <c r="L11" s="378">
        <v>1205640.6000000001</v>
      </c>
      <c r="M11" s="323">
        <f t="shared" si="0"/>
        <v>6156007.6800000016</v>
      </c>
      <c r="N11" s="380">
        <v>4448.5</v>
      </c>
      <c r="O11" s="380">
        <v>51326.7</v>
      </c>
      <c r="P11" s="380">
        <v>756851.5</v>
      </c>
      <c r="Q11" s="380">
        <v>23617.99</v>
      </c>
      <c r="R11" s="380">
        <v>645085.5</v>
      </c>
      <c r="S11" s="368">
        <v>10791.06</v>
      </c>
      <c r="T11" s="430">
        <f t="shared" si="1"/>
        <v>7648128.9300000016</v>
      </c>
      <c r="U11" s="381">
        <v>73.5</v>
      </c>
      <c r="V11" s="384">
        <v>1382</v>
      </c>
      <c r="W11" s="427">
        <v>-44847.199999999997</v>
      </c>
      <c r="X11" s="433"/>
      <c r="Y11" s="433">
        <v>-2520.9</v>
      </c>
      <c r="Z11" s="438">
        <v>1.5</v>
      </c>
    </row>
    <row r="12" spans="1:26" x14ac:dyDescent="0.25">
      <c r="A12" s="329">
        <v>5406</v>
      </c>
      <c r="B12" s="447" t="s">
        <v>113</v>
      </c>
      <c r="C12" s="378">
        <v>1133296.45</v>
      </c>
      <c r="D12" s="378">
        <v>170643.02</v>
      </c>
      <c r="E12" s="378"/>
      <c r="F12" s="497"/>
      <c r="G12" s="378">
        <v>30933</v>
      </c>
      <c r="H12" s="378">
        <v>10633.55</v>
      </c>
      <c r="I12" s="378"/>
      <c r="J12" s="378">
        <v>53070.03</v>
      </c>
      <c r="K12" s="378">
        <v>10325.5</v>
      </c>
      <c r="L12" s="378">
        <v>203746.2</v>
      </c>
      <c r="M12" s="323">
        <f t="shared" si="0"/>
        <v>1612647.75</v>
      </c>
      <c r="N12" s="380">
        <v>1948.95</v>
      </c>
      <c r="O12" s="380">
        <v>11382</v>
      </c>
      <c r="P12" s="380">
        <v>81126.600000000006</v>
      </c>
      <c r="Q12" s="380">
        <v>528.94000000000005</v>
      </c>
      <c r="R12" s="380">
        <v>7487.45</v>
      </c>
      <c r="S12" s="368">
        <v>4707.92</v>
      </c>
      <c r="T12" s="430">
        <f t="shared" si="1"/>
        <v>1719829.6099999999</v>
      </c>
      <c r="U12" s="381">
        <v>71.5</v>
      </c>
      <c r="V12" s="384">
        <v>966</v>
      </c>
      <c r="W12" s="427">
        <v>-32622.91</v>
      </c>
      <c r="X12" s="433"/>
      <c r="Y12" s="433">
        <v>-5.0599999999999996</v>
      </c>
      <c r="Z12" s="438">
        <v>1.3</v>
      </c>
    </row>
    <row r="13" spans="1:26" x14ac:dyDescent="0.25">
      <c r="A13" s="329">
        <v>5407</v>
      </c>
      <c r="B13" s="447" t="s">
        <v>114</v>
      </c>
      <c r="C13" s="378">
        <v>4270722.7699999996</v>
      </c>
      <c r="D13" s="378">
        <v>1063755.97</v>
      </c>
      <c r="E13" s="378"/>
      <c r="F13" s="497"/>
      <c r="G13" s="378">
        <v>97531.85</v>
      </c>
      <c r="H13" s="378">
        <v>126084.6</v>
      </c>
      <c r="I13" s="378">
        <v>211498.75</v>
      </c>
      <c r="J13" s="378">
        <v>456345.87</v>
      </c>
      <c r="K13" s="378">
        <v>56260.45</v>
      </c>
      <c r="L13" s="378">
        <v>1273794.1000000001</v>
      </c>
      <c r="M13" s="323">
        <f t="shared" si="0"/>
        <v>7555994.3599999994</v>
      </c>
      <c r="N13" s="380">
        <v>85323.25</v>
      </c>
      <c r="O13" s="380">
        <v>260687.7</v>
      </c>
      <c r="P13" s="380">
        <v>500748.79999999999</v>
      </c>
      <c r="Q13" s="380">
        <v>11033.17</v>
      </c>
      <c r="R13" s="380">
        <v>341066.9</v>
      </c>
      <c r="S13" s="368">
        <v>25327.27</v>
      </c>
      <c r="T13" s="430">
        <f t="shared" si="1"/>
        <v>8780181.4499999993</v>
      </c>
      <c r="U13" s="381">
        <v>78</v>
      </c>
      <c r="V13" s="384">
        <v>3637</v>
      </c>
      <c r="W13" s="427">
        <v>-89906.13</v>
      </c>
      <c r="X13" s="433"/>
      <c r="Y13" s="433">
        <v>-4230.0200000000004</v>
      </c>
      <c r="Z13" s="438">
        <v>1.5</v>
      </c>
    </row>
    <row r="14" spans="1:26" x14ac:dyDescent="0.25">
      <c r="A14" s="329">
        <v>5408</v>
      </c>
      <c r="B14" s="447" t="s">
        <v>115</v>
      </c>
      <c r="C14" s="378">
        <v>2238809.2200000002</v>
      </c>
      <c r="D14" s="378">
        <v>344695.73</v>
      </c>
      <c r="E14" s="378"/>
      <c r="F14" s="497"/>
      <c r="G14" s="378">
        <v>212558.7</v>
      </c>
      <c r="H14" s="378">
        <v>28951.35</v>
      </c>
      <c r="I14" s="378"/>
      <c r="J14" s="378">
        <v>58629.81</v>
      </c>
      <c r="K14" s="378">
        <v>25719.3</v>
      </c>
      <c r="L14" s="378">
        <v>518029.6</v>
      </c>
      <c r="M14" s="323">
        <f t="shared" si="0"/>
        <v>3427393.7100000004</v>
      </c>
      <c r="N14" s="380">
        <v>139810.25</v>
      </c>
      <c r="O14" s="380"/>
      <c r="P14" s="380">
        <v>378889</v>
      </c>
      <c r="Q14" s="380">
        <v>548.74</v>
      </c>
      <c r="R14" s="380">
        <v>65793.05</v>
      </c>
      <c r="S14" s="368">
        <v>27353.94</v>
      </c>
      <c r="T14" s="430">
        <f t="shared" si="1"/>
        <v>4039788.6900000004</v>
      </c>
      <c r="U14" s="381">
        <v>78.5</v>
      </c>
      <c r="V14" s="384">
        <v>1169</v>
      </c>
      <c r="W14" s="427">
        <v>-33424.71</v>
      </c>
      <c r="X14" s="433"/>
      <c r="Y14" s="433">
        <v>-123.9</v>
      </c>
      <c r="Z14" s="438">
        <v>1.5</v>
      </c>
    </row>
    <row r="15" spans="1:26" x14ac:dyDescent="0.25">
      <c r="A15" s="329">
        <v>5409</v>
      </c>
      <c r="B15" s="447" t="s">
        <v>116</v>
      </c>
      <c r="C15" s="378">
        <v>15221501.82</v>
      </c>
      <c r="D15" s="378">
        <v>6786359.1200000001</v>
      </c>
      <c r="E15" s="378"/>
      <c r="F15" s="497"/>
      <c r="G15" s="378">
        <v>680316.1</v>
      </c>
      <c r="H15" s="378">
        <v>95595.05</v>
      </c>
      <c r="I15" s="378">
        <v>2580549.39</v>
      </c>
      <c r="J15" s="378">
        <v>665284.18000000005</v>
      </c>
      <c r="K15" s="378">
        <v>76424.5</v>
      </c>
      <c r="L15" s="378">
        <v>4155077.85</v>
      </c>
      <c r="M15" s="323">
        <f t="shared" si="0"/>
        <v>30261108.010000005</v>
      </c>
      <c r="N15" s="380">
        <v>83657.55</v>
      </c>
      <c r="O15" s="380">
        <v>3308119.65</v>
      </c>
      <c r="P15" s="380">
        <v>2981009.85</v>
      </c>
      <c r="Q15" s="380">
        <v>258393.78</v>
      </c>
      <c r="R15" s="380">
        <v>1526736</v>
      </c>
      <c r="S15" s="368">
        <v>87881.35</v>
      </c>
      <c r="T15" s="430">
        <f t="shared" si="1"/>
        <v>38506906.190000013</v>
      </c>
      <c r="U15" s="381">
        <v>68</v>
      </c>
      <c r="V15" s="384">
        <v>7904</v>
      </c>
      <c r="W15" s="427">
        <v>-491179.55</v>
      </c>
      <c r="X15" s="433"/>
      <c r="Y15" s="433">
        <v>-35458.14</v>
      </c>
      <c r="Z15" s="438">
        <v>1.3</v>
      </c>
    </row>
    <row r="16" spans="1:26" x14ac:dyDescent="0.25">
      <c r="A16" s="329">
        <v>5410</v>
      </c>
      <c r="B16" s="447" t="s">
        <v>128</v>
      </c>
      <c r="C16" s="378">
        <v>1826918.67</v>
      </c>
      <c r="D16" s="378">
        <v>597142.54</v>
      </c>
      <c r="E16" s="378"/>
      <c r="F16" s="497"/>
      <c r="G16" s="378">
        <v>28854.3</v>
      </c>
      <c r="H16" s="378">
        <v>3703.1</v>
      </c>
      <c r="I16" s="378"/>
      <c r="J16" s="378">
        <v>57273.55</v>
      </c>
      <c r="K16" s="378">
        <v>12013.85</v>
      </c>
      <c r="L16" s="378">
        <v>589806.6</v>
      </c>
      <c r="M16" s="323">
        <f t="shared" si="0"/>
        <v>3115712.61</v>
      </c>
      <c r="N16" s="380">
        <v>13127.75</v>
      </c>
      <c r="O16" s="380">
        <v>209907.6</v>
      </c>
      <c r="P16" s="380">
        <v>222863.15</v>
      </c>
      <c r="Q16" s="380">
        <v>68947.58</v>
      </c>
      <c r="R16" s="380">
        <v>217531.4</v>
      </c>
      <c r="S16" s="368">
        <v>3687.52</v>
      </c>
      <c r="T16" s="430">
        <f t="shared" si="1"/>
        <v>3851777.61</v>
      </c>
      <c r="U16" s="381">
        <v>77</v>
      </c>
      <c r="V16" s="384">
        <v>1162</v>
      </c>
      <c r="W16" s="427">
        <v>-18212.55</v>
      </c>
      <c r="X16" s="433"/>
      <c r="Y16" s="433">
        <v>-228.16</v>
      </c>
      <c r="Z16" s="438">
        <v>1.5</v>
      </c>
    </row>
    <row r="17" spans="1:26" x14ac:dyDescent="0.25">
      <c r="A17" s="329">
        <v>5411</v>
      </c>
      <c r="B17" s="447" t="s">
        <v>129</v>
      </c>
      <c r="C17" s="378">
        <v>3282407.15</v>
      </c>
      <c r="D17" s="378">
        <v>1412427.06</v>
      </c>
      <c r="E17" s="378"/>
      <c r="F17" s="497"/>
      <c r="G17" s="378">
        <v>83187.75</v>
      </c>
      <c r="H17" s="378">
        <v>21352.55</v>
      </c>
      <c r="I17" s="378">
        <v>118306.4</v>
      </c>
      <c r="J17" s="378">
        <v>142093.76999999999</v>
      </c>
      <c r="K17" s="378">
        <v>14419.25</v>
      </c>
      <c r="L17" s="378">
        <v>1273088.8999999999</v>
      </c>
      <c r="M17" s="323">
        <f t="shared" si="0"/>
        <v>6347282.8300000001</v>
      </c>
      <c r="N17" s="380">
        <v>8538.2000000000007</v>
      </c>
      <c r="O17" s="380">
        <v>46659.6</v>
      </c>
      <c r="P17" s="380">
        <v>527910.9</v>
      </c>
      <c r="Q17" s="380">
        <v>5781.12</v>
      </c>
      <c r="R17" s="380">
        <v>451099.35</v>
      </c>
      <c r="S17" s="368">
        <v>11840.46</v>
      </c>
      <c r="T17" s="430">
        <f t="shared" si="1"/>
        <v>7399112.46</v>
      </c>
      <c r="U17" s="381">
        <v>76</v>
      </c>
      <c r="V17" s="384">
        <v>1451</v>
      </c>
      <c r="W17" s="427">
        <v>-53846.27</v>
      </c>
      <c r="X17" s="433"/>
      <c r="Y17" s="433">
        <v>-3427.92</v>
      </c>
      <c r="Z17" s="438">
        <v>1.5</v>
      </c>
    </row>
    <row r="18" spans="1:26" x14ac:dyDescent="0.25">
      <c r="A18" s="329">
        <v>5412</v>
      </c>
      <c r="B18" s="447" t="s">
        <v>130</v>
      </c>
      <c r="C18" s="378">
        <v>1179470.7</v>
      </c>
      <c r="D18" s="378">
        <v>143282.57999999999</v>
      </c>
      <c r="E18" s="378"/>
      <c r="F18" s="497"/>
      <c r="G18" s="378">
        <v>173237.2</v>
      </c>
      <c r="H18" s="378">
        <v>9813.9</v>
      </c>
      <c r="I18" s="378"/>
      <c r="J18" s="378">
        <v>92707.5</v>
      </c>
      <c r="K18" s="378">
        <v>48156.45</v>
      </c>
      <c r="L18" s="378">
        <v>352477.6</v>
      </c>
      <c r="M18" s="323">
        <f t="shared" si="0"/>
        <v>1999145.9299999997</v>
      </c>
      <c r="N18" s="380">
        <v>939726.85</v>
      </c>
      <c r="O18" s="380"/>
      <c r="P18" s="380">
        <v>72356.100000000006</v>
      </c>
      <c r="Q18" s="380">
        <v>266.27999999999997</v>
      </c>
      <c r="R18" s="380">
        <v>50258.15</v>
      </c>
      <c r="S18" s="368">
        <v>20732.759999999998</v>
      </c>
      <c r="T18" s="430">
        <f t="shared" si="1"/>
        <v>3082486.0699999994</v>
      </c>
      <c r="U18" s="381">
        <v>69</v>
      </c>
      <c r="V18" s="384">
        <v>883</v>
      </c>
      <c r="W18" s="427">
        <v>-27629.17</v>
      </c>
      <c r="X18" s="433"/>
      <c r="Y18" s="433">
        <v>-71.84</v>
      </c>
      <c r="Z18" s="438">
        <v>1</v>
      </c>
    </row>
    <row r="19" spans="1:26" x14ac:dyDescent="0.25">
      <c r="A19" s="329">
        <v>5413</v>
      </c>
      <c r="B19" s="447" t="s">
        <v>131</v>
      </c>
      <c r="C19" s="378">
        <v>2251085.61</v>
      </c>
      <c r="D19" s="378">
        <v>191822.61</v>
      </c>
      <c r="E19" s="378"/>
      <c r="F19" s="497"/>
      <c r="G19" s="378">
        <v>128199.75</v>
      </c>
      <c r="H19" s="378">
        <v>7631.15</v>
      </c>
      <c r="I19" s="378"/>
      <c r="J19" s="378">
        <v>79364.179999999993</v>
      </c>
      <c r="K19" s="378">
        <v>33412.050000000003</v>
      </c>
      <c r="L19" s="378">
        <v>341588.85</v>
      </c>
      <c r="M19" s="323">
        <f t="shared" si="0"/>
        <v>3033104.1999999997</v>
      </c>
      <c r="N19" s="380">
        <v>228687.95</v>
      </c>
      <c r="O19" s="380">
        <v>675121.8</v>
      </c>
      <c r="P19" s="380">
        <v>130658.45</v>
      </c>
      <c r="Q19" s="380">
        <v>14864.84</v>
      </c>
      <c r="R19" s="380">
        <v>59414.85</v>
      </c>
      <c r="S19" s="368">
        <v>15384.5</v>
      </c>
      <c r="T19" s="430">
        <f t="shared" si="1"/>
        <v>4157236.5900000003</v>
      </c>
      <c r="U19" s="381">
        <v>68</v>
      </c>
      <c r="V19" s="384">
        <v>1874</v>
      </c>
      <c r="W19" s="427">
        <v>-72050.83</v>
      </c>
      <c r="X19" s="433"/>
      <c r="Y19" s="433">
        <v>-270.43</v>
      </c>
      <c r="Z19" s="438">
        <v>1.2</v>
      </c>
    </row>
    <row r="20" spans="1:26" x14ac:dyDescent="0.25">
      <c r="A20" s="329">
        <v>5414</v>
      </c>
      <c r="B20" s="447" t="s">
        <v>132</v>
      </c>
      <c r="C20" s="378">
        <v>7586340.4699999997</v>
      </c>
      <c r="D20" s="378">
        <v>1389159.9</v>
      </c>
      <c r="E20" s="378"/>
      <c r="F20" s="497"/>
      <c r="G20" s="378">
        <v>1119346.3500000001</v>
      </c>
      <c r="H20" s="378">
        <v>617167.65</v>
      </c>
      <c r="I20" s="378">
        <v>105516.83</v>
      </c>
      <c r="J20" s="378">
        <v>287772.21000000002</v>
      </c>
      <c r="K20" s="378">
        <v>166580.79999999999</v>
      </c>
      <c r="L20" s="378">
        <v>1279790.05</v>
      </c>
      <c r="M20" s="323">
        <f t="shared" si="0"/>
        <v>12551674.260000002</v>
      </c>
      <c r="N20" s="380">
        <v>1493353.75</v>
      </c>
      <c r="O20" s="380">
        <v>383509.6</v>
      </c>
      <c r="P20" s="380">
        <v>790753.4</v>
      </c>
      <c r="Q20" s="380">
        <v>48284.82</v>
      </c>
      <c r="R20" s="380">
        <v>513080.9</v>
      </c>
      <c r="S20" s="368">
        <v>196681.27</v>
      </c>
      <c r="T20" s="430">
        <f t="shared" si="1"/>
        <v>15977338.000000002</v>
      </c>
      <c r="U20" s="381">
        <v>67.5</v>
      </c>
      <c r="V20" s="384">
        <v>5921</v>
      </c>
      <c r="W20" s="427">
        <v>-256999.15</v>
      </c>
      <c r="X20" s="433"/>
      <c r="Y20" s="433">
        <v>-4067.22</v>
      </c>
      <c r="Z20" s="438">
        <v>1</v>
      </c>
    </row>
    <row r="21" spans="1:26" x14ac:dyDescent="0.25">
      <c r="A21" s="329">
        <v>5415</v>
      </c>
      <c r="B21" s="447" t="s">
        <v>71</v>
      </c>
      <c r="C21" s="378">
        <v>1780737.35</v>
      </c>
      <c r="D21" s="378">
        <v>357400.28</v>
      </c>
      <c r="E21" s="378"/>
      <c r="F21" s="497"/>
      <c r="G21" s="378">
        <v>112040.2</v>
      </c>
      <c r="H21" s="378">
        <v>4793.6000000000004</v>
      </c>
      <c r="I21" s="378">
        <v>2064.5</v>
      </c>
      <c r="J21" s="378">
        <v>54660.11</v>
      </c>
      <c r="K21" s="378">
        <v>12842.7</v>
      </c>
      <c r="L21" s="378">
        <v>355676.05</v>
      </c>
      <c r="M21" s="323">
        <f t="shared" si="0"/>
        <v>2680214.79</v>
      </c>
      <c r="N21" s="380">
        <v>34692.85</v>
      </c>
      <c r="O21" s="380">
        <v>187794.7</v>
      </c>
      <c r="P21" s="380">
        <v>171774.5</v>
      </c>
      <c r="Q21" s="380">
        <v>7899.57</v>
      </c>
      <c r="R21" s="380">
        <v>187309.7</v>
      </c>
      <c r="S21" s="368">
        <v>13232.84</v>
      </c>
      <c r="T21" s="430">
        <f t="shared" si="1"/>
        <v>3282918.95</v>
      </c>
      <c r="U21" s="381">
        <v>71.5</v>
      </c>
      <c r="V21" s="384">
        <v>1038</v>
      </c>
      <c r="W21" s="427">
        <v>-15188.45</v>
      </c>
      <c r="X21" s="433"/>
      <c r="Y21" s="433">
        <v>-15.43</v>
      </c>
      <c r="Z21" s="438">
        <v>1.5</v>
      </c>
    </row>
    <row r="22" spans="1:26" x14ac:dyDescent="0.25">
      <c r="A22" s="329">
        <v>5421</v>
      </c>
      <c r="B22" s="447" t="s">
        <v>72</v>
      </c>
      <c r="C22" s="378">
        <v>3659734.47</v>
      </c>
      <c r="D22" s="378">
        <v>755278.06</v>
      </c>
      <c r="E22" s="378"/>
      <c r="F22" s="497"/>
      <c r="G22" s="378">
        <v>70160.850000000006</v>
      </c>
      <c r="H22" s="378">
        <v>-1965.05</v>
      </c>
      <c r="I22" s="378">
        <v>67515.199999999997</v>
      </c>
      <c r="J22" s="378">
        <v>248770.09</v>
      </c>
      <c r="K22" s="378">
        <v>12159.5</v>
      </c>
      <c r="L22" s="378">
        <v>304550.09999999998</v>
      </c>
      <c r="M22" s="323">
        <f t="shared" si="0"/>
        <v>5116203.22</v>
      </c>
      <c r="N22" s="380">
        <v>45116.9</v>
      </c>
      <c r="O22" s="380">
        <v>327824</v>
      </c>
      <c r="P22" s="380">
        <v>277414.15000000002</v>
      </c>
      <c r="Q22" s="380">
        <v>481.99</v>
      </c>
      <c r="R22" s="380">
        <v>220334.4</v>
      </c>
      <c r="S22" s="368">
        <v>7724</v>
      </c>
      <c r="T22" s="430">
        <f t="shared" si="1"/>
        <v>5995098.6600000011</v>
      </c>
      <c r="U22" s="381">
        <v>74</v>
      </c>
      <c r="V22" s="384">
        <v>1469</v>
      </c>
      <c r="W22" s="427">
        <v>-47532.639999999999</v>
      </c>
      <c r="X22" s="433"/>
      <c r="Y22" s="433">
        <v>-5534.6</v>
      </c>
      <c r="Z22" s="438">
        <v>1</v>
      </c>
    </row>
    <row r="23" spans="1:26" x14ac:dyDescent="0.25">
      <c r="A23" s="329">
        <v>5422</v>
      </c>
      <c r="B23" s="447" t="s">
        <v>73</v>
      </c>
      <c r="C23" s="378">
        <v>10262114.060000001</v>
      </c>
      <c r="D23" s="378">
        <v>1587644.92</v>
      </c>
      <c r="E23" s="378"/>
      <c r="F23" s="497"/>
      <c r="G23" s="378">
        <v>10700136.550000001</v>
      </c>
      <c r="H23" s="378">
        <v>237262.6</v>
      </c>
      <c r="I23" s="378">
        <v>213869.35</v>
      </c>
      <c r="J23" s="378">
        <v>355439.33</v>
      </c>
      <c r="K23" s="378">
        <v>133262.20000000001</v>
      </c>
      <c r="L23" s="378">
        <v>1109072.3700000001</v>
      </c>
      <c r="M23" s="323">
        <f t="shared" si="0"/>
        <v>24598801.380000003</v>
      </c>
      <c r="N23" s="380">
        <v>962173.15</v>
      </c>
      <c r="O23" s="380">
        <v>889968.1</v>
      </c>
      <c r="P23" s="380">
        <v>346638.6</v>
      </c>
      <c r="Q23" s="380">
        <v>11849.31</v>
      </c>
      <c r="R23" s="380">
        <v>227086.8</v>
      </c>
      <c r="S23" s="368">
        <v>1238793.07</v>
      </c>
      <c r="T23" s="430">
        <f t="shared" si="1"/>
        <v>28275310.410000004</v>
      </c>
      <c r="U23" s="381">
        <v>70</v>
      </c>
      <c r="V23" s="384">
        <v>3781</v>
      </c>
      <c r="W23" s="427">
        <v>-311685.46999999997</v>
      </c>
      <c r="X23" s="433"/>
      <c r="Y23" s="433">
        <v>-8304.34</v>
      </c>
      <c r="Z23" s="438">
        <v>1</v>
      </c>
    </row>
    <row r="24" spans="1:26" x14ac:dyDescent="0.25">
      <c r="A24" s="329">
        <v>5423</v>
      </c>
      <c r="B24" s="447" t="s">
        <v>74</v>
      </c>
      <c r="C24" s="378">
        <v>941804.45</v>
      </c>
      <c r="D24" s="378">
        <v>131352.92000000001</v>
      </c>
      <c r="E24" s="378"/>
      <c r="F24" s="497"/>
      <c r="G24" s="378">
        <v>6790.5</v>
      </c>
      <c r="H24" s="378">
        <v>848.2</v>
      </c>
      <c r="I24" s="378"/>
      <c r="J24" s="378">
        <v>43203.64</v>
      </c>
      <c r="K24" s="378">
        <v>2520.85</v>
      </c>
      <c r="L24" s="378">
        <v>40647.5</v>
      </c>
      <c r="M24" s="323">
        <f t="shared" si="0"/>
        <v>1167168.0599999998</v>
      </c>
      <c r="N24" s="380">
        <v>23690.6</v>
      </c>
      <c r="O24" s="380"/>
      <c r="P24" s="380">
        <v>50178.5</v>
      </c>
      <c r="Q24" s="380"/>
      <c r="R24" s="380">
        <v>95709.2</v>
      </c>
      <c r="S24" s="368">
        <v>865.18</v>
      </c>
      <c r="T24" s="430">
        <f t="shared" si="1"/>
        <v>1337611.5399999998</v>
      </c>
      <c r="U24" s="381">
        <v>73</v>
      </c>
      <c r="V24" s="384">
        <v>567</v>
      </c>
      <c r="W24" s="427">
        <v>-26486.6</v>
      </c>
      <c r="X24" s="433"/>
      <c r="Y24" s="433">
        <v>0</v>
      </c>
      <c r="Z24" s="438">
        <v>0.5</v>
      </c>
    </row>
    <row r="25" spans="1:26" x14ac:dyDescent="0.25">
      <c r="A25" s="329">
        <v>5424</v>
      </c>
      <c r="B25" s="447" t="s">
        <v>75</v>
      </c>
      <c r="C25" s="378">
        <v>514059.66</v>
      </c>
      <c r="D25" s="378">
        <v>55965.24</v>
      </c>
      <c r="E25" s="378"/>
      <c r="F25" s="497"/>
      <c r="G25" s="378">
        <v>2430.9499999999998</v>
      </c>
      <c r="H25" s="378">
        <v>602.9</v>
      </c>
      <c r="I25" s="378">
        <v>46446.65</v>
      </c>
      <c r="J25" s="378">
        <v>9616.0499999999993</v>
      </c>
      <c r="K25" s="378">
        <v>766</v>
      </c>
      <c r="L25" s="378">
        <v>50516.6</v>
      </c>
      <c r="M25" s="323">
        <f t="shared" si="0"/>
        <v>680404.05</v>
      </c>
      <c r="N25" s="380"/>
      <c r="O25" s="380">
        <v>2072.3000000000002</v>
      </c>
      <c r="P25" s="380">
        <v>26028.2</v>
      </c>
      <c r="Q25" s="380"/>
      <c r="R25" s="380">
        <v>3468.45</v>
      </c>
      <c r="S25" s="368">
        <v>343.62</v>
      </c>
      <c r="T25" s="430">
        <f t="shared" si="1"/>
        <v>712316.62</v>
      </c>
      <c r="U25" s="381">
        <v>75.5</v>
      </c>
      <c r="V25" s="384">
        <v>308</v>
      </c>
      <c r="W25" s="427">
        <v>-53783.7</v>
      </c>
      <c r="X25" s="433"/>
      <c r="Y25" s="433">
        <v>-172.9</v>
      </c>
      <c r="Z25" s="438">
        <v>1</v>
      </c>
    </row>
    <row r="26" spans="1:26" x14ac:dyDescent="0.25">
      <c r="A26" s="329">
        <v>5425</v>
      </c>
      <c r="B26" s="447" t="s">
        <v>76</v>
      </c>
      <c r="C26" s="378">
        <v>2313458.9700000002</v>
      </c>
      <c r="D26" s="378">
        <v>280521.11</v>
      </c>
      <c r="E26" s="378"/>
      <c r="F26" s="497"/>
      <c r="G26" s="378">
        <v>258664.8</v>
      </c>
      <c r="H26" s="378">
        <v>34672.85</v>
      </c>
      <c r="I26" s="378"/>
      <c r="J26" s="378">
        <v>67129.86</v>
      </c>
      <c r="K26" s="378">
        <v>17852.900000000001</v>
      </c>
      <c r="L26" s="378">
        <v>124893.1</v>
      </c>
      <c r="M26" s="323">
        <f t="shared" si="0"/>
        <v>3097193.59</v>
      </c>
      <c r="N26" s="380">
        <v>73221.8</v>
      </c>
      <c r="O26" s="380">
        <v>74117.899999999994</v>
      </c>
      <c r="P26" s="380">
        <v>108800.15</v>
      </c>
      <c r="Q26" s="380">
        <v>5589.58</v>
      </c>
      <c r="R26" s="380">
        <v>99329</v>
      </c>
      <c r="S26" s="368">
        <v>33224.050000000003</v>
      </c>
      <c r="T26" s="430">
        <f t="shared" si="1"/>
        <v>3491476.0699999994</v>
      </c>
      <c r="U26" s="381">
        <v>69</v>
      </c>
      <c r="V26" s="384">
        <v>1634</v>
      </c>
      <c r="W26" s="427">
        <v>-174243.94</v>
      </c>
      <c r="X26" s="433"/>
      <c r="Y26" s="433">
        <v>-298.74</v>
      </c>
      <c r="Z26" s="438">
        <v>0.57999999999999996</v>
      </c>
    </row>
    <row r="27" spans="1:26" x14ac:dyDescent="0.25">
      <c r="A27" s="329">
        <v>5426</v>
      </c>
      <c r="B27" s="447" t="s">
        <v>70</v>
      </c>
      <c r="C27" s="378">
        <v>1771140.38</v>
      </c>
      <c r="D27" s="378">
        <v>612801.13</v>
      </c>
      <c r="E27" s="378"/>
      <c r="F27" s="497"/>
      <c r="G27" s="378">
        <v>4513.6499999999996</v>
      </c>
      <c r="H27" s="378">
        <v>2542.6</v>
      </c>
      <c r="I27" s="378">
        <v>736141.55</v>
      </c>
      <c r="J27" s="378">
        <v>6633.74</v>
      </c>
      <c r="K27" s="378">
        <v>4216.3</v>
      </c>
      <c r="L27" s="378">
        <v>357752.05</v>
      </c>
      <c r="M27" s="323">
        <f t="shared" si="0"/>
        <v>3495741.3999999994</v>
      </c>
      <c r="N27" s="380">
        <v>12144.3</v>
      </c>
      <c r="O27" s="380">
        <v>1955529</v>
      </c>
      <c r="P27" s="380">
        <v>183230.2</v>
      </c>
      <c r="Q27" s="380"/>
      <c r="R27" s="380">
        <v>69511.05</v>
      </c>
      <c r="S27" s="368">
        <v>799.21</v>
      </c>
      <c r="T27" s="430">
        <f t="shared" si="1"/>
        <v>5716955.1599999992</v>
      </c>
      <c r="U27" s="381">
        <v>64.5</v>
      </c>
      <c r="V27" s="384">
        <v>497</v>
      </c>
      <c r="W27" s="427">
        <v>-9230.2999999999993</v>
      </c>
      <c r="X27" s="433"/>
      <c r="Y27" s="433">
        <v>-6365.13</v>
      </c>
      <c r="Z27" s="438">
        <v>1.2</v>
      </c>
    </row>
    <row r="28" spans="1:26" x14ac:dyDescent="0.25">
      <c r="A28" s="329">
        <v>5427</v>
      </c>
      <c r="B28" s="447" t="s">
        <v>332</v>
      </c>
      <c r="C28" s="378">
        <v>3335493.39</v>
      </c>
      <c r="D28" s="378">
        <v>1020396.3</v>
      </c>
      <c r="E28" s="378"/>
      <c r="F28" s="497"/>
      <c r="G28" s="378">
        <v>57118.7</v>
      </c>
      <c r="H28" s="378">
        <v>8063.25</v>
      </c>
      <c r="I28" s="378">
        <v>836549.25</v>
      </c>
      <c r="J28" s="378">
        <v>48332.75</v>
      </c>
      <c r="K28" s="378">
        <v>0</v>
      </c>
      <c r="L28" s="378">
        <v>471371.6</v>
      </c>
      <c r="M28" s="323">
        <f t="shared" si="0"/>
        <v>5777325.2400000002</v>
      </c>
      <c r="N28" s="380">
        <v>12746.65</v>
      </c>
      <c r="O28" s="380">
        <v>5395.5</v>
      </c>
      <c r="P28" s="380">
        <v>224038.1</v>
      </c>
      <c r="Q28" s="380">
        <v>486.65</v>
      </c>
      <c r="R28" s="380">
        <v>196256.7</v>
      </c>
      <c r="S28" s="368">
        <v>7382.65</v>
      </c>
      <c r="T28" s="430">
        <f t="shared" si="1"/>
        <v>6223631.4900000012</v>
      </c>
      <c r="U28" s="381">
        <v>64</v>
      </c>
      <c r="V28" s="384">
        <v>893</v>
      </c>
      <c r="W28" s="427">
        <v>-29525.919999999998</v>
      </c>
      <c r="X28" s="433"/>
      <c r="Y28" s="433">
        <v>-1109.8499999999999</v>
      </c>
      <c r="Z28" s="438">
        <v>1.3</v>
      </c>
    </row>
    <row r="29" spans="1:26" x14ac:dyDescent="0.25">
      <c r="A29" s="329">
        <v>5428</v>
      </c>
      <c r="B29" s="447" t="s">
        <v>333</v>
      </c>
      <c r="C29" s="378">
        <v>4244196.3899999997</v>
      </c>
      <c r="D29" s="378">
        <v>511785.94</v>
      </c>
      <c r="E29" s="378"/>
      <c r="F29" s="497"/>
      <c r="G29" s="378">
        <v>15522.4</v>
      </c>
      <c r="H29" s="378">
        <v>7893.65</v>
      </c>
      <c r="I29" s="378"/>
      <c r="J29" s="378">
        <v>132596.54</v>
      </c>
      <c r="K29" s="378">
        <v>13774.6</v>
      </c>
      <c r="L29" s="378">
        <v>477035.3</v>
      </c>
      <c r="M29" s="323">
        <f t="shared" si="0"/>
        <v>5402804.8200000003</v>
      </c>
      <c r="N29" s="380">
        <v>253111.45</v>
      </c>
      <c r="O29" s="380">
        <v>150717.29999999999</v>
      </c>
      <c r="P29" s="380">
        <v>295624.59999999998</v>
      </c>
      <c r="Q29" s="380">
        <v>29101.13</v>
      </c>
      <c r="R29" s="380">
        <v>242105.65</v>
      </c>
      <c r="S29" s="368">
        <v>2652.15</v>
      </c>
      <c r="T29" s="430">
        <f t="shared" si="1"/>
        <v>6376117.1000000006</v>
      </c>
      <c r="U29" s="381">
        <v>74.5</v>
      </c>
      <c r="V29" s="384">
        <v>2402</v>
      </c>
      <c r="W29" s="427">
        <v>-98183.12</v>
      </c>
      <c r="X29" s="433"/>
      <c r="Y29" s="433">
        <v>-246.03</v>
      </c>
      <c r="Z29" s="438">
        <v>1.2</v>
      </c>
    </row>
    <row r="30" spans="1:26" x14ac:dyDescent="0.25">
      <c r="A30" s="329">
        <v>5429</v>
      </c>
      <c r="B30" s="447" t="s">
        <v>351</v>
      </c>
      <c r="C30" s="378">
        <v>1148772.25</v>
      </c>
      <c r="D30" s="378">
        <v>144238.94</v>
      </c>
      <c r="E30" s="378"/>
      <c r="F30" s="497"/>
      <c r="G30" s="378">
        <v>8322.2999999999993</v>
      </c>
      <c r="H30" s="378">
        <v>3544.4</v>
      </c>
      <c r="I30" s="378"/>
      <c r="J30" s="378">
        <v>32135.82</v>
      </c>
      <c r="K30" s="378">
        <v>1218.25</v>
      </c>
      <c r="L30" s="378">
        <v>107227.9</v>
      </c>
      <c r="M30" s="323">
        <f t="shared" si="0"/>
        <v>1445459.8599999999</v>
      </c>
      <c r="N30" s="380">
        <v>2875.4</v>
      </c>
      <c r="O30" s="380"/>
      <c r="P30" s="380">
        <v>130709.6</v>
      </c>
      <c r="Q30" s="380"/>
      <c r="R30" s="380">
        <v>57181.75</v>
      </c>
      <c r="S30" s="368">
        <v>1344.05</v>
      </c>
      <c r="T30" s="430">
        <f t="shared" si="1"/>
        <v>1637570.66</v>
      </c>
      <c r="U30" s="381">
        <v>77.5</v>
      </c>
      <c r="V30" s="384">
        <v>520</v>
      </c>
      <c r="W30" s="427">
        <v>-7283.85</v>
      </c>
      <c r="X30" s="433"/>
      <c r="Y30" s="433">
        <v>0</v>
      </c>
      <c r="Z30" s="438">
        <v>1</v>
      </c>
    </row>
    <row r="31" spans="1:26" x14ac:dyDescent="0.25">
      <c r="A31" s="329">
        <v>5430</v>
      </c>
      <c r="B31" s="447" t="s">
        <v>352</v>
      </c>
      <c r="C31" s="378">
        <v>1001317.39</v>
      </c>
      <c r="D31" s="378">
        <v>105027.7</v>
      </c>
      <c r="E31" s="378"/>
      <c r="F31" s="497"/>
      <c r="G31" s="378">
        <v>5758.7</v>
      </c>
      <c r="H31" s="378">
        <v>2740.7</v>
      </c>
      <c r="I31" s="378"/>
      <c r="J31" s="378">
        <v>6430.09</v>
      </c>
      <c r="K31" s="378">
        <v>1254.3</v>
      </c>
      <c r="L31" s="378">
        <v>93941.5</v>
      </c>
      <c r="M31" s="323">
        <f t="shared" si="0"/>
        <v>1216470.3800000001</v>
      </c>
      <c r="N31" s="380">
        <v>3411.95</v>
      </c>
      <c r="O31" s="380">
        <v>1739.6</v>
      </c>
      <c r="P31" s="380">
        <v>68959.55</v>
      </c>
      <c r="Q31" s="380">
        <v>17.59</v>
      </c>
      <c r="R31" s="380">
        <v>22824.75</v>
      </c>
      <c r="S31" s="368">
        <v>962.66</v>
      </c>
      <c r="T31" s="430">
        <f t="shared" si="1"/>
        <v>1314386.4800000002</v>
      </c>
      <c r="U31" s="381">
        <v>77.5</v>
      </c>
      <c r="V31" s="384">
        <v>485</v>
      </c>
      <c r="W31" s="427">
        <v>-9726.2199999999993</v>
      </c>
      <c r="X31" s="433"/>
      <c r="Y31" s="433">
        <v>-198.34</v>
      </c>
      <c r="Z31" s="438">
        <v>1</v>
      </c>
    </row>
    <row r="32" spans="1:26" x14ac:dyDescent="0.25">
      <c r="A32" s="329">
        <v>5431</v>
      </c>
      <c r="B32" s="447" t="s">
        <v>353</v>
      </c>
      <c r="C32" s="378">
        <v>619965.16</v>
      </c>
      <c r="D32" s="378">
        <v>76820.53</v>
      </c>
      <c r="E32" s="378"/>
      <c r="F32" s="497"/>
      <c r="G32" s="378">
        <v>483.7</v>
      </c>
      <c r="H32" s="378">
        <v>297.25</v>
      </c>
      <c r="I32" s="378"/>
      <c r="J32" s="378">
        <v>24529.14</v>
      </c>
      <c r="K32" s="378">
        <v>833.85</v>
      </c>
      <c r="L32" s="378">
        <v>53281.25</v>
      </c>
      <c r="M32" s="323">
        <f t="shared" si="0"/>
        <v>776210.88</v>
      </c>
      <c r="N32" s="380">
        <v>304.2</v>
      </c>
      <c r="O32" s="380"/>
      <c r="P32" s="380">
        <v>19687.75</v>
      </c>
      <c r="Q32" s="380"/>
      <c r="R32" s="380">
        <v>14464.35</v>
      </c>
      <c r="S32" s="368">
        <v>88.45</v>
      </c>
      <c r="T32" s="430">
        <f t="shared" si="1"/>
        <v>810755.62999999989</v>
      </c>
      <c r="U32" s="381">
        <v>74</v>
      </c>
      <c r="V32" s="384">
        <v>319</v>
      </c>
      <c r="W32" s="427">
        <v>-1138.93</v>
      </c>
      <c r="X32" s="433"/>
      <c r="Y32" s="433">
        <v>-752.43</v>
      </c>
      <c r="Z32" s="438">
        <v>1</v>
      </c>
    </row>
    <row r="33" spans="1:26" x14ac:dyDescent="0.25">
      <c r="A33" s="329">
        <v>5434</v>
      </c>
      <c r="B33" s="447" t="s">
        <v>354</v>
      </c>
      <c r="C33" s="378">
        <v>2712040.59</v>
      </c>
      <c r="D33" s="378"/>
      <c r="E33" s="378"/>
      <c r="F33" s="497"/>
      <c r="G33" s="378">
        <v>12862.25</v>
      </c>
      <c r="H33" s="378">
        <v>3552.1</v>
      </c>
      <c r="I33" s="378"/>
      <c r="J33" s="378">
        <v>58202.59</v>
      </c>
      <c r="K33" s="378">
        <v>3394.7</v>
      </c>
      <c r="L33" s="378">
        <v>289753.84999999998</v>
      </c>
      <c r="M33" s="323">
        <f t="shared" si="0"/>
        <v>3079806.08</v>
      </c>
      <c r="N33" s="380">
        <v>35327.85</v>
      </c>
      <c r="O33" s="380">
        <v>20257.900000000001</v>
      </c>
      <c r="P33" s="380">
        <v>115133.35</v>
      </c>
      <c r="Q33" s="380"/>
      <c r="R33" s="380">
        <v>128749.55</v>
      </c>
      <c r="S33" s="368">
        <v>1859.12</v>
      </c>
      <c r="T33" s="430">
        <f t="shared" si="1"/>
        <v>3381133.85</v>
      </c>
      <c r="U33" s="381">
        <v>69.5</v>
      </c>
      <c r="V33" s="384">
        <v>1072</v>
      </c>
      <c r="W33" s="427">
        <v>-6435.52</v>
      </c>
      <c r="X33" s="433"/>
      <c r="Y33" s="433">
        <v>-577.35</v>
      </c>
      <c r="Z33" s="438">
        <v>1.2</v>
      </c>
    </row>
    <row r="34" spans="1:26" x14ac:dyDescent="0.25">
      <c r="A34" s="329">
        <v>5435</v>
      </c>
      <c r="B34" s="447" t="s">
        <v>334</v>
      </c>
      <c r="C34" s="378">
        <v>1501072.09</v>
      </c>
      <c r="D34" s="378">
        <v>168163.35</v>
      </c>
      <c r="E34" s="378"/>
      <c r="F34" s="497"/>
      <c r="G34" s="378">
        <v>9511.1</v>
      </c>
      <c r="H34" s="378">
        <v>248.35</v>
      </c>
      <c r="I34" s="378"/>
      <c r="J34" s="378">
        <v>17216.53</v>
      </c>
      <c r="K34" s="378"/>
      <c r="L34" s="378">
        <v>128517.7</v>
      </c>
      <c r="M34" s="323">
        <f t="shared" si="0"/>
        <v>1824729.1200000003</v>
      </c>
      <c r="N34" s="380">
        <v>17237.5</v>
      </c>
      <c r="O34" s="380">
        <v>5557</v>
      </c>
      <c r="P34" s="380">
        <v>135732.4</v>
      </c>
      <c r="Q34" s="380"/>
      <c r="R34" s="380">
        <v>122333.55</v>
      </c>
      <c r="S34" s="368">
        <v>1105.3800000000001</v>
      </c>
      <c r="T34" s="430">
        <f t="shared" si="1"/>
        <v>2106694.9500000002</v>
      </c>
      <c r="U34" s="381">
        <v>69</v>
      </c>
      <c r="V34" s="384">
        <v>674</v>
      </c>
      <c r="W34" s="427">
        <v>-41272.65</v>
      </c>
      <c r="X34" s="433"/>
      <c r="Y34" s="433">
        <v>-614.47</v>
      </c>
      <c r="Z34" s="438">
        <v>1</v>
      </c>
    </row>
    <row r="35" spans="1:26" x14ac:dyDescent="0.25">
      <c r="A35" s="329">
        <v>5436</v>
      </c>
      <c r="B35" s="447" t="s">
        <v>335</v>
      </c>
      <c r="C35" s="378">
        <v>1181921.1499999999</v>
      </c>
      <c r="D35" s="378">
        <v>71886.600000000006</v>
      </c>
      <c r="E35" s="378"/>
      <c r="F35" s="497"/>
      <c r="G35" s="378">
        <v>4432.3</v>
      </c>
      <c r="H35" s="378">
        <v>-78.25</v>
      </c>
      <c r="I35" s="378"/>
      <c r="J35" s="378">
        <v>32225.58</v>
      </c>
      <c r="K35" s="378"/>
      <c r="L35" s="378">
        <v>72534.8</v>
      </c>
      <c r="M35" s="323">
        <f t="shared" si="0"/>
        <v>1362922.1800000002</v>
      </c>
      <c r="N35" s="380"/>
      <c r="O35" s="380">
        <v>69500</v>
      </c>
      <c r="P35" s="380">
        <v>40975</v>
      </c>
      <c r="Q35" s="380"/>
      <c r="R35" s="380">
        <v>41167</v>
      </c>
      <c r="S35" s="368">
        <v>493.15</v>
      </c>
      <c r="T35" s="430">
        <f t="shared" si="1"/>
        <v>1515057.33</v>
      </c>
      <c r="U35" s="381">
        <v>81</v>
      </c>
      <c r="V35" s="384">
        <v>458</v>
      </c>
      <c r="W35" s="427">
        <v>-14241.17</v>
      </c>
      <c r="X35" s="433"/>
      <c r="Y35" s="433">
        <v>-972.35</v>
      </c>
      <c r="Z35" s="438">
        <v>0.8</v>
      </c>
    </row>
    <row r="36" spans="1:26" x14ac:dyDescent="0.25">
      <c r="A36" s="329">
        <v>5437</v>
      </c>
      <c r="B36" s="447" t="s">
        <v>336</v>
      </c>
      <c r="C36" s="378">
        <v>910759.95</v>
      </c>
      <c r="D36" s="378">
        <v>79161.72</v>
      </c>
      <c r="E36" s="378"/>
      <c r="F36" s="497"/>
      <c r="G36" s="378">
        <v>14292.4</v>
      </c>
      <c r="H36" s="378">
        <v>492.2</v>
      </c>
      <c r="I36" s="378"/>
      <c r="J36" s="378">
        <v>13661.14</v>
      </c>
      <c r="K36" s="378">
        <v>791.85</v>
      </c>
      <c r="L36" s="378">
        <v>70137.45</v>
      </c>
      <c r="M36" s="323">
        <f t="shared" si="0"/>
        <v>1089296.71</v>
      </c>
      <c r="N36" s="380"/>
      <c r="O36" s="380">
        <v>91417.4</v>
      </c>
      <c r="P36" s="380">
        <v>156395.45000000001</v>
      </c>
      <c r="Q36" s="380"/>
      <c r="R36" s="380">
        <v>69247.350000000006</v>
      </c>
      <c r="S36" s="368">
        <v>1674.54</v>
      </c>
      <c r="T36" s="430">
        <f t="shared" si="1"/>
        <v>1408031.45</v>
      </c>
      <c r="U36" s="381">
        <v>80</v>
      </c>
      <c r="V36" s="384">
        <v>444</v>
      </c>
      <c r="W36" s="427">
        <v>-6812.87</v>
      </c>
      <c r="X36" s="433"/>
      <c r="Y36" s="433">
        <v>-17.79</v>
      </c>
      <c r="Z36" s="438">
        <v>1</v>
      </c>
    </row>
    <row r="37" spans="1:26" x14ac:dyDescent="0.25">
      <c r="A37" s="329">
        <v>5451</v>
      </c>
      <c r="B37" s="447" t="s">
        <v>337</v>
      </c>
      <c r="C37" s="378">
        <v>5009328.8600000003</v>
      </c>
      <c r="D37" s="378">
        <v>603521.75</v>
      </c>
      <c r="E37" s="378"/>
      <c r="F37" s="497"/>
      <c r="G37" s="378">
        <v>1939123.65</v>
      </c>
      <c r="H37" s="378">
        <v>37474.449999999997</v>
      </c>
      <c r="I37" s="378"/>
      <c r="J37" s="378">
        <v>436798.86</v>
      </c>
      <c r="K37" s="378">
        <v>146076.35</v>
      </c>
      <c r="L37" s="378">
        <v>1450748.75</v>
      </c>
      <c r="M37" s="323">
        <f t="shared" si="0"/>
        <v>9623072.6699999999</v>
      </c>
      <c r="N37" s="380">
        <v>562337.4</v>
      </c>
      <c r="O37" s="380">
        <v>21825.5</v>
      </c>
      <c r="P37" s="380">
        <v>600691.75</v>
      </c>
      <c r="Q37" s="380">
        <v>128391.92</v>
      </c>
      <c r="R37" s="380">
        <v>171738.8</v>
      </c>
      <c r="S37" s="368">
        <v>223873.7</v>
      </c>
      <c r="T37" s="430">
        <f t="shared" si="1"/>
        <v>11331931.74</v>
      </c>
      <c r="U37" s="381">
        <v>66.5</v>
      </c>
      <c r="V37" s="384">
        <v>4616</v>
      </c>
      <c r="W37" s="427">
        <v>-321439.74</v>
      </c>
      <c r="X37" s="433"/>
      <c r="Y37" s="433">
        <v>-574.02</v>
      </c>
      <c r="Z37" s="438">
        <v>1.5</v>
      </c>
    </row>
    <row r="38" spans="1:26" x14ac:dyDescent="0.25">
      <c r="A38" s="329">
        <v>5456</v>
      </c>
      <c r="B38" s="447" t="s">
        <v>338</v>
      </c>
      <c r="C38" s="378">
        <v>3029771.66</v>
      </c>
      <c r="D38" s="378">
        <v>317950.07</v>
      </c>
      <c r="E38" s="378"/>
      <c r="F38" s="497"/>
      <c r="G38" s="378">
        <v>39520.199999999997</v>
      </c>
      <c r="H38" s="378">
        <v>2180.5500000000002</v>
      </c>
      <c r="I38" s="378"/>
      <c r="J38" s="378">
        <v>52329.66</v>
      </c>
      <c r="K38" s="378">
        <v>10849.65</v>
      </c>
      <c r="L38" s="378">
        <v>531103.80000000005</v>
      </c>
      <c r="M38" s="323">
        <f t="shared" si="0"/>
        <v>3983705.59</v>
      </c>
      <c r="N38" s="380">
        <v>5267</v>
      </c>
      <c r="O38" s="380">
        <v>10898.2</v>
      </c>
      <c r="P38" s="380">
        <v>195993.75</v>
      </c>
      <c r="Q38" s="380">
        <v>80211.77</v>
      </c>
      <c r="R38" s="380">
        <v>188890.3</v>
      </c>
      <c r="S38" s="368">
        <v>4723.12</v>
      </c>
      <c r="T38" s="430">
        <f t="shared" si="1"/>
        <v>4469689.7299999995</v>
      </c>
      <c r="U38" s="381">
        <v>59</v>
      </c>
      <c r="V38" s="384">
        <v>1836</v>
      </c>
      <c r="W38" s="427">
        <v>-106547.49</v>
      </c>
      <c r="X38" s="433"/>
      <c r="Y38" s="433">
        <v>-506.24</v>
      </c>
      <c r="Z38" s="438">
        <v>1.5</v>
      </c>
    </row>
    <row r="39" spans="1:26" x14ac:dyDescent="0.25">
      <c r="A39" s="329">
        <v>5458</v>
      </c>
      <c r="B39" s="447" t="s">
        <v>339</v>
      </c>
      <c r="C39" s="378">
        <v>1674822.35</v>
      </c>
      <c r="D39" s="378">
        <v>290751.75</v>
      </c>
      <c r="E39" s="378"/>
      <c r="F39" s="497"/>
      <c r="G39" s="378">
        <v>24617.55</v>
      </c>
      <c r="H39" s="378">
        <v>1373.6</v>
      </c>
      <c r="I39" s="378"/>
      <c r="J39" s="378">
        <v>59073.19</v>
      </c>
      <c r="K39" s="378">
        <v>12888.25</v>
      </c>
      <c r="L39" s="378">
        <v>284886.15000000002</v>
      </c>
      <c r="M39" s="323">
        <f t="shared" si="0"/>
        <v>2348412.8400000003</v>
      </c>
      <c r="N39" s="380">
        <v>1661.35</v>
      </c>
      <c r="O39" s="380">
        <v>120558.8</v>
      </c>
      <c r="P39" s="380">
        <v>55638.45</v>
      </c>
      <c r="Q39" s="380">
        <v>14872.5</v>
      </c>
      <c r="R39" s="380">
        <v>71087.399999999994</v>
      </c>
      <c r="S39" s="368">
        <v>2943.81</v>
      </c>
      <c r="T39" s="430">
        <f t="shared" si="1"/>
        <v>2615175.1500000004</v>
      </c>
      <c r="U39" s="381">
        <v>65</v>
      </c>
      <c r="V39" s="384">
        <v>866</v>
      </c>
      <c r="W39" s="427">
        <v>-14228.07</v>
      </c>
      <c r="X39" s="433"/>
      <c r="Y39" s="433">
        <v>-151.1</v>
      </c>
      <c r="Z39" s="438">
        <v>1.5</v>
      </c>
    </row>
    <row r="40" spans="1:26" x14ac:dyDescent="0.25">
      <c r="A40" s="329">
        <v>5464</v>
      </c>
      <c r="B40" s="447" t="s">
        <v>413</v>
      </c>
      <c r="C40" s="378">
        <v>6002531.6100000003</v>
      </c>
      <c r="D40" s="378">
        <v>1145557.5900000001</v>
      </c>
      <c r="E40" s="378"/>
      <c r="F40" s="497"/>
      <c r="G40" s="378">
        <v>39239.35</v>
      </c>
      <c r="H40" s="378">
        <v>8188.45</v>
      </c>
      <c r="I40" s="378">
        <v>5716.2</v>
      </c>
      <c r="J40" s="378">
        <v>132675.49</v>
      </c>
      <c r="K40" s="378">
        <v>28110.75</v>
      </c>
      <c r="L40" s="378">
        <v>1055533.5</v>
      </c>
      <c r="M40" s="323">
        <f t="shared" si="0"/>
        <v>8417552.9400000013</v>
      </c>
      <c r="N40" s="380">
        <v>340.45</v>
      </c>
      <c r="O40" s="380">
        <v>166459.1</v>
      </c>
      <c r="P40" s="380">
        <v>904420.85</v>
      </c>
      <c r="Q40" s="380">
        <v>16393.46</v>
      </c>
      <c r="R40" s="380">
        <v>409718.55</v>
      </c>
      <c r="S40" s="368">
        <v>5371.77</v>
      </c>
      <c r="T40" s="430">
        <f t="shared" si="1"/>
        <v>9920257.120000001</v>
      </c>
      <c r="U40" s="381">
        <v>67</v>
      </c>
      <c r="V40" s="384">
        <v>3465</v>
      </c>
      <c r="W40" s="427">
        <v>-98442.41</v>
      </c>
      <c r="X40" s="433"/>
      <c r="Y40" s="433">
        <v>-4687.72</v>
      </c>
      <c r="Z40" s="438">
        <v>1.5</v>
      </c>
    </row>
    <row r="41" spans="1:26" x14ac:dyDescent="0.25">
      <c r="A41" s="329">
        <v>5471</v>
      </c>
      <c r="B41" s="447" t="s">
        <v>340</v>
      </c>
      <c r="C41" s="378">
        <v>1171278.3700000001</v>
      </c>
      <c r="D41" s="378">
        <v>143008.88</v>
      </c>
      <c r="E41" s="378"/>
      <c r="F41" s="497"/>
      <c r="G41" s="378">
        <v>114347.85</v>
      </c>
      <c r="H41" s="378">
        <v>4031.45</v>
      </c>
      <c r="I41" s="378"/>
      <c r="J41" s="378">
        <v>24741.16</v>
      </c>
      <c r="K41" s="378">
        <v>4233.25</v>
      </c>
      <c r="L41" s="378">
        <v>123504.65</v>
      </c>
      <c r="M41" s="323">
        <f t="shared" si="0"/>
        <v>1585145.6099999999</v>
      </c>
      <c r="N41" s="380">
        <v>9506.5499999999993</v>
      </c>
      <c r="O41" s="380">
        <v>4295.8</v>
      </c>
      <c r="P41" s="380">
        <v>60101.25</v>
      </c>
      <c r="Q41" s="380"/>
      <c r="R41" s="380">
        <v>10798.85</v>
      </c>
      <c r="S41" s="368">
        <v>13407.89</v>
      </c>
      <c r="T41" s="430">
        <f t="shared" si="1"/>
        <v>1683255.95</v>
      </c>
      <c r="U41" s="381">
        <v>70</v>
      </c>
      <c r="V41" s="384">
        <v>626</v>
      </c>
      <c r="W41" s="427">
        <v>-9720.76</v>
      </c>
      <c r="X41" s="433"/>
      <c r="Y41" s="433">
        <v>-43.82</v>
      </c>
      <c r="Z41" s="438">
        <v>0.9</v>
      </c>
    </row>
    <row r="42" spans="1:26" x14ac:dyDescent="0.25">
      <c r="A42" s="329">
        <v>5472</v>
      </c>
      <c r="B42" s="447" t="s">
        <v>341</v>
      </c>
      <c r="C42" s="378">
        <v>1204103.9099999999</v>
      </c>
      <c r="D42" s="378">
        <v>192184.88</v>
      </c>
      <c r="E42" s="378"/>
      <c r="F42" s="497"/>
      <c r="G42" s="378">
        <v>61261.95</v>
      </c>
      <c r="H42" s="378">
        <v>279.3</v>
      </c>
      <c r="I42" s="378"/>
      <c r="J42" s="378">
        <v>13338.27</v>
      </c>
      <c r="K42" s="378">
        <v>1422.55</v>
      </c>
      <c r="L42" s="378">
        <v>111315.05</v>
      </c>
      <c r="M42" s="323">
        <f t="shared" si="0"/>
        <v>1583905.9100000001</v>
      </c>
      <c r="N42" s="380"/>
      <c r="O42" s="380">
        <v>96601.8</v>
      </c>
      <c r="P42" s="380">
        <v>57797.05</v>
      </c>
      <c r="Q42" s="380">
        <v>7994.49</v>
      </c>
      <c r="R42" s="380">
        <v>42353.45</v>
      </c>
      <c r="S42" s="368">
        <v>6970.29</v>
      </c>
      <c r="T42" s="430">
        <f t="shared" si="1"/>
        <v>1795622.9900000002</v>
      </c>
      <c r="U42" s="381">
        <v>72</v>
      </c>
      <c r="V42" s="384">
        <v>507</v>
      </c>
      <c r="W42" s="427">
        <v>-1565.35</v>
      </c>
      <c r="X42" s="433"/>
      <c r="Y42" s="433">
        <v>-457.52</v>
      </c>
      <c r="Z42" s="438">
        <v>1</v>
      </c>
    </row>
    <row r="43" spans="1:26" x14ac:dyDescent="0.25">
      <c r="A43" s="329">
        <v>5473</v>
      </c>
      <c r="B43" s="447" t="s">
        <v>205</v>
      </c>
      <c r="C43" s="378">
        <v>2068139.82</v>
      </c>
      <c r="D43" s="378">
        <v>236761</v>
      </c>
      <c r="E43" s="378"/>
      <c r="F43" s="497"/>
      <c r="G43" s="378">
        <v>17400.95</v>
      </c>
      <c r="H43" s="378">
        <v>720.7</v>
      </c>
      <c r="I43" s="378"/>
      <c r="J43" s="378">
        <v>-4141.21</v>
      </c>
      <c r="K43" s="378">
        <v>8991.2000000000007</v>
      </c>
      <c r="L43" s="378">
        <v>192206.4</v>
      </c>
      <c r="M43" s="323">
        <f t="shared" si="0"/>
        <v>2520078.8600000008</v>
      </c>
      <c r="N43" s="380">
        <v>4238.3</v>
      </c>
      <c r="O43" s="380"/>
      <c r="P43" s="380">
        <v>133840.70000000001</v>
      </c>
      <c r="Q43" s="380">
        <v>24.58</v>
      </c>
      <c r="R43" s="380">
        <v>120047.15</v>
      </c>
      <c r="S43" s="368">
        <v>2052.5</v>
      </c>
      <c r="T43" s="430">
        <f t="shared" si="1"/>
        <v>2780282.0900000008</v>
      </c>
      <c r="U43" s="381">
        <v>67.5</v>
      </c>
      <c r="V43" s="384">
        <v>1001</v>
      </c>
      <c r="W43" s="427">
        <v>-20658.46</v>
      </c>
      <c r="X43" s="433"/>
      <c r="Y43" s="433">
        <v>-14.11</v>
      </c>
      <c r="Z43" s="438">
        <v>1</v>
      </c>
    </row>
    <row r="44" spans="1:26" x14ac:dyDescent="0.25">
      <c r="A44" s="329">
        <v>5474</v>
      </c>
      <c r="B44" s="447" t="s">
        <v>206</v>
      </c>
      <c r="C44" s="378">
        <v>830248.54</v>
      </c>
      <c r="D44" s="378">
        <v>98617.82</v>
      </c>
      <c r="E44" s="378"/>
      <c r="F44" s="497"/>
      <c r="G44" s="378">
        <v>9761.4500000000007</v>
      </c>
      <c r="H44" s="378">
        <v>4628.8999999999996</v>
      </c>
      <c r="I44" s="378">
        <v>-36561.5</v>
      </c>
      <c r="J44" s="378">
        <v>1142.73</v>
      </c>
      <c r="K44" s="378">
        <v>369</v>
      </c>
      <c r="L44" s="378">
        <v>89502.5</v>
      </c>
      <c r="M44" s="323">
        <f t="shared" si="0"/>
        <v>997709.44000000006</v>
      </c>
      <c r="N44" s="380">
        <v>2826.15</v>
      </c>
      <c r="O44" s="380">
        <v>248.4</v>
      </c>
      <c r="P44" s="380">
        <v>63041</v>
      </c>
      <c r="Q44" s="380">
        <v>2076</v>
      </c>
      <c r="R44" s="380">
        <v>29643.75</v>
      </c>
      <c r="S44" s="368">
        <v>1629.88</v>
      </c>
      <c r="T44" s="430">
        <f t="shared" si="1"/>
        <v>1097174.6200000001</v>
      </c>
      <c r="U44" s="381">
        <v>76</v>
      </c>
      <c r="V44" s="384">
        <v>398</v>
      </c>
      <c r="W44" s="427">
        <v>-5446.47</v>
      </c>
      <c r="X44" s="433"/>
      <c r="Y44" s="433">
        <v>-270.48</v>
      </c>
      <c r="Z44" s="438">
        <v>1.2</v>
      </c>
    </row>
    <row r="45" spans="1:26" x14ac:dyDescent="0.25">
      <c r="A45" s="329">
        <v>5475</v>
      </c>
      <c r="B45" s="447" t="s">
        <v>359</v>
      </c>
      <c r="C45" s="378">
        <v>253400.1</v>
      </c>
      <c r="D45" s="378">
        <v>42955.33</v>
      </c>
      <c r="E45" s="378"/>
      <c r="F45" s="497"/>
      <c r="G45" s="378">
        <v>303.3</v>
      </c>
      <c r="H45" s="378">
        <v>43</v>
      </c>
      <c r="I45" s="378"/>
      <c r="J45" s="378">
        <v>738.72</v>
      </c>
      <c r="K45" s="378"/>
      <c r="L45" s="378">
        <v>25399.3</v>
      </c>
      <c r="M45" s="323">
        <f t="shared" si="0"/>
        <v>322839.74999999994</v>
      </c>
      <c r="N45" s="380"/>
      <c r="O45" s="380"/>
      <c r="P45" s="380">
        <v>910.7</v>
      </c>
      <c r="Q45" s="380">
        <v>61.03</v>
      </c>
      <c r="R45" s="380">
        <v>8489.85</v>
      </c>
      <c r="S45" s="368">
        <v>39.22</v>
      </c>
      <c r="T45" s="430">
        <f t="shared" si="1"/>
        <v>332340.54999999993</v>
      </c>
      <c r="U45" s="381">
        <v>75</v>
      </c>
      <c r="V45" s="384">
        <v>155</v>
      </c>
      <c r="W45" s="427">
        <v>-2144.58</v>
      </c>
      <c r="X45" s="433"/>
      <c r="Y45" s="433">
        <v>0</v>
      </c>
      <c r="Z45" s="438">
        <v>1</v>
      </c>
    </row>
    <row r="46" spans="1:26" x14ac:dyDescent="0.25">
      <c r="A46" s="329">
        <v>5476</v>
      </c>
      <c r="B46" s="447" t="s">
        <v>360</v>
      </c>
      <c r="C46" s="378">
        <v>738808.12</v>
      </c>
      <c r="D46" s="378">
        <v>74910.12</v>
      </c>
      <c r="E46" s="378"/>
      <c r="F46" s="497"/>
      <c r="G46" s="378">
        <v>319.3</v>
      </c>
      <c r="H46" s="378">
        <v>-4343.1499999999996</v>
      </c>
      <c r="I46" s="378"/>
      <c r="J46" s="378">
        <v>8338.2800000000007</v>
      </c>
      <c r="K46" s="378"/>
      <c r="L46" s="378">
        <v>61737.3</v>
      </c>
      <c r="M46" s="323">
        <f t="shared" si="0"/>
        <v>879769.97000000009</v>
      </c>
      <c r="N46" s="380"/>
      <c r="O46" s="380"/>
      <c r="P46" s="380">
        <v>47404.15</v>
      </c>
      <c r="Q46" s="380"/>
      <c r="R46" s="380">
        <v>41817.9</v>
      </c>
      <c r="S46" s="368">
        <v>-455.75</v>
      </c>
      <c r="T46" s="430">
        <f t="shared" si="1"/>
        <v>968536.27000000014</v>
      </c>
      <c r="U46" s="381">
        <v>72.5</v>
      </c>
      <c r="V46" s="384">
        <v>322</v>
      </c>
      <c r="W46" s="427">
        <v>-3599.73</v>
      </c>
      <c r="X46" s="433"/>
      <c r="Y46" s="433">
        <v>-254.69</v>
      </c>
      <c r="Z46" s="438">
        <v>1</v>
      </c>
    </row>
    <row r="47" spans="1:26" x14ac:dyDescent="0.25">
      <c r="A47" s="329">
        <v>5477</v>
      </c>
      <c r="B47" s="447" t="s">
        <v>361</v>
      </c>
      <c r="C47" s="378">
        <v>7793073.3899999997</v>
      </c>
      <c r="D47" s="378">
        <v>976168.19</v>
      </c>
      <c r="E47" s="378"/>
      <c r="F47" s="497"/>
      <c r="G47" s="378">
        <v>416291.7</v>
      </c>
      <c r="H47" s="378">
        <v>15636.75</v>
      </c>
      <c r="I47" s="378"/>
      <c r="J47" s="378">
        <v>171591.45</v>
      </c>
      <c r="K47" s="378">
        <v>58880.4</v>
      </c>
      <c r="L47" s="378">
        <v>754712.75</v>
      </c>
      <c r="M47" s="323">
        <f t="shared" si="0"/>
        <v>10186354.629999999</v>
      </c>
      <c r="N47" s="380">
        <v>116740.25</v>
      </c>
      <c r="O47" s="380">
        <v>155937.70000000001</v>
      </c>
      <c r="P47" s="380">
        <v>425939.65</v>
      </c>
      <c r="Q47" s="380">
        <v>57373.19</v>
      </c>
      <c r="R47" s="380">
        <v>484737.1</v>
      </c>
      <c r="S47" s="368">
        <v>48921.13</v>
      </c>
      <c r="T47" s="430">
        <f t="shared" si="1"/>
        <v>11476003.649999999</v>
      </c>
      <c r="U47" s="381">
        <v>69.5</v>
      </c>
      <c r="V47" s="384">
        <v>4326</v>
      </c>
      <c r="W47" s="427">
        <v>-380726.05</v>
      </c>
      <c r="X47" s="433"/>
      <c r="Y47" s="433">
        <v>-1363.04</v>
      </c>
      <c r="Z47" s="438">
        <v>1</v>
      </c>
    </row>
    <row r="48" spans="1:26" x14ac:dyDescent="0.25">
      <c r="A48" s="329">
        <v>5478</v>
      </c>
      <c r="B48" s="447" t="s">
        <v>233</v>
      </c>
      <c r="C48" s="378">
        <v>905949.07</v>
      </c>
      <c r="D48" s="378">
        <v>154851.44</v>
      </c>
      <c r="E48" s="378"/>
      <c r="F48" s="497"/>
      <c r="G48" s="378">
        <v>3573.75</v>
      </c>
      <c r="H48" s="378">
        <v>225.45</v>
      </c>
      <c r="I48" s="378"/>
      <c r="J48" s="378">
        <v>27824.06</v>
      </c>
      <c r="K48" s="378">
        <v>250</v>
      </c>
      <c r="L48" s="378">
        <v>79917.5</v>
      </c>
      <c r="M48" s="323">
        <f t="shared" si="0"/>
        <v>1172591.27</v>
      </c>
      <c r="N48" s="380">
        <v>519.25</v>
      </c>
      <c r="O48" s="380"/>
      <c r="P48" s="380">
        <v>15493.5</v>
      </c>
      <c r="Q48" s="380"/>
      <c r="R48" s="380">
        <v>35312.5</v>
      </c>
      <c r="S48" s="368">
        <v>430.31</v>
      </c>
      <c r="T48" s="430">
        <f t="shared" si="1"/>
        <v>1224346.83</v>
      </c>
      <c r="U48" s="381">
        <v>74</v>
      </c>
      <c r="V48" s="384">
        <v>484</v>
      </c>
      <c r="W48" s="427">
        <v>-8027.52</v>
      </c>
      <c r="X48" s="433"/>
      <c r="Y48" s="433">
        <v>-143.1</v>
      </c>
      <c r="Z48" s="438">
        <v>1</v>
      </c>
    </row>
    <row r="49" spans="1:26" x14ac:dyDescent="0.25">
      <c r="A49" s="329">
        <v>5479</v>
      </c>
      <c r="B49" s="447" t="s">
        <v>234</v>
      </c>
      <c r="C49" s="378">
        <v>1237762.04</v>
      </c>
      <c r="D49" s="378">
        <v>112447.46</v>
      </c>
      <c r="E49" s="378"/>
      <c r="F49" s="497"/>
      <c r="G49" s="378">
        <v>9132.65</v>
      </c>
      <c r="H49" s="378">
        <v>16.5</v>
      </c>
      <c r="I49" s="378">
        <v>-25685.4</v>
      </c>
      <c r="J49" s="378">
        <v>15477.41</v>
      </c>
      <c r="K49" s="378">
        <v>1464.25</v>
      </c>
      <c r="L49" s="378">
        <v>90803.45</v>
      </c>
      <c r="M49" s="323">
        <f t="shared" si="0"/>
        <v>1441418.3599999999</v>
      </c>
      <c r="N49" s="380">
        <v>7894.9</v>
      </c>
      <c r="O49" s="380">
        <v>53272.3</v>
      </c>
      <c r="P49" s="380">
        <v>46290.75</v>
      </c>
      <c r="Q49" s="380"/>
      <c r="R49" s="380">
        <v>15856.95</v>
      </c>
      <c r="S49" s="368">
        <v>1036.25</v>
      </c>
      <c r="T49" s="430">
        <f t="shared" si="1"/>
        <v>1565769.5099999998</v>
      </c>
      <c r="U49" s="381">
        <v>77</v>
      </c>
      <c r="V49" s="384">
        <v>531</v>
      </c>
      <c r="W49" s="427">
        <v>-57619.12</v>
      </c>
      <c r="X49" s="433"/>
      <c r="Y49" s="433">
        <v>0</v>
      </c>
      <c r="Z49" s="438">
        <v>1</v>
      </c>
    </row>
    <row r="50" spans="1:26" x14ac:dyDescent="0.25">
      <c r="A50" s="329">
        <v>5480</v>
      </c>
      <c r="B50" s="447" t="s">
        <v>235</v>
      </c>
      <c r="C50" s="378">
        <v>2123184.9300000002</v>
      </c>
      <c r="D50" s="378">
        <v>277454.71999999997</v>
      </c>
      <c r="E50" s="378"/>
      <c r="F50" s="497"/>
      <c r="G50" s="378">
        <v>-39909.800000000003</v>
      </c>
      <c r="H50" s="378">
        <v>14073.15</v>
      </c>
      <c r="I50" s="378"/>
      <c r="J50" s="378">
        <v>40898.230000000003</v>
      </c>
      <c r="K50" s="378">
        <v>12107.15</v>
      </c>
      <c r="L50" s="378">
        <v>375692.2</v>
      </c>
      <c r="M50" s="323">
        <f t="shared" si="0"/>
        <v>2803500.5800000005</v>
      </c>
      <c r="N50" s="380">
        <v>229974.39999999999</v>
      </c>
      <c r="O50" s="380"/>
      <c r="P50" s="380">
        <v>180519.15</v>
      </c>
      <c r="Q50" s="380">
        <v>49270.01</v>
      </c>
      <c r="R50" s="380">
        <v>118166.55</v>
      </c>
      <c r="S50" s="368">
        <v>-2926.31</v>
      </c>
      <c r="T50" s="430">
        <f t="shared" si="1"/>
        <v>3378504.38</v>
      </c>
      <c r="U50" s="381">
        <v>66</v>
      </c>
      <c r="V50" s="384">
        <v>1051</v>
      </c>
      <c r="W50" s="427">
        <v>-61393.75</v>
      </c>
      <c r="X50" s="433"/>
      <c r="Y50" s="433">
        <v>-1047.54</v>
      </c>
      <c r="Z50" s="438">
        <v>1.2</v>
      </c>
    </row>
    <row r="51" spans="1:26" x14ac:dyDescent="0.25">
      <c r="A51" s="329">
        <v>5481</v>
      </c>
      <c r="B51" s="447" t="s">
        <v>236</v>
      </c>
      <c r="C51" s="378">
        <v>455686.95</v>
      </c>
      <c r="D51" s="378">
        <v>97788.61</v>
      </c>
      <c r="E51" s="378"/>
      <c r="F51" s="497"/>
      <c r="G51" s="378">
        <v>13007.8</v>
      </c>
      <c r="H51" s="378">
        <v>533.04999999999995</v>
      </c>
      <c r="I51" s="378"/>
      <c r="J51" s="378">
        <v>-833.47</v>
      </c>
      <c r="K51" s="378"/>
      <c r="L51" s="378">
        <v>41423.35</v>
      </c>
      <c r="M51" s="323">
        <f t="shared" si="0"/>
        <v>607606.29000000015</v>
      </c>
      <c r="N51" s="380"/>
      <c r="O51" s="380"/>
      <c r="P51" s="380">
        <v>16085.85</v>
      </c>
      <c r="Q51" s="380"/>
      <c r="R51" s="380">
        <v>1853.3</v>
      </c>
      <c r="S51" s="368">
        <v>1533.67</v>
      </c>
      <c r="T51" s="430">
        <f t="shared" si="1"/>
        <v>627079.11000000022</v>
      </c>
      <c r="U51" s="381">
        <v>75</v>
      </c>
      <c r="V51" s="384">
        <v>225</v>
      </c>
      <c r="W51" s="427">
        <v>-73.41</v>
      </c>
      <c r="X51" s="433"/>
      <c r="Y51" s="433">
        <v>0</v>
      </c>
      <c r="Z51" s="438">
        <v>1</v>
      </c>
    </row>
    <row r="52" spans="1:26" x14ac:dyDescent="0.25">
      <c r="A52" s="329">
        <v>5482</v>
      </c>
      <c r="B52" s="447" t="s">
        <v>237</v>
      </c>
      <c r="C52" s="378">
        <v>1465884.87</v>
      </c>
      <c r="D52" s="378">
        <v>102517.28</v>
      </c>
      <c r="E52" s="378"/>
      <c r="F52" s="497"/>
      <c r="G52" s="378">
        <v>339145.3</v>
      </c>
      <c r="H52" s="378">
        <v>23203.35</v>
      </c>
      <c r="I52" s="378"/>
      <c r="J52" s="378">
        <v>43014.7</v>
      </c>
      <c r="K52" s="378">
        <v>54198.35</v>
      </c>
      <c r="L52" s="378">
        <v>443951.55</v>
      </c>
      <c r="M52" s="323">
        <f t="shared" si="0"/>
        <v>2471915.4000000004</v>
      </c>
      <c r="N52" s="380">
        <v>311950.55</v>
      </c>
      <c r="O52" s="380">
        <v>29857</v>
      </c>
      <c r="P52" s="380">
        <v>149037.35</v>
      </c>
      <c r="Q52" s="380">
        <v>5313.64</v>
      </c>
      <c r="R52" s="380">
        <v>26578.95</v>
      </c>
      <c r="S52" s="368">
        <v>41040.379999999997</v>
      </c>
      <c r="T52" s="430">
        <f t="shared" si="1"/>
        <v>3035693.2700000005</v>
      </c>
      <c r="U52" s="381">
        <v>46</v>
      </c>
      <c r="V52" s="384">
        <v>1198</v>
      </c>
      <c r="W52" s="427">
        <v>-24344.36</v>
      </c>
      <c r="X52" s="433"/>
      <c r="Y52" s="433">
        <v>-893.6</v>
      </c>
      <c r="Z52" s="438">
        <v>1</v>
      </c>
    </row>
    <row r="53" spans="1:26" x14ac:dyDescent="0.25">
      <c r="A53" s="329">
        <v>5483</v>
      </c>
      <c r="B53" s="447" t="s">
        <v>138</v>
      </c>
      <c r="C53" s="378">
        <v>668207.48</v>
      </c>
      <c r="D53" s="378">
        <v>80851.03</v>
      </c>
      <c r="E53" s="378"/>
      <c r="F53" s="497"/>
      <c r="G53" s="378">
        <v>1712.6</v>
      </c>
      <c r="H53" s="378">
        <v>698.8</v>
      </c>
      <c r="I53" s="378"/>
      <c r="J53" s="378">
        <v>2470.9699999999998</v>
      </c>
      <c r="K53" s="378">
        <v>175.5</v>
      </c>
      <c r="L53" s="378">
        <v>57093.4</v>
      </c>
      <c r="M53" s="323">
        <f t="shared" si="0"/>
        <v>811209.78</v>
      </c>
      <c r="N53" s="380"/>
      <c r="O53" s="380"/>
      <c r="P53" s="380">
        <v>7370.05</v>
      </c>
      <c r="Q53" s="380"/>
      <c r="R53" s="380">
        <v>5726.6</v>
      </c>
      <c r="S53" s="368">
        <v>273.12</v>
      </c>
      <c r="T53" s="430">
        <f t="shared" si="1"/>
        <v>824579.55</v>
      </c>
      <c r="U53" s="381">
        <v>76</v>
      </c>
      <c r="V53" s="384">
        <v>319</v>
      </c>
      <c r="W53" s="427">
        <v>-9810.84</v>
      </c>
      <c r="X53" s="433"/>
      <c r="Y53" s="433">
        <v>-850.75</v>
      </c>
      <c r="Z53" s="438">
        <v>1</v>
      </c>
    </row>
    <row r="54" spans="1:26" x14ac:dyDescent="0.25">
      <c r="A54" s="329">
        <v>5484</v>
      </c>
      <c r="B54" s="447" t="s">
        <v>139</v>
      </c>
      <c r="C54" s="378">
        <v>2129014.9900000002</v>
      </c>
      <c r="D54" s="378">
        <v>255931.75</v>
      </c>
      <c r="E54" s="378"/>
      <c r="F54" s="497"/>
      <c r="G54" s="378">
        <v>31895.599999999999</v>
      </c>
      <c r="H54" s="378">
        <v>2658.85</v>
      </c>
      <c r="I54" s="378"/>
      <c r="J54" s="378">
        <v>23138.720000000001</v>
      </c>
      <c r="K54" s="378">
        <v>6192.35</v>
      </c>
      <c r="L54" s="378">
        <v>199256.8</v>
      </c>
      <c r="M54" s="323">
        <f t="shared" si="0"/>
        <v>2648089.0600000005</v>
      </c>
      <c r="N54" s="380">
        <v>32793.65</v>
      </c>
      <c r="O54" s="380">
        <v>5997.1</v>
      </c>
      <c r="P54" s="380">
        <v>144022.6</v>
      </c>
      <c r="Q54" s="380">
        <v>23617.33</v>
      </c>
      <c r="R54" s="380">
        <v>88519.15</v>
      </c>
      <c r="S54" s="368">
        <v>3913.71</v>
      </c>
      <c r="T54" s="430">
        <f t="shared" si="1"/>
        <v>2946952.6000000006</v>
      </c>
      <c r="U54" s="381">
        <v>74</v>
      </c>
      <c r="V54" s="384">
        <v>1018</v>
      </c>
      <c r="W54" s="427">
        <v>-15238.01</v>
      </c>
      <c r="X54" s="433"/>
      <c r="Y54" s="433">
        <v>-32.799999999999997</v>
      </c>
      <c r="Z54" s="438">
        <v>1</v>
      </c>
    </row>
    <row r="55" spans="1:26" x14ac:dyDescent="0.25">
      <c r="A55" s="329">
        <v>5485</v>
      </c>
      <c r="B55" s="447" t="s">
        <v>140</v>
      </c>
      <c r="C55" s="378">
        <v>1424211.48</v>
      </c>
      <c r="D55" s="378">
        <v>174516.12</v>
      </c>
      <c r="E55" s="378"/>
      <c r="F55" s="497"/>
      <c r="G55" s="378">
        <v>37892.400000000001</v>
      </c>
      <c r="H55" s="378">
        <v>1033.75</v>
      </c>
      <c r="I55" s="378"/>
      <c r="J55" s="378">
        <v>887.65</v>
      </c>
      <c r="K55" s="378">
        <v>-244</v>
      </c>
      <c r="L55" s="378">
        <v>79438.55</v>
      </c>
      <c r="M55" s="323">
        <f t="shared" si="0"/>
        <v>1717735.95</v>
      </c>
      <c r="N55" s="380">
        <v>12308.85</v>
      </c>
      <c r="O55" s="380">
        <v>1.4</v>
      </c>
      <c r="P55" s="380">
        <v>85562.8</v>
      </c>
      <c r="Q55" s="380">
        <v>1394.72</v>
      </c>
      <c r="R55" s="380">
        <v>57300.15</v>
      </c>
      <c r="S55" s="368">
        <v>4408.8599999999997</v>
      </c>
      <c r="T55" s="430">
        <f t="shared" si="1"/>
        <v>1878712.73</v>
      </c>
      <c r="U55" s="381">
        <v>70</v>
      </c>
      <c r="V55" s="384">
        <v>445</v>
      </c>
      <c r="W55" s="427">
        <v>-9064.44</v>
      </c>
      <c r="X55" s="433"/>
      <c r="Y55" s="433">
        <v>-268.92</v>
      </c>
      <c r="Z55" s="438">
        <v>1</v>
      </c>
    </row>
    <row r="56" spans="1:26" x14ac:dyDescent="0.25">
      <c r="A56" s="329">
        <v>5486</v>
      </c>
      <c r="B56" s="447" t="s">
        <v>1</v>
      </c>
      <c r="C56" s="378">
        <v>1659115.49</v>
      </c>
      <c r="D56" s="378">
        <v>339466.74</v>
      </c>
      <c r="E56" s="378"/>
      <c r="F56" s="497"/>
      <c r="G56" s="378">
        <v>40384.65</v>
      </c>
      <c r="H56" s="378">
        <v>4801.1000000000004</v>
      </c>
      <c r="I56" s="378">
        <v>-34441</v>
      </c>
      <c r="J56" s="378">
        <v>35680.080000000002</v>
      </c>
      <c r="K56" s="378">
        <v>11348.3</v>
      </c>
      <c r="L56" s="378">
        <v>201357.5</v>
      </c>
      <c r="M56" s="323">
        <f t="shared" si="0"/>
        <v>2257712.8600000003</v>
      </c>
      <c r="N56" s="380">
        <v>49479.55</v>
      </c>
      <c r="O56" s="380">
        <v>31401.5</v>
      </c>
      <c r="P56" s="380">
        <v>129063</v>
      </c>
      <c r="Q56" s="380">
        <v>5560.12</v>
      </c>
      <c r="R56" s="380">
        <v>164204.70000000001</v>
      </c>
      <c r="S56" s="368">
        <v>5117.83</v>
      </c>
      <c r="T56" s="430">
        <f t="shared" si="1"/>
        <v>2642539.5600000005</v>
      </c>
      <c r="U56" s="381">
        <v>75</v>
      </c>
      <c r="V56" s="384">
        <v>1079</v>
      </c>
      <c r="W56" s="427">
        <v>-76024.160000000003</v>
      </c>
      <c r="X56" s="433"/>
      <c r="Y56" s="433">
        <v>-87.56</v>
      </c>
      <c r="Z56" s="438">
        <v>1</v>
      </c>
    </row>
    <row r="57" spans="1:26" x14ac:dyDescent="0.25">
      <c r="A57" s="329">
        <v>5487</v>
      </c>
      <c r="B57" s="447" t="s">
        <v>2</v>
      </c>
      <c r="C57" s="378">
        <v>1043169.63</v>
      </c>
      <c r="D57" s="378">
        <v>121224.17</v>
      </c>
      <c r="E57" s="378"/>
      <c r="F57" s="497"/>
      <c r="G57" s="378">
        <v>5542.05</v>
      </c>
      <c r="H57" s="378">
        <v>39.65</v>
      </c>
      <c r="I57" s="378"/>
      <c r="J57" s="378">
        <v>331.33</v>
      </c>
      <c r="K57" s="378">
        <v>993.25</v>
      </c>
      <c r="L57" s="378">
        <v>84501.8</v>
      </c>
      <c r="M57" s="323">
        <f t="shared" si="0"/>
        <v>1255801.8800000001</v>
      </c>
      <c r="N57" s="380"/>
      <c r="O57" s="380">
        <v>1988.2</v>
      </c>
      <c r="P57" s="380">
        <v>24475</v>
      </c>
      <c r="Q57" s="380">
        <v>6371.44</v>
      </c>
      <c r="R57" s="380">
        <v>8625.2999999999993</v>
      </c>
      <c r="S57" s="368">
        <v>632.20000000000005</v>
      </c>
      <c r="T57" s="430">
        <f t="shared" si="1"/>
        <v>1297894.02</v>
      </c>
      <c r="U57" s="381">
        <v>75</v>
      </c>
      <c r="V57" s="384">
        <v>475</v>
      </c>
      <c r="W57" s="427">
        <v>-16121.17</v>
      </c>
      <c r="X57" s="433"/>
      <c r="Y57" s="433">
        <v>-1.21</v>
      </c>
      <c r="Z57" s="438">
        <v>1</v>
      </c>
    </row>
    <row r="58" spans="1:26" x14ac:dyDescent="0.25">
      <c r="A58" s="329">
        <v>5488</v>
      </c>
      <c r="B58" s="447" t="s">
        <v>3</v>
      </c>
      <c r="C58" s="378">
        <v>116463.69</v>
      </c>
      <c r="D58" s="378">
        <v>9517.4500000000007</v>
      </c>
      <c r="E58" s="378"/>
      <c r="F58" s="497"/>
      <c r="G58" s="378">
        <v>465.15</v>
      </c>
      <c r="H58" s="378">
        <v>155</v>
      </c>
      <c r="I58" s="378"/>
      <c r="J58" s="378">
        <v>-2075.6799999999998</v>
      </c>
      <c r="K58" s="378"/>
      <c r="L58" s="378">
        <v>8582</v>
      </c>
      <c r="M58" s="323">
        <f t="shared" si="0"/>
        <v>133107.60999999999</v>
      </c>
      <c r="N58" s="380"/>
      <c r="O58" s="380"/>
      <c r="P58" s="380"/>
      <c r="Q58" s="380"/>
      <c r="R58" s="380"/>
      <c r="S58" s="368">
        <v>70.239999999999995</v>
      </c>
      <c r="T58" s="430">
        <f t="shared" si="1"/>
        <v>133177.84999999998</v>
      </c>
      <c r="U58" s="381">
        <v>77</v>
      </c>
      <c r="V58" s="384">
        <v>60</v>
      </c>
      <c r="W58" s="427">
        <v>-12.59</v>
      </c>
      <c r="X58" s="433"/>
      <c r="Y58" s="433">
        <v>-17.96</v>
      </c>
      <c r="Z58" s="438">
        <v>1</v>
      </c>
    </row>
    <row r="59" spans="1:26" x14ac:dyDescent="0.25">
      <c r="A59" s="329">
        <v>5489</v>
      </c>
      <c r="B59" s="447" t="s">
        <v>4</v>
      </c>
      <c r="C59" s="378">
        <v>1722710.11</v>
      </c>
      <c r="D59" s="378">
        <v>717822.44</v>
      </c>
      <c r="E59" s="378"/>
      <c r="F59" s="497"/>
      <c r="G59" s="378">
        <v>152718.20000000001</v>
      </c>
      <c r="H59" s="378">
        <v>82003.850000000006</v>
      </c>
      <c r="I59" s="378"/>
      <c r="J59" s="378">
        <v>80272.08</v>
      </c>
      <c r="K59" s="378">
        <v>6591.5</v>
      </c>
      <c r="L59" s="378">
        <v>299794.45</v>
      </c>
      <c r="M59" s="323">
        <f t="shared" si="0"/>
        <v>3061912.6300000004</v>
      </c>
      <c r="N59" s="380">
        <v>165302.79999999999</v>
      </c>
      <c r="O59" s="380"/>
      <c r="P59" s="380">
        <v>165655.6</v>
      </c>
      <c r="Q59" s="380">
        <v>11010.02</v>
      </c>
      <c r="R59" s="380">
        <v>118495.25</v>
      </c>
      <c r="S59" s="368">
        <v>26585.1</v>
      </c>
      <c r="T59" s="430">
        <f t="shared" si="1"/>
        <v>3548961.4000000004</v>
      </c>
      <c r="U59" s="381">
        <v>59.5</v>
      </c>
      <c r="V59" s="384">
        <v>795</v>
      </c>
      <c r="W59" s="427">
        <v>-23124.43</v>
      </c>
      <c r="X59" s="433"/>
      <c r="Y59" s="433">
        <v>-49027.49</v>
      </c>
      <c r="Z59" s="438">
        <v>1</v>
      </c>
    </row>
    <row r="60" spans="1:26" x14ac:dyDescent="0.25">
      <c r="A60" s="329">
        <v>5490</v>
      </c>
      <c r="B60" s="447" t="s">
        <v>5</v>
      </c>
      <c r="C60" s="378">
        <v>574735.82999999996</v>
      </c>
      <c r="D60" s="378">
        <v>87372.76</v>
      </c>
      <c r="E60" s="378"/>
      <c r="F60" s="497"/>
      <c r="G60" s="378">
        <v>3474.35</v>
      </c>
      <c r="H60" s="378">
        <v>245.7</v>
      </c>
      <c r="I60" s="378"/>
      <c r="J60" s="378">
        <v>2071.5300000000002</v>
      </c>
      <c r="K60" s="378"/>
      <c r="L60" s="378">
        <v>47397.65</v>
      </c>
      <c r="M60" s="323">
        <f t="shared" si="0"/>
        <v>715297.82</v>
      </c>
      <c r="N60" s="380"/>
      <c r="O60" s="380"/>
      <c r="P60" s="380">
        <v>11853.3</v>
      </c>
      <c r="Q60" s="380"/>
      <c r="R60" s="380">
        <v>26881</v>
      </c>
      <c r="S60" s="368">
        <v>421.34</v>
      </c>
      <c r="T60" s="430">
        <f t="shared" si="1"/>
        <v>754453.46</v>
      </c>
      <c r="U60" s="381">
        <v>77.5</v>
      </c>
      <c r="V60" s="384">
        <v>301</v>
      </c>
      <c r="W60" s="427">
        <v>-13441.41</v>
      </c>
      <c r="X60" s="433"/>
      <c r="Y60" s="433">
        <v>-368</v>
      </c>
      <c r="Z60" s="438">
        <v>1</v>
      </c>
    </row>
    <row r="61" spans="1:26" x14ac:dyDescent="0.25">
      <c r="A61" s="329">
        <v>5491</v>
      </c>
      <c r="B61" s="447" t="s">
        <v>160</v>
      </c>
      <c r="C61" s="378">
        <v>817094.95</v>
      </c>
      <c r="D61" s="378">
        <v>111597.05</v>
      </c>
      <c r="E61" s="378"/>
      <c r="F61" s="497">
        <v>2640</v>
      </c>
      <c r="G61" s="378">
        <v>3796.75</v>
      </c>
      <c r="H61" s="378">
        <v>1928.45</v>
      </c>
      <c r="I61" s="378"/>
      <c r="J61" s="378">
        <v>14479.83</v>
      </c>
      <c r="K61" s="378">
        <v>-1278.5</v>
      </c>
      <c r="L61" s="378">
        <v>90714.25</v>
      </c>
      <c r="M61" s="323">
        <f t="shared" si="0"/>
        <v>1040972.7799999999</v>
      </c>
      <c r="N61" s="380">
        <v>3858.55</v>
      </c>
      <c r="O61" s="380"/>
      <c r="P61" s="380">
        <v>38874</v>
      </c>
      <c r="Q61" s="380">
        <v>1150.07</v>
      </c>
      <c r="R61" s="380">
        <v>6422.8</v>
      </c>
      <c r="S61" s="368">
        <v>648.45000000000005</v>
      </c>
      <c r="T61" s="430">
        <f t="shared" si="1"/>
        <v>1091926.6500000001</v>
      </c>
      <c r="U61" s="381">
        <v>76</v>
      </c>
      <c r="V61" s="384">
        <v>508</v>
      </c>
      <c r="W61" s="427">
        <v>-5240.1099999999997</v>
      </c>
      <c r="X61" s="433"/>
      <c r="Y61" s="433">
        <v>-212.45</v>
      </c>
      <c r="Z61" s="438">
        <v>1</v>
      </c>
    </row>
    <row r="62" spans="1:26" x14ac:dyDescent="0.25">
      <c r="A62" s="329">
        <v>5492</v>
      </c>
      <c r="B62" s="447" t="s">
        <v>161</v>
      </c>
      <c r="C62" s="378">
        <v>6199342.6900000004</v>
      </c>
      <c r="D62" s="378">
        <v>4598190.0199999996</v>
      </c>
      <c r="E62" s="378"/>
      <c r="F62" s="497"/>
      <c r="G62" s="378">
        <v>58991.35</v>
      </c>
      <c r="H62" s="378">
        <v>2581.15</v>
      </c>
      <c r="I62" s="378"/>
      <c r="J62" s="378">
        <v>111168.97</v>
      </c>
      <c r="K62" s="378">
        <v>3090.45</v>
      </c>
      <c r="L62" s="378">
        <v>74920.649999999994</v>
      </c>
      <c r="M62" s="323">
        <f t="shared" si="0"/>
        <v>11048285.280000001</v>
      </c>
      <c r="N62" s="380">
        <v>5465.05</v>
      </c>
      <c r="O62" s="380">
        <v>206723</v>
      </c>
      <c r="P62" s="380">
        <v>102410.35</v>
      </c>
      <c r="Q62" s="380">
        <v>2782.2</v>
      </c>
      <c r="R62" s="380">
        <v>111182.9</v>
      </c>
      <c r="S62" s="368">
        <v>6973.83</v>
      </c>
      <c r="T62" s="430">
        <f t="shared" si="1"/>
        <v>11483822.610000001</v>
      </c>
      <c r="U62" s="381">
        <v>64</v>
      </c>
      <c r="V62" s="384">
        <v>981</v>
      </c>
      <c r="W62" s="427">
        <v>-11961.08</v>
      </c>
      <c r="X62" s="433"/>
      <c r="Y62" s="433">
        <v>-3713.94</v>
      </c>
      <c r="Z62" s="438">
        <v>0.3</v>
      </c>
    </row>
    <row r="63" spans="1:26" x14ac:dyDescent="0.25">
      <c r="A63" s="329">
        <v>5493</v>
      </c>
      <c r="B63" s="447" t="s">
        <v>162</v>
      </c>
      <c r="C63" s="378">
        <v>809398.85</v>
      </c>
      <c r="D63" s="378">
        <v>84750.25</v>
      </c>
      <c r="E63" s="378"/>
      <c r="F63" s="497"/>
      <c r="G63" s="378">
        <v>4348.2</v>
      </c>
      <c r="H63" s="378">
        <v>2054.4499999999998</v>
      </c>
      <c r="I63" s="378"/>
      <c r="J63" s="378">
        <v>6486.06</v>
      </c>
      <c r="K63" s="378">
        <v>3388.55</v>
      </c>
      <c r="L63" s="378">
        <v>52860.75</v>
      </c>
      <c r="M63" s="323">
        <f t="shared" si="0"/>
        <v>963287.11</v>
      </c>
      <c r="N63" s="380">
        <v>62150.05</v>
      </c>
      <c r="O63" s="380">
        <v>43775.5</v>
      </c>
      <c r="P63" s="380">
        <v>29890.05</v>
      </c>
      <c r="Q63" s="380">
        <v>2314.0100000000002</v>
      </c>
      <c r="R63" s="380">
        <v>80673.899999999994</v>
      </c>
      <c r="S63" s="368">
        <v>725.18</v>
      </c>
      <c r="T63" s="430">
        <f t="shared" si="1"/>
        <v>1182815.8</v>
      </c>
      <c r="U63" s="381">
        <v>73</v>
      </c>
      <c r="V63" s="384">
        <v>480</v>
      </c>
      <c r="W63" s="427">
        <v>-9727.34</v>
      </c>
      <c r="X63" s="433"/>
      <c r="Y63" s="433">
        <v>-296.35000000000002</v>
      </c>
      <c r="Z63" s="438">
        <v>0.65</v>
      </c>
    </row>
    <row r="64" spans="1:26" x14ac:dyDescent="0.25">
      <c r="A64" s="329">
        <v>5494</v>
      </c>
      <c r="B64" s="447" t="s">
        <v>163</v>
      </c>
      <c r="C64" s="378">
        <v>2549327.81</v>
      </c>
      <c r="D64" s="378">
        <v>296541.77</v>
      </c>
      <c r="E64" s="378"/>
      <c r="F64" s="497"/>
      <c r="G64" s="378">
        <v>53027.45</v>
      </c>
      <c r="H64" s="378">
        <v>3144.8</v>
      </c>
      <c r="I64" s="378"/>
      <c r="J64" s="378">
        <v>46314.76</v>
      </c>
      <c r="K64" s="378">
        <v>2634.4</v>
      </c>
      <c r="L64" s="378">
        <v>243716.25</v>
      </c>
      <c r="M64" s="323">
        <f t="shared" si="0"/>
        <v>3194707.2399999998</v>
      </c>
      <c r="N64" s="380">
        <v>12887.05</v>
      </c>
      <c r="O64" s="380"/>
      <c r="P64" s="380">
        <v>412908.65</v>
      </c>
      <c r="Q64" s="380">
        <v>4712.0200000000004</v>
      </c>
      <c r="R64" s="380">
        <v>83414.5</v>
      </c>
      <c r="S64" s="368">
        <v>6362.19</v>
      </c>
      <c r="T64" s="430">
        <f t="shared" si="1"/>
        <v>3714991.6499999994</v>
      </c>
      <c r="U64" s="381">
        <v>73</v>
      </c>
      <c r="V64" s="384">
        <v>1185</v>
      </c>
      <c r="W64" s="427">
        <v>-38686.959999999999</v>
      </c>
      <c r="X64" s="433"/>
      <c r="Y64" s="433">
        <v>-1118.1500000000001</v>
      </c>
      <c r="Z64" s="438">
        <v>1.05</v>
      </c>
    </row>
    <row r="65" spans="1:26" x14ac:dyDescent="0.25">
      <c r="A65" s="329">
        <v>5495</v>
      </c>
      <c r="B65" s="447" t="s">
        <v>164</v>
      </c>
      <c r="C65" s="378">
        <v>5603594.8700000001</v>
      </c>
      <c r="D65" s="378">
        <v>597312.48</v>
      </c>
      <c r="E65" s="378"/>
      <c r="F65" s="497"/>
      <c r="G65" s="378">
        <v>136985.25</v>
      </c>
      <c r="H65" s="378">
        <v>5512.1</v>
      </c>
      <c r="I65" s="378">
        <v>76501.600000000006</v>
      </c>
      <c r="J65" s="378">
        <v>145240.63</v>
      </c>
      <c r="K65" s="378">
        <v>82139.850000000006</v>
      </c>
      <c r="L65" s="378">
        <v>496763.95</v>
      </c>
      <c r="M65" s="323">
        <f t="shared" si="0"/>
        <v>7144050.7299999986</v>
      </c>
      <c r="N65" s="380">
        <v>268180.65000000002</v>
      </c>
      <c r="O65" s="380">
        <v>15468.7</v>
      </c>
      <c r="P65" s="380">
        <v>258107.75</v>
      </c>
      <c r="Q65" s="380">
        <v>26975.93</v>
      </c>
      <c r="R65" s="380">
        <v>230226.7</v>
      </c>
      <c r="S65" s="368">
        <v>16139.55</v>
      </c>
      <c r="T65" s="430">
        <f t="shared" si="1"/>
        <v>7959150.0099999988</v>
      </c>
      <c r="U65" s="381">
        <v>74</v>
      </c>
      <c r="V65" s="384">
        <v>3210</v>
      </c>
      <c r="W65" s="427">
        <v>-132239.49</v>
      </c>
      <c r="X65" s="433"/>
      <c r="Y65" s="433">
        <v>-1652.23</v>
      </c>
      <c r="Z65" s="438">
        <v>1</v>
      </c>
    </row>
    <row r="66" spans="1:26" x14ac:dyDescent="0.25">
      <c r="A66" s="329">
        <v>5496</v>
      </c>
      <c r="B66" s="447" t="s">
        <v>165</v>
      </c>
      <c r="C66" s="378">
        <v>3333834.7600000002</v>
      </c>
      <c r="D66" s="378">
        <v>348087.48</v>
      </c>
      <c r="E66" s="378"/>
      <c r="F66" s="497"/>
      <c r="G66" s="378">
        <v>102687.4</v>
      </c>
      <c r="H66" s="378">
        <v>9003.35</v>
      </c>
      <c r="I66" s="378"/>
      <c r="J66" s="378">
        <v>38286.129999999997</v>
      </c>
      <c r="K66" s="378">
        <v>18148.95</v>
      </c>
      <c r="L66" s="378">
        <v>349424.7</v>
      </c>
      <c r="M66" s="323">
        <f t="shared" si="0"/>
        <v>4199472.7700000005</v>
      </c>
      <c r="N66" s="380">
        <v>104386.05</v>
      </c>
      <c r="O66" s="380">
        <v>28508.799999999999</v>
      </c>
      <c r="P66" s="380">
        <v>197617.55</v>
      </c>
      <c r="Q66" s="380">
        <v>465517.47</v>
      </c>
      <c r="R66" s="380">
        <v>201141.7</v>
      </c>
      <c r="S66" s="368">
        <v>12650.33</v>
      </c>
      <c r="T66" s="430">
        <f t="shared" si="1"/>
        <v>5209294.67</v>
      </c>
      <c r="U66" s="381">
        <v>69.5</v>
      </c>
      <c r="V66" s="384">
        <v>1890</v>
      </c>
      <c r="W66" s="427">
        <v>-766849.75</v>
      </c>
      <c r="X66" s="433"/>
      <c r="Y66" s="433">
        <v>-170.96</v>
      </c>
      <c r="Z66" s="438">
        <v>1</v>
      </c>
    </row>
    <row r="67" spans="1:26" x14ac:dyDescent="0.25">
      <c r="A67" s="329">
        <v>5497</v>
      </c>
      <c r="B67" s="447" t="s">
        <v>166</v>
      </c>
      <c r="C67" s="378">
        <v>1177437.97</v>
      </c>
      <c r="D67" s="378">
        <v>116482.34</v>
      </c>
      <c r="E67" s="378"/>
      <c r="F67" s="497"/>
      <c r="G67" s="378">
        <v>3777.1</v>
      </c>
      <c r="H67" s="378">
        <v>1620.05</v>
      </c>
      <c r="I67" s="378"/>
      <c r="J67" s="378">
        <v>46697.02</v>
      </c>
      <c r="K67" s="378">
        <v>3863.6</v>
      </c>
      <c r="L67" s="378">
        <v>133394.5</v>
      </c>
      <c r="M67" s="323">
        <f t="shared" si="0"/>
        <v>1483272.5800000003</v>
      </c>
      <c r="N67" s="380">
        <v>218566.05</v>
      </c>
      <c r="O67" s="380">
        <v>371.8</v>
      </c>
      <c r="P67" s="380">
        <v>27720</v>
      </c>
      <c r="Q67" s="380">
        <v>8088.05</v>
      </c>
      <c r="R67" s="380">
        <v>18644.8</v>
      </c>
      <c r="S67" s="368">
        <v>611.29</v>
      </c>
      <c r="T67" s="430">
        <f t="shared" si="1"/>
        <v>1757274.5700000005</v>
      </c>
      <c r="U67" s="381">
        <v>66</v>
      </c>
      <c r="V67" s="384">
        <v>849</v>
      </c>
      <c r="W67" s="427">
        <v>-23118.81</v>
      </c>
      <c r="X67" s="433"/>
      <c r="Y67" s="433">
        <v>-122.15</v>
      </c>
      <c r="Z67" s="438">
        <v>1</v>
      </c>
    </row>
    <row r="68" spans="1:26" x14ac:dyDescent="0.25">
      <c r="A68" s="329">
        <v>5498</v>
      </c>
      <c r="B68" s="447" t="s">
        <v>167</v>
      </c>
      <c r="C68" s="378">
        <v>3886748.79</v>
      </c>
      <c r="D68" s="378">
        <v>422611.84</v>
      </c>
      <c r="E68" s="378"/>
      <c r="F68" s="497"/>
      <c r="G68" s="378">
        <v>96073.65</v>
      </c>
      <c r="H68" s="378">
        <v>8165.6</v>
      </c>
      <c r="I68" s="378"/>
      <c r="J68" s="378">
        <v>130280.65</v>
      </c>
      <c r="K68" s="378">
        <v>36142.65</v>
      </c>
      <c r="L68" s="378">
        <v>412318.85</v>
      </c>
      <c r="M68" s="323">
        <f t="shared" si="0"/>
        <v>4992342.03</v>
      </c>
      <c r="N68" s="380">
        <v>71417.3</v>
      </c>
      <c r="O68" s="380"/>
      <c r="P68" s="380">
        <v>189677.9</v>
      </c>
      <c r="Q68" s="380">
        <v>19513.57</v>
      </c>
      <c r="R68" s="380">
        <v>61249.3</v>
      </c>
      <c r="S68" s="368">
        <v>11806.36</v>
      </c>
      <c r="T68" s="430">
        <f t="shared" si="1"/>
        <v>5346006.4600000009</v>
      </c>
      <c r="U68" s="381">
        <v>66</v>
      </c>
      <c r="V68" s="384">
        <v>2620</v>
      </c>
      <c r="W68" s="427">
        <v>-94105.54</v>
      </c>
      <c r="X68" s="433"/>
      <c r="Y68" s="433">
        <v>-534.58000000000004</v>
      </c>
      <c r="Z68" s="438">
        <v>1</v>
      </c>
    </row>
    <row r="69" spans="1:26" x14ac:dyDescent="0.25">
      <c r="A69" s="329">
        <v>5499</v>
      </c>
      <c r="B69" s="447" t="s">
        <v>168</v>
      </c>
      <c r="C69" s="378">
        <v>943191.74</v>
      </c>
      <c r="D69" s="378">
        <v>159897.18</v>
      </c>
      <c r="E69" s="378"/>
      <c r="F69" s="497"/>
      <c r="G69" s="378">
        <v>27081.75</v>
      </c>
      <c r="H69" s="378">
        <v>1052.95</v>
      </c>
      <c r="I69" s="378"/>
      <c r="J69" s="378">
        <v>18119.009999999998</v>
      </c>
      <c r="K69" s="378"/>
      <c r="L69" s="378">
        <v>98308.6</v>
      </c>
      <c r="M69" s="323">
        <f t="shared" si="0"/>
        <v>1247651.23</v>
      </c>
      <c r="N69" s="380">
        <v>17980.25</v>
      </c>
      <c r="O69" s="380">
        <v>162468</v>
      </c>
      <c r="P69" s="380">
        <v>153674.4</v>
      </c>
      <c r="Q69" s="380">
        <v>3622.18</v>
      </c>
      <c r="R69" s="380">
        <v>122420.65</v>
      </c>
      <c r="S69" s="368">
        <v>3186.6</v>
      </c>
      <c r="T69" s="430">
        <f t="shared" si="1"/>
        <v>1711003.3099999998</v>
      </c>
      <c r="U69" s="381">
        <v>68.5</v>
      </c>
      <c r="V69" s="384">
        <v>491</v>
      </c>
      <c r="W69" s="427">
        <v>-4300.05</v>
      </c>
      <c r="X69" s="433"/>
      <c r="Y69" s="433">
        <v>-795.02</v>
      </c>
      <c r="Z69" s="438">
        <v>1</v>
      </c>
    </row>
    <row r="70" spans="1:26" x14ac:dyDescent="0.25">
      <c r="A70" s="329">
        <v>5500</v>
      </c>
      <c r="B70" s="447" t="s">
        <v>169</v>
      </c>
      <c r="C70" s="378">
        <v>390105.12</v>
      </c>
      <c r="D70" s="378">
        <v>96738.65</v>
      </c>
      <c r="E70" s="378"/>
      <c r="F70" s="497"/>
      <c r="G70" s="378">
        <v>882.4</v>
      </c>
      <c r="H70" s="378">
        <v>789.45</v>
      </c>
      <c r="I70" s="378"/>
      <c r="J70" s="378">
        <v>5385.62</v>
      </c>
      <c r="K70" s="378">
        <v>469.95</v>
      </c>
      <c r="L70" s="378">
        <v>50664.5</v>
      </c>
      <c r="M70" s="323">
        <f t="shared" ref="M70:M133" si="2">SUM(C70:L70)</f>
        <v>545035.69000000006</v>
      </c>
      <c r="N70" s="380">
        <v>497.35</v>
      </c>
      <c r="O70" s="380">
        <v>2968</v>
      </c>
      <c r="P70" s="380">
        <v>58152.6</v>
      </c>
      <c r="Q70" s="380">
        <v>540.62</v>
      </c>
      <c r="R70" s="380">
        <v>47094.400000000001</v>
      </c>
      <c r="S70" s="368">
        <v>189.36</v>
      </c>
      <c r="T70" s="430">
        <f t="shared" si="1"/>
        <v>654478.02</v>
      </c>
      <c r="U70" s="381">
        <v>73</v>
      </c>
      <c r="V70" s="384">
        <v>220</v>
      </c>
      <c r="W70" s="427">
        <v>-9410.67</v>
      </c>
      <c r="X70" s="433"/>
      <c r="Y70" s="433">
        <v>-94.4</v>
      </c>
      <c r="Z70" s="438">
        <v>1.2</v>
      </c>
    </row>
    <row r="71" spans="1:26" x14ac:dyDescent="0.25">
      <c r="A71" s="329">
        <v>5501</v>
      </c>
      <c r="B71" s="447" t="s">
        <v>170</v>
      </c>
      <c r="C71" s="378">
        <v>2602889.13</v>
      </c>
      <c r="D71" s="378">
        <v>36100.81</v>
      </c>
      <c r="E71" s="378"/>
      <c r="F71" s="497"/>
      <c r="G71" s="378">
        <v>112626.8</v>
      </c>
      <c r="H71" s="378">
        <v>776.05</v>
      </c>
      <c r="I71" s="378"/>
      <c r="J71" s="378">
        <v>-15312.01</v>
      </c>
      <c r="K71" s="378"/>
      <c r="L71" s="378">
        <v>234399.4</v>
      </c>
      <c r="M71" s="323">
        <f t="shared" si="2"/>
        <v>2971480.1799999997</v>
      </c>
      <c r="N71" s="380">
        <v>11593.6</v>
      </c>
      <c r="O71" s="380">
        <v>-3286130</v>
      </c>
      <c r="P71" s="380">
        <v>348297.95</v>
      </c>
      <c r="Q71" s="380">
        <v>149.38999999999999</v>
      </c>
      <c r="R71" s="380">
        <v>258377.25</v>
      </c>
      <c r="S71" s="368">
        <v>12844.25</v>
      </c>
      <c r="T71" s="430">
        <f t="shared" ref="T71:T134" si="3">SUM(M71:S71)</f>
        <v>316612.61999999982</v>
      </c>
      <c r="U71" s="381">
        <v>68.5</v>
      </c>
      <c r="V71" s="384">
        <v>1143</v>
      </c>
      <c r="W71" s="427">
        <v>-18807.830000000002</v>
      </c>
      <c r="X71" s="433"/>
      <c r="Y71" s="433">
        <v>-6767.46</v>
      </c>
      <c r="Z71" s="438">
        <v>1</v>
      </c>
    </row>
    <row r="72" spans="1:26" x14ac:dyDescent="0.25">
      <c r="A72" s="329">
        <v>5503</v>
      </c>
      <c r="B72" s="447" t="s">
        <v>171</v>
      </c>
      <c r="C72" s="378">
        <v>3863752.34</v>
      </c>
      <c r="D72" s="378">
        <v>553028.49</v>
      </c>
      <c r="E72" s="378"/>
      <c r="F72" s="497"/>
      <c r="G72" s="378">
        <v>255214.2</v>
      </c>
      <c r="H72" s="378">
        <v>55373.3</v>
      </c>
      <c r="I72" s="378"/>
      <c r="J72" s="378">
        <v>104703.15</v>
      </c>
      <c r="K72" s="378">
        <v>79251.8</v>
      </c>
      <c r="L72" s="378">
        <v>503415.2</v>
      </c>
      <c r="M72" s="323">
        <f t="shared" si="2"/>
        <v>5414738.4800000004</v>
      </c>
      <c r="N72" s="380">
        <v>157043</v>
      </c>
      <c r="O72" s="380">
        <v>33790</v>
      </c>
      <c r="P72" s="380">
        <v>156817.79999999999</v>
      </c>
      <c r="Q72" s="380">
        <v>1765.97</v>
      </c>
      <c r="R72" s="380">
        <v>132941.5</v>
      </c>
      <c r="S72" s="368">
        <v>35177.800000000003</v>
      </c>
      <c r="T72" s="430">
        <f t="shared" si="3"/>
        <v>5932274.5499999998</v>
      </c>
      <c r="U72" s="381">
        <v>67</v>
      </c>
      <c r="V72" s="384">
        <v>1346</v>
      </c>
      <c r="W72" s="427">
        <v>-47973.53</v>
      </c>
      <c r="X72" s="433"/>
      <c r="Y72" s="433">
        <v>-24815.29</v>
      </c>
      <c r="Z72" s="438">
        <v>1.2</v>
      </c>
    </row>
    <row r="73" spans="1:26" x14ac:dyDescent="0.25">
      <c r="A73" s="329">
        <v>5511</v>
      </c>
      <c r="B73" s="447" t="s">
        <v>172</v>
      </c>
      <c r="C73" s="378">
        <v>2518825</v>
      </c>
      <c r="D73" s="378">
        <v>563542.92000000004</v>
      </c>
      <c r="E73" s="378"/>
      <c r="F73" s="497"/>
      <c r="G73" s="378">
        <v>139459.54999999999</v>
      </c>
      <c r="H73" s="378">
        <v>6960.45</v>
      </c>
      <c r="I73" s="378"/>
      <c r="J73" s="378">
        <v>53827.93</v>
      </c>
      <c r="K73" s="378">
        <v>10548.55</v>
      </c>
      <c r="L73" s="378">
        <v>265945.90000000002</v>
      </c>
      <c r="M73" s="323">
        <f t="shared" si="2"/>
        <v>3559110.3</v>
      </c>
      <c r="N73" s="380">
        <v>33270.85</v>
      </c>
      <c r="O73" s="380">
        <v>611650</v>
      </c>
      <c r="P73" s="380">
        <v>129605.2</v>
      </c>
      <c r="Q73" s="380">
        <v>1630.35</v>
      </c>
      <c r="R73" s="380">
        <v>129303.7</v>
      </c>
      <c r="S73" s="368">
        <v>16583.84</v>
      </c>
      <c r="T73" s="430">
        <f t="shared" si="3"/>
        <v>4481154.24</v>
      </c>
      <c r="U73" s="381">
        <v>70</v>
      </c>
      <c r="V73" s="384">
        <v>1151</v>
      </c>
      <c r="W73" s="427">
        <v>-30678.3</v>
      </c>
      <c r="X73" s="433"/>
      <c r="Y73" s="433">
        <v>-233304.33</v>
      </c>
      <c r="Z73" s="438">
        <v>1</v>
      </c>
    </row>
    <row r="74" spans="1:26" x14ac:dyDescent="0.25">
      <c r="A74" s="329">
        <v>5512</v>
      </c>
      <c r="B74" s="447" t="s">
        <v>173</v>
      </c>
      <c r="C74" s="378">
        <v>2424120.2999999998</v>
      </c>
      <c r="D74" s="378">
        <v>418038.22</v>
      </c>
      <c r="E74" s="378"/>
      <c r="F74" s="497"/>
      <c r="G74" s="378">
        <v>73052.05</v>
      </c>
      <c r="H74" s="378">
        <v>5275.1</v>
      </c>
      <c r="I74" s="378"/>
      <c r="J74" s="378">
        <v>56775.6</v>
      </c>
      <c r="K74" s="378">
        <v>10795.6</v>
      </c>
      <c r="L74" s="378">
        <v>267009</v>
      </c>
      <c r="M74" s="323">
        <f t="shared" si="2"/>
        <v>3255065.8699999996</v>
      </c>
      <c r="N74" s="380">
        <v>87440.85</v>
      </c>
      <c r="O74" s="380">
        <v>34040.199999999997</v>
      </c>
      <c r="P74" s="380">
        <v>222641.65</v>
      </c>
      <c r="Q74" s="380">
        <v>16132.58</v>
      </c>
      <c r="R74" s="380">
        <v>144724.5</v>
      </c>
      <c r="S74" s="368">
        <v>8871.5</v>
      </c>
      <c r="T74" s="430">
        <f t="shared" si="3"/>
        <v>3768917.15</v>
      </c>
      <c r="U74" s="381">
        <v>79</v>
      </c>
      <c r="V74" s="384">
        <v>1320</v>
      </c>
      <c r="W74" s="427">
        <v>-59212.84</v>
      </c>
      <c r="X74" s="433"/>
      <c r="Y74" s="433">
        <v>-491.2</v>
      </c>
      <c r="Z74" s="438">
        <v>1</v>
      </c>
    </row>
    <row r="75" spans="1:26" x14ac:dyDescent="0.25">
      <c r="A75" s="329">
        <v>5513</v>
      </c>
      <c r="B75" s="447" t="s">
        <v>174</v>
      </c>
      <c r="C75" s="378">
        <v>1020049.19</v>
      </c>
      <c r="D75" s="378">
        <v>100476.84</v>
      </c>
      <c r="E75" s="378"/>
      <c r="F75" s="497"/>
      <c r="G75" s="378">
        <v>212328.45</v>
      </c>
      <c r="H75" s="378">
        <v>31695.55</v>
      </c>
      <c r="I75" s="378"/>
      <c r="J75" s="378">
        <v>22477.66</v>
      </c>
      <c r="K75" s="378">
        <v>9832.25</v>
      </c>
      <c r="L75" s="378">
        <v>60945.3</v>
      </c>
      <c r="M75" s="323">
        <f t="shared" si="2"/>
        <v>1457805.24</v>
      </c>
      <c r="N75" s="380">
        <v>303896.84999999998</v>
      </c>
      <c r="O75" s="380">
        <v>17286.599999999999</v>
      </c>
      <c r="P75" s="380">
        <v>49485.15</v>
      </c>
      <c r="Q75" s="380">
        <v>6816.54</v>
      </c>
      <c r="R75" s="380">
        <v>43304.800000000003</v>
      </c>
      <c r="S75" s="368">
        <v>27638.68</v>
      </c>
      <c r="T75" s="430">
        <f t="shared" si="3"/>
        <v>1906233.8599999999</v>
      </c>
      <c r="U75" s="381">
        <v>68</v>
      </c>
      <c r="V75" s="384">
        <v>518</v>
      </c>
      <c r="W75" s="427">
        <v>-6952.18</v>
      </c>
      <c r="X75" s="433"/>
      <c r="Y75" s="433">
        <v>-0.04</v>
      </c>
      <c r="Z75" s="438">
        <v>0.5</v>
      </c>
    </row>
    <row r="76" spans="1:26" x14ac:dyDescent="0.25">
      <c r="A76" s="329">
        <v>5514</v>
      </c>
      <c r="B76" s="447" t="s">
        <v>175</v>
      </c>
      <c r="C76" s="378">
        <v>2492198.1</v>
      </c>
      <c r="D76" s="378">
        <v>381296.87</v>
      </c>
      <c r="E76" s="378"/>
      <c r="F76" s="497"/>
      <c r="G76" s="378">
        <v>637.35</v>
      </c>
      <c r="H76" s="378">
        <v>9423.2000000000007</v>
      </c>
      <c r="I76" s="378">
        <v>41017.800000000003</v>
      </c>
      <c r="J76" s="378">
        <v>50858.18</v>
      </c>
      <c r="K76" s="378">
        <v>11340</v>
      </c>
      <c r="L76" s="378">
        <v>240325.6</v>
      </c>
      <c r="M76" s="323">
        <f t="shared" si="2"/>
        <v>3227097.1000000006</v>
      </c>
      <c r="N76" s="380">
        <v>499.65</v>
      </c>
      <c r="O76" s="380">
        <v>37827</v>
      </c>
      <c r="P76" s="380">
        <v>69041.7</v>
      </c>
      <c r="Q76" s="380">
        <v>1638.86</v>
      </c>
      <c r="R76" s="380">
        <v>53017.4</v>
      </c>
      <c r="S76" s="368">
        <v>1139.48</v>
      </c>
      <c r="T76" s="430">
        <f t="shared" si="3"/>
        <v>3390261.1900000004</v>
      </c>
      <c r="U76" s="381">
        <v>72.5</v>
      </c>
      <c r="V76" s="384">
        <v>1357</v>
      </c>
      <c r="W76" s="427">
        <v>-23602.05</v>
      </c>
      <c r="X76" s="433"/>
      <c r="Y76" s="433">
        <v>-75.77</v>
      </c>
      <c r="Z76" s="438">
        <v>1</v>
      </c>
    </row>
    <row r="77" spans="1:26" x14ac:dyDescent="0.25">
      <c r="A77" s="329">
        <v>5515</v>
      </c>
      <c r="B77" s="447" t="s">
        <v>176</v>
      </c>
      <c r="C77" s="378">
        <v>2070477.48</v>
      </c>
      <c r="D77" s="378">
        <v>225852.1</v>
      </c>
      <c r="E77" s="378"/>
      <c r="F77" s="497"/>
      <c r="G77" s="378">
        <v>13185.75</v>
      </c>
      <c r="H77" s="378">
        <v>10187</v>
      </c>
      <c r="I77" s="378"/>
      <c r="J77" s="378">
        <v>32009.33</v>
      </c>
      <c r="K77" s="378">
        <v>12821.05</v>
      </c>
      <c r="L77" s="378">
        <v>178237.15</v>
      </c>
      <c r="M77" s="323">
        <f t="shared" si="2"/>
        <v>2542769.86</v>
      </c>
      <c r="N77" s="380">
        <v>9701.7999999999993</v>
      </c>
      <c r="O77" s="380"/>
      <c r="P77" s="380">
        <v>131282.75</v>
      </c>
      <c r="Q77" s="380">
        <v>509.96</v>
      </c>
      <c r="R77" s="380">
        <v>67945.399999999994</v>
      </c>
      <c r="S77" s="368">
        <v>2647.25</v>
      </c>
      <c r="T77" s="430">
        <f t="shared" si="3"/>
        <v>2754857.0199999996</v>
      </c>
      <c r="U77" s="381">
        <v>78</v>
      </c>
      <c r="V77" s="384">
        <v>882</v>
      </c>
      <c r="W77" s="427">
        <v>-22673.65</v>
      </c>
      <c r="X77" s="433"/>
      <c r="Y77" s="433">
        <v>-48.95</v>
      </c>
      <c r="Z77" s="438">
        <v>1</v>
      </c>
    </row>
    <row r="78" spans="1:26" x14ac:dyDescent="0.25">
      <c r="A78" s="329">
        <v>5516</v>
      </c>
      <c r="B78" s="447" t="s">
        <v>177</v>
      </c>
      <c r="C78" s="378">
        <v>6695303.0999999996</v>
      </c>
      <c r="D78" s="378">
        <v>1054433.6200000001</v>
      </c>
      <c r="E78" s="378"/>
      <c r="F78" s="497"/>
      <c r="G78" s="378">
        <v>187669.85</v>
      </c>
      <c r="H78" s="378">
        <v>12745.95</v>
      </c>
      <c r="I78" s="378">
        <v>82048.100000000006</v>
      </c>
      <c r="J78" s="378">
        <v>103872.75</v>
      </c>
      <c r="K78" s="378">
        <v>26325.5</v>
      </c>
      <c r="L78" s="378">
        <v>716846.85</v>
      </c>
      <c r="M78" s="323">
        <f t="shared" si="2"/>
        <v>8879245.7199999988</v>
      </c>
      <c r="N78" s="380">
        <v>98315.199999999997</v>
      </c>
      <c r="O78" s="380">
        <v>11587.7</v>
      </c>
      <c r="P78" s="380">
        <v>295046.84999999998</v>
      </c>
      <c r="Q78" s="380">
        <v>9516.2199999999993</v>
      </c>
      <c r="R78" s="380">
        <v>269483</v>
      </c>
      <c r="S78" s="368">
        <v>22699.52</v>
      </c>
      <c r="T78" s="430">
        <f t="shared" si="3"/>
        <v>9585894.2099999972</v>
      </c>
      <c r="U78" s="381">
        <v>78</v>
      </c>
      <c r="V78" s="384">
        <v>2733</v>
      </c>
      <c r="W78" s="427">
        <v>-83943.7</v>
      </c>
      <c r="X78" s="433"/>
      <c r="Y78" s="433">
        <v>-2859.82</v>
      </c>
      <c r="Z78" s="438">
        <v>1.2</v>
      </c>
    </row>
    <row r="79" spans="1:26" x14ac:dyDescent="0.25">
      <c r="A79" s="329">
        <v>5518</v>
      </c>
      <c r="B79" s="447" t="s">
        <v>178</v>
      </c>
      <c r="C79" s="378">
        <v>10175055.689999999</v>
      </c>
      <c r="D79" s="378">
        <v>1376857.71</v>
      </c>
      <c r="E79" s="378"/>
      <c r="F79" s="497"/>
      <c r="G79" s="378">
        <v>370505.45</v>
      </c>
      <c r="H79" s="378">
        <v>86409.45</v>
      </c>
      <c r="I79" s="378"/>
      <c r="J79" s="378">
        <v>149018.43</v>
      </c>
      <c r="K79" s="378">
        <v>70964.3</v>
      </c>
      <c r="L79" s="378">
        <v>1101927.8500000001</v>
      </c>
      <c r="M79" s="323">
        <f t="shared" si="2"/>
        <v>13330738.879999997</v>
      </c>
      <c r="N79" s="380">
        <v>227029.45</v>
      </c>
      <c r="O79" s="380">
        <v>49670.5</v>
      </c>
      <c r="P79" s="380">
        <v>467731</v>
      </c>
      <c r="Q79" s="380">
        <v>36285.79</v>
      </c>
      <c r="R79" s="380">
        <v>433182.65</v>
      </c>
      <c r="S79" s="368">
        <v>51751.15</v>
      </c>
      <c r="T79" s="430">
        <f t="shared" si="3"/>
        <v>14596389.419999996</v>
      </c>
      <c r="U79" s="381">
        <v>72.5</v>
      </c>
      <c r="V79" s="384">
        <v>5739</v>
      </c>
      <c r="W79" s="427">
        <v>-144405.91</v>
      </c>
      <c r="X79" s="433"/>
      <c r="Y79" s="433">
        <v>-4657.82</v>
      </c>
      <c r="Z79" s="438">
        <v>1</v>
      </c>
    </row>
    <row r="80" spans="1:26" x14ac:dyDescent="0.25">
      <c r="A80" s="329">
        <v>5520</v>
      </c>
      <c r="B80" s="447" t="s">
        <v>179</v>
      </c>
      <c r="C80" s="378">
        <v>1806862.31</v>
      </c>
      <c r="D80" s="378">
        <v>274763.32</v>
      </c>
      <c r="E80" s="378"/>
      <c r="F80" s="497"/>
      <c r="G80" s="378">
        <v>24751.3</v>
      </c>
      <c r="H80" s="378">
        <v>2390.6</v>
      </c>
      <c r="I80" s="378"/>
      <c r="J80" s="378">
        <v>24016.799999999999</v>
      </c>
      <c r="K80" s="378">
        <v>5999.75</v>
      </c>
      <c r="L80" s="378">
        <v>195705.3</v>
      </c>
      <c r="M80" s="323">
        <f t="shared" si="2"/>
        <v>2334489.38</v>
      </c>
      <c r="N80" s="380">
        <v>11223.55</v>
      </c>
      <c r="O80" s="380"/>
      <c r="P80" s="380">
        <v>75823.5</v>
      </c>
      <c r="Q80" s="380">
        <v>26731.01</v>
      </c>
      <c r="R80" s="380">
        <v>33582.449999999997</v>
      </c>
      <c r="S80" s="368">
        <v>3074.15</v>
      </c>
      <c r="T80" s="430">
        <f t="shared" si="3"/>
        <v>2484924.0399999996</v>
      </c>
      <c r="U80" s="381">
        <v>73</v>
      </c>
      <c r="V80" s="384">
        <v>1059</v>
      </c>
      <c r="W80" s="427">
        <v>-50287.94</v>
      </c>
      <c r="X80" s="433"/>
      <c r="Y80" s="433">
        <v>-147.56</v>
      </c>
      <c r="Z80" s="438">
        <v>1</v>
      </c>
    </row>
    <row r="81" spans="1:26" x14ac:dyDescent="0.25">
      <c r="A81" s="329">
        <v>5521</v>
      </c>
      <c r="B81" s="447" t="s">
        <v>180</v>
      </c>
      <c r="C81" s="378">
        <v>2329469.2799999998</v>
      </c>
      <c r="D81" s="378">
        <v>270709.42</v>
      </c>
      <c r="E81" s="378"/>
      <c r="F81" s="497"/>
      <c r="G81" s="378">
        <v>167771.1</v>
      </c>
      <c r="H81" s="378">
        <v>2580.9</v>
      </c>
      <c r="I81" s="378"/>
      <c r="J81" s="378">
        <v>64995.76</v>
      </c>
      <c r="K81" s="378">
        <v>17341.25</v>
      </c>
      <c r="L81" s="378">
        <v>265040.45</v>
      </c>
      <c r="M81" s="323">
        <f t="shared" si="2"/>
        <v>3117908.1599999997</v>
      </c>
      <c r="N81" s="380">
        <v>29998</v>
      </c>
      <c r="O81" s="380"/>
      <c r="P81" s="380">
        <v>55425.75</v>
      </c>
      <c r="Q81" s="380">
        <v>25334.83</v>
      </c>
      <c r="R81" s="380">
        <v>177250.5</v>
      </c>
      <c r="S81" s="368">
        <v>19294.43</v>
      </c>
      <c r="T81" s="430">
        <f t="shared" si="3"/>
        <v>3425211.67</v>
      </c>
      <c r="U81" s="381">
        <v>73</v>
      </c>
      <c r="V81" s="384">
        <v>1148</v>
      </c>
      <c r="W81" s="427">
        <v>-48097.07</v>
      </c>
      <c r="X81" s="433"/>
      <c r="Y81" s="433">
        <v>-1329.45</v>
      </c>
      <c r="Z81" s="438">
        <v>1</v>
      </c>
    </row>
    <row r="82" spans="1:26" x14ac:dyDescent="0.25">
      <c r="A82" s="329">
        <v>5522</v>
      </c>
      <c r="B82" s="447" t="s">
        <v>181</v>
      </c>
      <c r="C82" s="378">
        <v>1423009.48</v>
      </c>
      <c r="D82" s="378">
        <v>180797.2</v>
      </c>
      <c r="E82" s="378"/>
      <c r="F82" s="497"/>
      <c r="G82" s="378">
        <v>18654</v>
      </c>
      <c r="H82" s="378">
        <v>707.15</v>
      </c>
      <c r="I82" s="378"/>
      <c r="J82" s="378">
        <v>9160.84</v>
      </c>
      <c r="K82" s="378">
        <v>4017.55</v>
      </c>
      <c r="L82" s="378">
        <v>144022.39999999999</v>
      </c>
      <c r="M82" s="323">
        <f t="shared" si="2"/>
        <v>1780368.6199999999</v>
      </c>
      <c r="N82" s="380">
        <v>26174.95</v>
      </c>
      <c r="O82" s="380">
        <v>234.4</v>
      </c>
      <c r="P82" s="380">
        <v>31147.5</v>
      </c>
      <c r="Q82" s="380">
        <v>15815.26</v>
      </c>
      <c r="R82" s="380">
        <v>37571.1</v>
      </c>
      <c r="S82" s="368">
        <v>2192.88</v>
      </c>
      <c r="T82" s="430">
        <f t="shared" si="3"/>
        <v>1893504.7099999997</v>
      </c>
      <c r="U82" s="381">
        <v>75</v>
      </c>
      <c r="V82" s="384">
        <v>754</v>
      </c>
      <c r="W82" s="427">
        <v>-4006.55</v>
      </c>
      <c r="X82" s="433"/>
      <c r="Y82" s="433">
        <v>-45.25</v>
      </c>
      <c r="Z82" s="438">
        <v>1</v>
      </c>
    </row>
    <row r="83" spans="1:26" x14ac:dyDescent="0.25">
      <c r="A83" s="329">
        <v>5523</v>
      </c>
      <c r="B83" s="447" t="s">
        <v>182</v>
      </c>
      <c r="C83" s="378">
        <v>5279898.51</v>
      </c>
      <c r="D83" s="378">
        <v>744353.59</v>
      </c>
      <c r="E83" s="378"/>
      <c r="F83" s="497">
        <v>15640</v>
      </c>
      <c r="G83" s="378">
        <v>104955.85</v>
      </c>
      <c r="H83" s="378">
        <v>5789.2</v>
      </c>
      <c r="I83" s="378"/>
      <c r="J83" s="378">
        <v>78967.53</v>
      </c>
      <c r="K83" s="378">
        <v>29608.05</v>
      </c>
      <c r="L83" s="378">
        <v>664223.30000000005</v>
      </c>
      <c r="M83" s="323">
        <f t="shared" si="2"/>
        <v>6923436.0299999993</v>
      </c>
      <c r="N83" s="380">
        <v>6648.85</v>
      </c>
      <c r="O83" s="540"/>
      <c r="P83" s="540">
        <v>179861</v>
      </c>
      <c r="Q83" s="380">
        <v>11243</v>
      </c>
      <c r="R83" s="380">
        <v>826824.4</v>
      </c>
      <c r="S83" s="368">
        <v>12543.22</v>
      </c>
      <c r="T83" s="430">
        <f t="shared" si="3"/>
        <v>7960556.4999999991</v>
      </c>
      <c r="U83" s="381">
        <v>72</v>
      </c>
      <c r="V83" s="384">
        <v>2673</v>
      </c>
      <c r="W83" s="427">
        <v>-63743.97</v>
      </c>
      <c r="X83" s="433"/>
      <c r="Y83" s="433">
        <v>-1275.46</v>
      </c>
      <c r="Z83" s="438">
        <v>1.25</v>
      </c>
    </row>
    <row r="84" spans="1:26" x14ac:dyDescent="0.25">
      <c r="A84" s="329">
        <v>5527</v>
      </c>
      <c r="B84" s="447" t="s">
        <v>183</v>
      </c>
      <c r="C84" s="378">
        <v>2283238.2799999998</v>
      </c>
      <c r="D84" s="378">
        <v>373457.94</v>
      </c>
      <c r="E84" s="378"/>
      <c r="F84" s="497"/>
      <c r="G84" s="378">
        <v>2924</v>
      </c>
      <c r="H84" s="378">
        <v>2854.45</v>
      </c>
      <c r="I84" s="378"/>
      <c r="J84" s="378">
        <v>33555.919999999998</v>
      </c>
      <c r="K84" s="378">
        <v>-2491.75</v>
      </c>
      <c r="L84" s="378">
        <v>243459.75</v>
      </c>
      <c r="M84" s="323">
        <f t="shared" si="2"/>
        <v>2936998.59</v>
      </c>
      <c r="N84" s="380">
        <v>10850.5</v>
      </c>
      <c r="O84" s="380"/>
      <c r="P84" s="380">
        <v>141512.70000000001</v>
      </c>
      <c r="Q84" s="380">
        <v>432.99</v>
      </c>
      <c r="R84" s="380">
        <v>117659.35</v>
      </c>
      <c r="S84" s="368">
        <v>654.48</v>
      </c>
      <c r="T84" s="430">
        <f t="shared" si="3"/>
        <v>3208108.6100000003</v>
      </c>
      <c r="U84" s="381">
        <v>74</v>
      </c>
      <c r="V84" s="384">
        <v>1156</v>
      </c>
      <c r="W84" s="427">
        <v>-29012.71</v>
      </c>
      <c r="X84" s="433"/>
      <c r="Y84" s="433">
        <v>-111</v>
      </c>
      <c r="Z84" s="438">
        <v>1</v>
      </c>
    </row>
    <row r="85" spans="1:26" x14ac:dyDescent="0.25">
      <c r="A85" s="329">
        <v>5529</v>
      </c>
      <c r="B85" s="447" t="s">
        <v>184</v>
      </c>
      <c r="C85" s="378">
        <v>1180124.1399999999</v>
      </c>
      <c r="D85" s="378">
        <v>163878.31</v>
      </c>
      <c r="E85" s="378"/>
      <c r="F85" s="497"/>
      <c r="G85" s="378">
        <v>1834.9</v>
      </c>
      <c r="H85" s="378">
        <v>1395.6</v>
      </c>
      <c r="I85" s="378"/>
      <c r="J85" s="378">
        <v>20148.03</v>
      </c>
      <c r="K85" s="378">
        <v>3248.55</v>
      </c>
      <c r="L85" s="378">
        <v>128212.6</v>
      </c>
      <c r="M85" s="323">
        <f t="shared" si="2"/>
        <v>1498842.1300000001</v>
      </c>
      <c r="N85" s="380"/>
      <c r="O85" s="380"/>
      <c r="P85" s="380">
        <v>95966.45</v>
      </c>
      <c r="Q85" s="380"/>
      <c r="R85" s="380">
        <v>189871.3</v>
      </c>
      <c r="S85" s="368">
        <v>365.89</v>
      </c>
      <c r="T85" s="430">
        <f t="shared" si="3"/>
        <v>1785045.77</v>
      </c>
      <c r="U85" s="381">
        <v>70</v>
      </c>
      <c r="V85" s="384">
        <v>619</v>
      </c>
      <c r="W85" s="427">
        <v>-17823.47</v>
      </c>
      <c r="X85" s="433"/>
      <c r="Y85" s="433">
        <v>-28.32</v>
      </c>
      <c r="Z85" s="438">
        <v>1</v>
      </c>
    </row>
    <row r="86" spans="1:26" x14ac:dyDescent="0.25">
      <c r="A86" s="329">
        <v>5530</v>
      </c>
      <c r="B86" s="447" t="s">
        <v>185</v>
      </c>
      <c r="C86" s="378">
        <v>1193404.49</v>
      </c>
      <c r="D86" s="378">
        <v>167909.93</v>
      </c>
      <c r="E86" s="378"/>
      <c r="F86" s="497"/>
      <c r="G86" s="378">
        <v>-1628.15</v>
      </c>
      <c r="H86" s="378">
        <v>-53</v>
      </c>
      <c r="I86" s="378"/>
      <c r="J86" s="378">
        <v>12489.9</v>
      </c>
      <c r="K86" s="378">
        <v>847.5</v>
      </c>
      <c r="L86" s="378">
        <v>133029.65</v>
      </c>
      <c r="M86" s="323">
        <f t="shared" si="2"/>
        <v>1506000.3199999998</v>
      </c>
      <c r="N86" s="380">
        <v>19384.099999999999</v>
      </c>
      <c r="O86" s="380">
        <v>75442.5</v>
      </c>
      <c r="P86" s="380">
        <v>33943.35</v>
      </c>
      <c r="Q86" s="380"/>
      <c r="R86" s="380">
        <v>3231.1</v>
      </c>
      <c r="S86" s="368">
        <v>-190.41</v>
      </c>
      <c r="T86" s="430">
        <f t="shared" si="3"/>
        <v>1637810.9600000002</v>
      </c>
      <c r="U86" s="381">
        <v>76</v>
      </c>
      <c r="V86" s="384">
        <v>575</v>
      </c>
      <c r="W86" s="427">
        <v>-16302.61</v>
      </c>
      <c r="X86" s="433"/>
      <c r="Y86" s="433">
        <v>-90.34</v>
      </c>
      <c r="Z86" s="438">
        <v>1.2</v>
      </c>
    </row>
    <row r="87" spans="1:26" x14ac:dyDescent="0.25">
      <c r="A87" s="329">
        <v>5531</v>
      </c>
      <c r="B87" s="447" t="s">
        <v>186</v>
      </c>
      <c r="C87" s="378">
        <v>830500.1</v>
      </c>
      <c r="D87" s="378">
        <v>120779.49</v>
      </c>
      <c r="E87" s="378"/>
      <c r="F87" s="497"/>
      <c r="G87" s="378">
        <v>5750.15</v>
      </c>
      <c r="H87" s="378">
        <v>646.79999999999995</v>
      </c>
      <c r="I87" s="378"/>
      <c r="J87" s="378">
        <v>16344.72</v>
      </c>
      <c r="K87" s="378">
        <v>1130.3</v>
      </c>
      <c r="L87" s="378">
        <v>83018</v>
      </c>
      <c r="M87" s="323">
        <f t="shared" si="2"/>
        <v>1058169.56</v>
      </c>
      <c r="N87" s="380">
        <v>23410.5</v>
      </c>
      <c r="O87" s="380"/>
      <c r="P87" s="380">
        <v>74749.649999999994</v>
      </c>
      <c r="Q87" s="380">
        <v>469.37</v>
      </c>
      <c r="R87" s="380">
        <v>35131.75</v>
      </c>
      <c r="S87" s="368">
        <v>724.53</v>
      </c>
      <c r="T87" s="430">
        <f t="shared" si="3"/>
        <v>1192655.3600000001</v>
      </c>
      <c r="U87" s="381">
        <v>74</v>
      </c>
      <c r="V87" s="384">
        <v>417</v>
      </c>
      <c r="W87" s="427">
        <v>-984.26</v>
      </c>
      <c r="X87" s="433"/>
      <c r="Y87" s="433">
        <v>-118.71</v>
      </c>
      <c r="Z87" s="438">
        <v>1</v>
      </c>
    </row>
    <row r="88" spans="1:26" x14ac:dyDescent="0.25">
      <c r="A88" s="329">
        <v>5533</v>
      </c>
      <c r="B88" s="447" t="s">
        <v>187</v>
      </c>
      <c r="C88" s="378">
        <v>1533489.97</v>
      </c>
      <c r="D88" s="378">
        <v>195018.73</v>
      </c>
      <c r="E88" s="378"/>
      <c r="F88" s="497"/>
      <c r="G88" s="378">
        <v>133143.65</v>
      </c>
      <c r="H88" s="378">
        <v>802.55</v>
      </c>
      <c r="I88" s="378"/>
      <c r="J88" s="378">
        <v>2679.43</v>
      </c>
      <c r="K88" s="378">
        <v>10363.25</v>
      </c>
      <c r="L88" s="378">
        <v>146244.20000000001</v>
      </c>
      <c r="M88" s="323">
        <f t="shared" si="2"/>
        <v>2021741.7799999998</v>
      </c>
      <c r="N88" s="380">
        <v>4072.25</v>
      </c>
      <c r="O88" s="380">
        <v>12776.7</v>
      </c>
      <c r="P88" s="380">
        <v>11264</v>
      </c>
      <c r="Q88" s="380">
        <v>1153.5</v>
      </c>
      <c r="R88" s="380">
        <v>6227.8</v>
      </c>
      <c r="S88" s="368">
        <v>15171.03</v>
      </c>
      <c r="T88" s="430">
        <f t="shared" si="3"/>
        <v>2072407.0599999998</v>
      </c>
      <c r="U88" s="381">
        <v>73</v>
      </c>
      <c r="V88" s="384">
        <v>833</v>
      </c>
      <c r="W88" s="427">
        <v>-30247.360000000001</v>
      </c>
      <c r="X88" s="433"/>
      <c r="Y88" s="433">
        <v>-170.62</v>
      </c>
      <c r="Z88" s="438">
        <v>1</v>
      </c>
    </row>
    <row r="89" spans="1:26" x14ac:dyDescent="0.25">
      <c r="A89" s="329">
        <v>5534</v>
      </c>
      <c r="B89" s="447" t="s">
        <v>188</v>
      </c>
      <c r="C89" s="378">
        <v>544963.86</v>
      </c>
      <c r="D89" s="378">
        <v>131117.87</v>
      </c>
      <c r="E89" s="378"/>
      <c r="F89" s="497"/>
      <c r="G89" s="378">
        <v>170273.25</v>
      </c>
      <c r="H89" s="378">
        <v>38.950000000000003</v>
      </c>
      <c r="I89" s="378"/>
      <c r="J89" s="378">
        <v>16118.93</v>
      </c>
      <c r="K89" s="378">
        <v>907</v>
      </c>
      <c r="L89" s="378">
        <v>96466.7</v>
      </c>
      <c r="M89" s="323">
        <f t="shared" si="2"/>
        <v>959886.55999999994</v>
      </c>
      <c r="N89" s="380">
        <v>30156.05</v>
      </c>
      <c r="O89" s="380">
        <v>1502.5</v>
      </c>
      <c r="P89" s="380">
        <v>56309.15</v>
      </c>
      <c r="Q89" s="380">
        <v>3702.83</v>
      </c>
      <c r="R89" s="380">
        <v>46442</v>
      </c>
      <c r="S89" s="368">
        <v>19289.919999999998</v>
      </c>
      <c r="T89" s="430">
        <f t="shared" si="3"/>
        <v>1117289.01</v>
      </c>
      <c r="U89" s="381">
        <v>73</v>
      </c>
      <c r="V89" s="384">
        <v>304</v>
      </c>
      <c r="W89" s="427">
        <v>-9983.39</v>
      </c>
      <c r="X89" s="433"/>
      <c r="Y89" s="433">
        <v>-7.73</v>
      </c>
      <c r="Z89" s="438">
        <v>1.2</v>
      </c>
    </row>
    <row r="90" spans="1:26" x14ac:dyDescent="0.25">
      <c r="A90" s="329">
        <v>5535</v>
      </c>
      <c r="B90" s="447" t="s">
        <v>30</v>
      </c>
      <c r="C90" s="378">
        <v>1516700.4</v>
      </c>
      <c r="D90" s="378">
        <v>191104.71</v>
      </c>
      <c r="E90" s="378"/>
      <c r="F90" s="497"/>
      <c r="G90" s="378">
        <v>2925.95</v>
      </c>
      <c r="H90" s="378">
        <v>3210.1</v>
      </c>
      <c r="I90" s="378"/>
      <c r="J90" s="378">
        <v>24603.42</v>
      </c>
      <c r="K90" s="378">
        <v>1575.8</v>
      </c>
      <c r="L90" s="378">
        <v>148098.4</v>
      </c>
      <c r="M90" s="323">
        <f t="shared" si="2"/>
        <v>1888218.7799999998</v>
      </c>
      <c r="N90" s="380">
        <v>43807.25</v>
      </c>
      <c r="O90" s="380">
        <v>502.9</v>
      </c>
      <c r="P90" s="380">
        <v>32904.15</v>
      </c>
      <c r="Q90" s="380">
        <v>8960.16</v>
      </c>
      <c r="R90" s="380">
        <v>62868.1</v>
      </c>
      <c r="S90" s="368">
        <v>694.98</v>
      </c>
      <c r="T90" s="430">
        <f t="shared" si="3"/>
        <v>2037956.3199999996</v>
      </c>
      <c r="U90" s="381">
        <v>75</v>
      </c>
      <c r="V90" s="384">
        <v>809</v>
      </c>
      <c r="W90" s="427">
        <v>-16801.96</v>
      </c>
      <c r="X90" s="433"/>
      <c r="Y90" s="433">
        <v>-48.07</v>
      </c>
      <c r="Z90" s="438">
        <v>1</v>
      </c>
    </row>
    <row r="91" spans="1:26" x14ac:dyDescent="0.25">
      <c r="A91" s="329">
        <v>5537</v>
      </c>
      <c r="B91" s="447" t="s">
        <v>31</v>
      </c>
      <c r="C91" s="378">
        <v>2741925.42</v>
      </c>
      <c r="D91" s="378">
        <v>284404.31</v>
      </c>
      <c r="E91" s="378"/>
      <c r="F91" s="497">
        <v>7390</v>
      </c>
      <c r="G91" s="378">
        <v>14833.5</v>
      </c>
      <c r="H91" s="378">
        <v>781.1</v>
      </c>
      <c r="I91" s="378"/>
      <c r="J91" s="378">
        <v>20564.37</v>
      </c>
      <c r="K91" s="378">
        <v>3191.5</v>
      </c>
      <c r="L91" s="378">
        <v>241651.20000000001</v>
      </c>
      <c r="M91" s="323">
        <f t="shared" si="2"/>
        <v>3314741.4000000004</v>
      </c>
      <c r="N91" s="380">
        <v>2823.5</v>
      </c>
      <c r="O91" s="380">
        <v>9485.5</v>
      </c>
      <c r="P91" s="380">
        <v>72160</v>
      </c>
      <c r="Q91" s="380">
        <v>9549.9500000000007</v>
      </c>
      <c r="R91" s="380">
        <v>31601.7</v>
      </c>
      <c r="S91" s="368">
        <v>1768.54</v>
      </c>
      <c r="T91" s="430">
        <f t="shared" si="3"/>
        <v>3442130.5900000008</v>
      </c>
      <c r="U91" s="381">
        <v>76</v>
      </c>
      <c r="V91" s="384">
        <v>1316</v>
      </c>
      <c r="W91" s="427">
        <v>-64205.39</v>
      </c>
      <c r="X91" s="433"/>
      <c r="Y91" s="433">
        <v>-100.48</v>
      </c>
      <c r="Z91" s="438">
        <v>1</v>
      </c>
    </row>
    <row r="92" spans="1:26" x14ac:dyDescent="0.25">
      <c r="A92" s="329">
        <v>5539</v>
      </c>
      <c r="B92" s="447" t="s">
        <v>32</v>
      </c>
      <c r="C92" s="378">
        <v>2034295.63</v>
      </c>
      <c r="D92" s="378">
        <v>219678.42</v>
      </c>
      <c r="E92" s="378"/>
      <c r="F92" s="497"/>
      <c r="G92" s="378">
        <v>25525.200000000001</v>
      </c>
      <c r="H92" s="378">
        <v>415.95</v>
      </c>
      <c r="I92" s="378"/>
      <c r="J92" s="378">
        <v>29378.59</v>
      </c>
      <c r="K92" s="378">
        <v>4278.3</v>
      </c>
      <c r="L92" s="378">
        <v>156374.6</v>
      </c>
      <c r="M92" s="323">
        <f t="shared" si="2"/>
        <v>2469946.69</v>
      </c>
      <c r="N92" s="380">
        <v>17971.5</v>
      </c>
      <c r="O92" s="380">
        <v>151480</v>
      </c>
      <c r="P92" s="380">
        <v>54638.65</v>
      </c>
      <c r="Q92" s="380">
        <v>58365.03</v>
      </c>
      <c r="R92" s="380">
        <v>33777.300000000003</v>
      </c>
      <c r="S92" s="368">
        <v>2938.15</v>
      </c>
      <c r="T92" s="430">
        <f t="shared" si="3"/>
        <v>2789117.3199999994</v>
      </c>
      <c r="U92" s="381">
        <v>73.5</v>
      </c>
      <c r="V92" s="384">
        <v>1097</v>
      </c>
      <c r="W92" s="427">
        <v>-30262.43</v>
      </c>
      <c r="X92" s="433"/>
      <c r="Y92" s="433">
        <v>-64.599999999999994</v>
      </c>
      <c r="Z92" s="438">
        <v>0.8</v>
      </c>
    </row>
    <row r="93" spans="1:26" x14ac:dyDescent="0.25">
      <c r="A93" s="329">
        <v>5540</v>
      </c>
      <c r="B93" s="447" t="s">
        <v>415</v>
      </c>
      <c r="C93" s="378">
        <v>3561275.12</v>
      </c>
      <c r="D93" s="378">
        <v>497002.04</v>
      </c>
      <c r="E93" s="378"/>
      <c r="F93" s="497"/>
      <c r="G93" s="378">
        <v>133308.65</v>
      </c>
      <c r="H93" s="378">
        <v>4853.05</v>
      </c>
      <c r="I93" s="378"/>
      <c r="J93" s="378">
        <v>46256.83</v>
      </c>
      <c r="K93" s="378">
        <v>12051.5</v>
      </c>
      <c r="L93" s="378">
        <v>282028.84999999998</v>
      </c>
      <c r="M93" s="323">
        <f t="shared" si="2"/>
        <v>4536776.04</v>
      </c>
      <c r="N93" s="380">
        <v>1152.4000000000001</v>
      </c>
      <c r="O93" s="380">
        <v>4751.8999999999996</v>
      </c>
      <c r="P93" s="380">
        <v>166342.45000000001</v>
      </c>
      <c r="Q93" s="380">
        <v>5243.6</v>
      </c>
      <c r="R93" s="380">
        <v>125721.55</v>
      </c>
      <c r="S93" s="368">
        <v>15648.49</v>
      </c>
      <c r="T93" s="430">
        <f t="shared" si="3"/>
        <v>4855636.4300000006</v>
      </c>
      <c r="U93" s="381">
        <v>72.5</v>
      </c>
      <c r="V93" s="384">
        <v>1883</v>
      </c>
      <c r="W93" s="427">
        <v>-37361.97</v>
      </c>
      <c r="X93" s="433"/>
      <c r="Y93" s="433">
        <v>-404.05</v>
      </c>
      <c r="Z93" s="438">
        <v>0.8</v>
      </c>
    </row>
    <row r="94" spans="1:26" x14ac:dyDescent="0.25">
      <c r="A94" s="329">
        <v>5541</v>
      </c>
      <c r="B94" s="447" t="s">
        <v>414</v>
      </c>
      <c r="C94" s="378">
        <v>2499180.46</v>
      </c>
      <c r="D94" s="378">
        <v>312044.33</v>
      </c>
      <c r="E94" s="378"/>
      <c r="F94" s="497"/>
      <c r="G94" s="378">
        <v>56593.599999999999</v>
      </c>
      <c r="H94" s="378">
        <v>1141.3499999999999</v>
      </c>
      <c r="I94" s="378"/>
      <c r="J94" s="378">
        <v>33424.400000000001</v>
      </c>
      <c r="K94" s="378">
        <v>1552.15</v>
      </c>
      <c r="L94" s="378">
        <v>220312.85</v>
      </c>
      <c r="M94" s="323">
        <f t="shared" si="2"/>
        <v>3124249.14</v>
      </c>
      <c r="N94" s="380">
        <v>5116.2</v>
      </c>
      <c r="O94" s="380">
        <v>14546.4</v>
      </c>
      <c r="P94" s="380">
        <v>61273.55</v>
      </c>
      <c r="Q94" s="380">
        <v>1332.85</v>
      </c>
      <c r="R94" s="380">
        <v>79306.350000000006</v>
      </c>
      <c r="S94" s="368">
        <v>6539.18</v>
      </c>
      <c r="T94" s="430">
        <f t="shared" si="3"/>
        <v>3292363.6700000004</v>
      </c>
      <c r="U94" s="381">
        <v>75.5</v>
      </c>
      <c r="V94" s="384">
        <v>1166</v>
      </c>
      <c r="W94" s="427">
        <v>-15345.72</v>
      </c>
      <c r="X94" s="433"/>
      <c r="Y94" s="433">
        <v>-208.48</v>
      </c>
      <c r="Z94" s="438">
        <v>1</v>
      </c>
    </row>
    <row r="95" spans="1:26" x14ac:dyDescent="0.25">
      <c r="A95" s="329">
        <v>5551</v>
      </c>
      <c r="B95" s="447" t="s">
        <v>33</v>
      </c>
      <c r="C95" s="378">
        <v>726466.25</v>
      </c>
      <c r="D95" s="378">
        <v>122220.84</v>
      </c>
      <c r="E95" s="378"/>
      <c r="F95" s="497"/>
      <c r="G95" s="378">
        <v>32422.9</v>
      </c>
      <c r="H95" s="378">
        <v>14465.6</v>
      </c>
      <c r="I95" s="378"/>
      <c r="J95" s="378">
        <v>2023.19</v>
      </c>
      <c r="K95" s="378">
        <v>12424.7</v>
      </c>
      <c r="L95" s="378">
        <v>114179.05</v>
      </c>
      <c r="M95" s="323">
        <f t="shared" si="2"/>
        <v>1024202.5299999999</v>
      </c>
      <c r="N95" s="380">
        <v>6473</v>
      </c>
      <c r="O95" s="380">
        <v>8831.7999999999993</v>
      </c>
      <c r="P95" s="380">
        <v>66776.45</v>
      </c>
      <c r="Q95" s="380"/>
      <c r="R95" s="380">
        <v>29720.799999999999</v>
      </c>
      <c r="S95" s="368">
        <v>5310.69</v>
      </c>
      <c r="T95" s="430">
        <f t="shared" si="3"/>
        <v>1141315.27</v>
      </c>
      <c r="U95" s="381">
        <v>55</v>
      </c>
      <c r="V95" s="384">
        <v>481</v>
      </c>
      <c r="W95" s="427">
        <v>-96.02</v>
      </c>
      <c r="X95" s="433"/>
      <c r="Y95" s="433">
        <v>-509.54</v>
      </c>
      <c r="Z95" s="438">
        <v>1</v>
      </c>
    </row>
    <row r="96" spans="1:26" x14ac:dyDescent="0.25">
      <c r="A96" s="329">
        <v>5552</v>
      </c>
      <c r="B96" s="447" t="s">
        <v>34</v>
      </c>
      <c r="C96" s="378">
        <v>1019006.86</v>
      </c>
      <c r="D96" s="378">
        <v>211070.24</v>
      </c>
      <c r="E96" s="378"/>
      <c r="F96" s="497"/>
      <c r="G96" s="378">
        <v>20158.8</v>
      </c>
      <c r="H96" s="378">
        <v>1005.3</v>
      </c>
      <c r="I96" s="378"/>
      <c r="J96" s="378">
        <v>17186.439999999999</v>
      </c>
      <c r="K96" s="378">
        <v>3712.6</v>
      </c>
      <c r="L96" s="378">
        <v>131181.29999999999</v>
      </c>
      <c r="M96" s="323">
        <f t="shared" si="2"/>
        <v>1403321.5400000003</v>
      </c>
      <c r="N96" s="380">
        <v>78794.899999999994</v>
      </c>
      <c r="O96" s="380">
        <v>227946.4</v>
      </c>
      <c r="P96" s="380">
        <v>76656.100000000006</v>
      </c>
      <c r="Q96" s="380">
        <v>11328.51</v>
      </c>
      <c r="R96" s="380">
        <v>50034.55</v>
      </c>
      <c r="S96" s="368">
        <v>2397.09</v>
      </c>
      <c r="T96" s="430">
        <f t="shared" si="3"/>
        <v>1850479.0900000003</v>
      </c>
      <c r="U96" s="381">
        <v>71.5</v>
      </c>
      <c r="V96" s="384">
        <v>657</v>
      </c>
      <c r="W96" s="427">
        <v>-14953.53</v>
      </c>
      <c r="X96" s="433"/>
      <c r="Y96" s="433">
        <v>-722.76</v>
      </c>
      <c r="Z96" s="438">
        <v>1</v>
      </c>
    </row>
    <row r="97" spans="1:26" x14ac:dyDescent="0.25">
      <c r="A97" s="329">
        <v>5553</v>
      </c>
      <c r="B97" s="447" t="s">
        <v>35</v>
      </c>
      <c r="C97" s="378">
        <v>1813450.7</v>
      </c>
      <c r="D97" s="378">
        <v>300161.24</v>
      </c>
      <c r="E97" s="378"/>
      <c r="F97" s="497"/>
      <c r="G97" s="378">
        <v>151082.75</v>
      </c>
      <c r="H97" s="378">
        <v>42988.65</v>
      </c>
      <c r="I97" s="378"/>
      <c r="J97" s="378">
        <v>48540.18</v>
      </c>
      <c r="K97" s="378">
        <v>21370.05</v>
      </c>
      <c r="L97" s="378">
        <v>233568.45</v>
      </c>
      <c r="M97" s="323">
        <f t="shared" si="2"/>
        <v>2611162.02</v>
      </c>
      <c r="N97" s="380">
        <v>162665.4</v>
      </c>
      <c r="O97" s="380">
        <v>28932.5</v>
      </c>
      <c r="P97" s="380">
        <v>101171.15</v>
      </c>
      <c r="Q97" s="380"/>
      <c r="R97" s="380">
        <v>19499.150000000001</v>
      </c>
      <c r="S97" s="368">
        <v>21980.94</v>
      </c>
      <c r="T97" s="430">
        <f t="shared" si="3"/>
        <v>2945411.1599999997</v>
      </c>
      <c r="U97" s="381">
        <v>65</v>
      </c>
      <c r="V97" s="384">
        <v>1085</v>
      </c>
      <c r="W97" s="427">
        <v>-20140.669999999998</v>
      </c>
      <c r="X97" s="433"/>
      <c r="Y97" s="433">
        <v>-7313.13</v>
      </c>
      <c r="Z97" s="438">
        <v>1</v>
      </c>
    </row>
    <row r="98" spans="1:26" x14ac:dyDescent="0.25">
      <c r="A98" s="329">
        <v>5554</v>
      </c>
      <c r="B98" s="447" t="s">
        <v>36</v>
      </c>
      <c r="C98" s="378">
        <v>1752320.89</v>
      </c>
      <c r="D98" s="378">
        <v>363737.69</v>
      </c>
      <c r="E98" s="378"/>
      <c r="F98" s="497"/>
      <c r="G98" s="378">
        <v>54446.15</v>
      </c>
      <c r="H98" s="378">
        <v>925.15</v>
      </c>
      <c r="I98" s="378"/>
      <c r="J98" s="378">
        <v>31332.63</v>
      </c>
      <c r="K98" s="378">
        <v>2051.9</v>
      </c>
      <c r="L98" s="378">
        <v>185608.15</v>
      </c>
      <c r="M98" s="323">
        <f t="shared" si="2"/>
        <v>2390422.5599999996</v>
      </c>
      <c r="N98" s="380">
        <v>21995.5</v>
      </c>
      <c r="O98" s="380">
        <v>1202967</v>
      </c>
      <c r="P98" s="380">
        <v>86390.3</v>
      </c>
      <c r="Q98" s="380">
        <v>6877.31</v>
      </c>
      <c r="R98" s="380">
        <v>48182.400000000001</v>
      </c>
      <c r="S98" s="368">
        <v>6271.47</v>
      </c>
      <c r="T98" s="430">
        <f t="shared" si="3"/>
        <v>3763106.5399999996</v>
      </c>
      <c r="U98" s="381">
        <v>75</v>
      </c>
      <c r="V98" s="384">
        <v>1004</v>
      </c>
      <c r="W98" s="427">
        <v>-39597.93</v>
      </c>
      <c r="X98" s="433"/>
      <c r="Y98" s="433">
        <v>-1339.63</v>
      </c>
      <c r="Z98" s="438">
        <v>1</v>
      </c>
    </row>
    <row r="99" spans="1:26" x14ac:dyDescent="0.25">
      <c r="A99" s="329">
        <v>5555</v>
      </c>
      <c r="B99" s="447" t="s">
        <v>37</v>
      </c>
      <c r="C99" s="378">
        <v>674651</v>
      </c>
      <c r="D99" s="378">
        <v>155527.76999999999</v>
      </c>
      <c r="E99" s="378"/>
      <c r="F99" s="497"/>
      <c r="G99" s="378">
        <v>9372.4</v>
      </c>
      <c r="H99" s="378">
        <v>2010.85</v>
      </c>
      <c r="I99" s="378"/>
      <c r="J99" s="378">
        <v>26612.47</v>
      </c>
      <c r="K99" s="378">
        <v>2228.6999999999998</v>
      </c>
      <c r="L99" s="378">
        <v>92373.15</v>
      </c>
      <c r="M99" s="323">
        <f t="shared" si="2"/>
        <v>962776.34</v>
      </c>
      <c r="N99" s="380">
        <v>10061.950000000001</v>
      </c>
      <c r="O99" s="380">
        <v>84602.9</v>
      </c>
      <c r="P99" s="380">
        <v>11110</v>
      </c>
      <c r="Q99" s="380">
        <v>877.19</v>
      </c>
      <c r="R99" s="380">
        <v>3845.4</v>
      </c>
      <c r="S99" s="368">
        <v>1289.29</v>
      </c>
      <c r="T99" s="430">
        <f t="shared" si="3"/>
        <v>1074563.0699999998</v>
      </c>
      <c r="U99" s="381">
        <v>69</v>
      </c>
      <c r="V99" s="384">
        <v>417</v>
      </c>
      <c r="W99" s="427">
        <v>-7241.25</v>
      </c>
      <c r="X99" s="433"/>
      <c r="Y99" s="433">
        <v>-102.53</v>
      </c>
      <c r="Z99" s="438">
        <v>1</v>
      </c>
    </row>
    <row r="100" spans="1:26" x14ac:dyDescent="0.25">
      <c r="A100" s="329">
        <v>5556</v>
      </c>
      <c r="B100" s="447" t="s">
        <v>38</v>
      </c>
      <c r="C100" s="378">
        <v>735107.24</v>
      </c>
      <c r="D100" s="378">
        <v>79278.27</v>
      </c>
      <c r="E100" s="378"/>
      <c r="F100" s="497">
        <v>2480</v>
      </c>
      <c r="G100" s="378">
        <v>61725.3</v>
      </c>
      <c r="H100" s="378">
        <v>161.30000000000001</v>
      </c>
      <c r="I100" s="378"/>
      <c r="J100" s="378">
        <v>16887.919999999998</v>
      </c>
      <c r="K100" s="378">
        <v>1271.6500000000001</v>
      </c>
      <c r="L100" s="378">
        <v>89665.45</v>
      </c>
      <c r="M100" s="323">
        <f t="shared" si="2"/>
        <v>986577.13000000012</v>
      </c>
      <c r="N100" s="380"/>
      <c r="O100" s="380">
        <v>163.5</v>
      </c>
      <c r="P100" s="380">
        <v>40028.6</v>
      </c>
      <c r="Q100" s="380"/>
      <c r="R100" s="380">
        <v>17644.650000000001</v>
      </c>
      <c r="S100" s="368">
        <v>7009.41</v>
      </c>
      <c r="T100" s="430">
        <f t="shared" si="3"/>
        <v>1051423.29</v>
      </c>
      <c r="U100" s="381">
        <v>69</v>
      </c>
      <c r="V100" s="384">
        <v>442</v>
      </c>
      <c r="W100" s="427">
        <v>27216.78</v>
      </c>
      <c r="X100" s="433"/>
      <c r="Y100" s="433">
        <v>0</v>
      </c>
      <c r="Z100" s="438">
        <v>1.2</v>
      </c>
    </row>
    <row r="101" spans="1:26" x14ac:dyDescent="0.25">
      <c r="A101" s="329">
        <v>5557</v>
      </c>
      <c r="B101" s="447" t="s">
        <v>39</v>
      </c>
      <c r="C101" s="378">
        <v>257919.69</v>
      </c>
      <c r="D101" s="378">
        <v>23068.28</v>
      </c>
      <c r="E101" s="378"/>
      <c r="F101" s="497">
        <v>899.15</v>
      </c>
      <c r="G101" s="378">
        <v>49</v>
      </c>
      <c r="H101" s="378">
        <v>702</v>
      </c>
      <c r="I101" s="378"/>
      <c r="J101" s="378">
        <v>436.59</v>
      </c>
      <c r="K101" s="378">
        <v>-284.55</v>
      </c>
      <c r="L101" s="378">
        <v>35749.800000000003</v>
      </c>
      <c r="M101" s="323">
        <f t="shared" si="2"/>
        <v>318539.96000000002</v>
      </c>
      <c r="N101" s="380"/>
      <c r="O101" s="380"/>
      <c r="P101" s="380">
        <v>10651.8</v>
      </c>
      <c r="Q101" s="380"/>
      <c r="R101" s="380">
        <v>2611</v>
      </c>
      <c r="S101" s="368">
        <v>85.06</v>
      </c>
      <c r="T101" s="430">
        <f t="shared" si="3"/>
        <v>331887.82</v>
      </c>
      <c r="U101" s="381">
        <v>69</v>
      </c>
      <c r="V101" s="384">
        <v>220</v>
      </c>
      <c r="W101" s="427">
        <v>-26565.58</v>
      </c>
      <c r="X101" s="433"/>
      <c r="Y101" s="433">
        <v>-0.03</v>
      </c>
      <c r="Z101" s="438">
        <v>1</v>
      </c>
    </row>
    <row r="102" spans="1:26" x14ac:dyDescent="0.25">
      <c r="A102" s="329">
        <v>5559</v>
      </c>
      <c r="B102" s="447" t="s">
        <v>40</v>
      </c>
      <c r="C102" s="378">
        <v>971520.97</v>
      </c>
      <c r="D102" s="378">
        <v>274888.28000000003</v>
      </c>
      <c r="E102" s="378"/>
      <c r="F102" s="497"/>
      <c r="G102" s="378">
        <v>179369.55</v>
      </c>
      <c r="H102" s="378">
        <v>2827.05</v>
      </c>
      <c r="I102" s="378"/>
      <c r="J102" s="378">
        <v>18587.939999999999</v>
      </c>
      <c r="K102" s="378">
        <v>4011.5</v>
      </c>
      <c r="L102" s="378">
        <v>91808.1</v>
      </c>
      <c r="M102" s="323">
        <f t="shared" si="2"/>
        <v>1543013.3900000001</v>
      </c>
      <c r="N102" s="380">
        <v>10451.549999999999</v>
      </c>
      <c r="O102" s="380">
        <v>132502.20000000001</v>
      </c>
      <c r="P102" s="380">
        <v>13186.25</v>
      </c>
      <c r="Q102" s="380">
        <v>20.75</v>
      </c>
      <c r="R102" s="380">
        <v>36853.5</v>
      </c>
      <c r="S102" s="368">
        <v>20635.97</v>
      </c>
      <c r="T102" s="430">
        <f t="shared" si="3"/>
        <v>1756663.61</v>
      </c>
      <c r="U102" s="381">
        <v>66</v>
      </c>
      <c r="V102" s="384">
        <v>443</v>
      </c>
      <c r="W102" s="427">
        <v>-15550.54</v>
      </c>
      <c r="X102" s="433"/>
      <c r="Y102" s="433">
        <v>-1278.21</v>
      </c>
      <c r="Z102" s="438">
        <v>1</v>
      </c>
    </row>
    <row r="103" spans="1:26" x14ac:dyDescent="0.25">
      <c r="A103" s="329">
        <v>5560</v>
      </c>
      <c r="B103" s="447" t="s">
        <v>41</v>
      </c>
      <c r="C103" s="378">
        <v>378155.11</v>
      </c>
      <c r="D103" s="378">
        <v>34007.440000000002</v>
      </c>
      <c r="E103" s="378"/>
      <c r="F103" s="497"/>
      <c r="G103" s="378">
        <v>8401.15</v>
      </c>
      <c r="H103" s="378">
        <v>408.85</v>
      </c>
      <c r="I103" s="378"/>
      <c r="J103" s="378">
        <v>11463.26</v>
      </c>
      <c r="K103" s="378">
        <v>624.20000000000005</v>
      </c>
      <c r="L103" s="378">
        <v>42727.75</v>
      </c>
      <c r="M103" s="323">
        <f t="shared" si="2"/>
        <v>475787.76</v>
      </c>
      <c r="N103" s="380"/>
      <c r="O103" s="380"/>
      <c r="P103" s="380">
        <v>51709.9</v>
      </c>
      <c r="Q103" s="380"/>
      <c r="R103" s="380">
        <v>36002.300000000003</v>
      </c>
      <c r="S103" s="368">
        <v>997.84</v>
      </c>
      <c r="T103" s="430">
        <f t="shared" si="3"/>
        <v>564497.80000000005</v>
      </c>
      <c r="U103" s="381">
        <v>68</v>
      </c>
      <c r="V103" s="384">
        <v>238</v>
      </c>
      <c r="W103" s="427">
        <v>-530.83000000000004</v>
      </c>
      <c r="X103" s="433"/>
      <c r="Y103" s="433">
        <v>0</v>
      </c>
      <c r="Z103" s="438">
        <v>1</v>
      </c>
    </row>
    <row r="104" spans="1:26" x14ac:dyDescent="0.25">
      <c r="A104" s="329">
        <v>5561</v>
      </c>
      <c r="B104" s="447" t="s">
        <v>42</v>
      </c>
      <c r="C104" s="378">
        <v>5845978.5800000001</v>
      </c>
      <c r="D104" s="378">
        <v>1141160.31</v>
      </c>
      <c r="E104" s="378"/>
      <c r="F104" s="497"/>
      <c r="G104" s="378">
        <v>180458.35</v>
      </c>
      <c r="H104" s="378">
        <v>9682</v>
      </c>
      <c r="I104" s="378"/>
      <c r="J104" s="378">
        <v>111885.77</v>
      </c>
      <c r="K104" s="378">
        <v>41708.949999999997</v>
      </c>
      <c r="L104" s="378">
        <v>638346.1</v>
      </c>
      <c r="M104" s="323">
        <f t="shared" si="2"/>
        <v>7969220.0599999996</v>
      </c>
      <c r="N104" s="380">
        <v>378118.75</v>
      </c>
      <c r="O104" s="380">
        <v>540216</v>
      </c>
      <c r="P104" s="380">
        <v>312776.40000000002</v>
      </c>
      <c r="Q104" s="380">
        <v>30628.639999999999</v>
      </c>
      <c r="R104" s="380">
        <v>196038.35</v>
      </c>
      <c r="S104" s="368">
        <v>21535.7</v>
      </c>
      <c r="T104" s="430">
        <f t="shared" si="3"/>
        <v>9448533.8999999985</v>
      </c>
      <c r="U104" s="381">
        <v>69</v>
      </c>
      <c r="V104" s="384">
        <v>3366</v>
      </c>
      <c r="W104" s="427">
        <v>-118347.03</v>
      </c>
      <c r="X104" s="433"/>
      <c r="Y104" s="433">
        <v>-2119.89</v>
      </c>
      <c r="Z104" s="438">
        <v>1</v>
      </c>
    </row>
    <row r="105" spans="1:26" x14ac:dyDescent="0.25">
      <c r="A105" s="329">
        <v>5562</v>
      </c>
      <c r="B105" s="447" t="s">
        <v>43</v>
      </c>
      <c r="C105" s="378">
        <v>259117.72</v>
      </c>
      <c r="D105" s="378">
        <v>127565.54</v>
      </c>
      <c r="E105" s="378"/>
      <c r="F105" s="497">
        <v>920</v>
      </c>
      <c r="G105" s="378">
        <v>909.6</v>
      </c>
      <c r="H105" s="378">
        <v>416.4</v>
      </c>
      <c r="I105" s="378"/>
      <c r="J105" s="378">
        <v>5376.73</v>
      </c>
      <c r="K105" s="378">
        <v>1974.5</v>
      </c>
      <c r="L105" s="378">
        <v>36489.25</v>
      </c>
      <c r="M105" s="323">
        <f t="shared" si="2"/>
        <v>432769.74</v>
      </c>
      <c r="N105" s="380">
        <v>278.8</v>
      </c>
      <c r="O105" s="380">
        <v>-5394.6</v>
      </c>
      <c r="P105" s="380">
        <v>24640</v>
      </c>
      <c r="Q105" s="380">
        <v>3932.26</v>
      </c>
      <c r="R105" s="380">
        <v>24614.75</v>
      </c>
      <c r="S105" s="368">
        <v>150.19</v>
      </c>
      <c r="T105" s="430">
        <f t="shared" si="3"/>
        <v>480991.14</v>
      </c>
      <c r="U105" s="381">
        <v>70</v>
      </c>
      <c r="V105" s="384">
        <v>137</v>
      </c>
      <c r="W105" s="427">
        <v>-3768.08</v>
      </c>
      <c r="X105" s="433"/>
      <c r="Y105" s="433">
        <v>-38.15</v>
      </c>
      <c r="Z105" s="438">
        <v>1.2</v>
      </c>
    </row>
    <row r="106" spans="1:26" x14ac:dyDescent="0.25">
      <c r="A106" s="329">
        <v>5563</v>
      </c>
      <c r="B106" s="447" t="s">
        <v>277</v>
      </c>
      <c r="C106" s="378">
        <v>277323.3</v>
      </c>
      <c r="D106" s="378">
        <v>44558.400000000001</v>
      </c>
      <c r="E106" s="378"/>
      <c r="F106" s="497">
        <v>540</v>
      </c>
      <c r="G106" s="378">
        <v>461</v>
      </c>
      <c r="H106" s="378">
        <v>25</v>
      </c>
      <c r="I106" s="378"/>
      <c r="J106" s="378">
        <v>728.75</v>
      </c>
      <c r="K106" s="378"/>
      <c r="L106" s="378">
        <v>21873.75</v>
      </c>
      <c r="M106" s="323">
        <f t="shared" si="2"/>
        <v>345510.2</v>
      </c>
      <c r="N106" s="380"/>
      <c r="O106" s="380">
        <v>45.6</v>
      </c>
      <c r="P106" s="380">
        <v>36561.25</v>
      </c>
      <c r="Q106" s="380"/>
      <c r="R106" s="380">
        <v>42313</v>
      </c>
      <c r="S106" s="368">
        <v>55.05</v>
      </c>
      <c r="T106" s="430">
        <f t="shared" si="3"/>
        <v>424485.1</v>
      </c>
      <c r="U106" s="381">
        <v>80</v>
      </c>
      <c r="V106" s="384">
        <v>151</v>
      </c>
      <c r="W106" s="427">
        <v>-2986.73</v>
      </c>
      <c r="X106" s="433"/>
      <c r="Y106" s="433">
        <v>0</v>
      </c>
      <c r="Z106" s="438">
        <v>1</v>
      </c>
    </row>
    <row r="107" spans="1:26" x14ac:dyDescent="0.25">
      <c r="A107" s="329">
        <v>5564</v>
      </c>
      <c r="B107" s="447" t="s">
        <v>278</v>
      </c>
      <c r="C107" s="378">
        <v>125537.51</v>
      </c>
      <c r="D107" s="378">
        <v>20585.2</v>
      </c>
      <c r="E107" s="378"/>
      <c r="F107" s="497"/>
      <c r="G107" s="378">
        <v>58.05</v>
      </c>
      <c r="H107" s="378">
        <v>23.75</v>
      </c>
      <c r="I107" s="378"/>
      <c r="J107" s="378"/>
      <c r="K107" s="378"/>
      <c r="L107" s="378">
        <v>11414.45</v>
      </c>
      <c r="M107" s="323">
        <f t="shared" si="2"/>
        <v>157618.96</v>
      </c>
      <c r="N107" s="380"/>
      <c r="O107" s="380">
        <v>736.4</v>
      </c>
      <c r="P107" s="380">
        <v>1127.6500000000001</v>
      </c>
      <c r="Q107" s="380"/>
      <c r="R107" s="380">
        <v>1787.5</v>
      </c>
      <c r="S107" s="368">
        <v>9.26</v>
      </c>
      <c r="T107" s="430">
        <f t="shared" si="3"/>
        <v>161279.76999999999</v>
      </c>
      <c r="U107" s="381">
        <v>76</v>
      </c>
      <c r="V107" s="384">
        <v>103</v>
      </c>
      <c r="W107" s="427">
        <v>-916.18</v>
      </c>
      <c r="X107" s="433"/>
      <c r="Y107" s="433">
        <v>0</v>
      </c>
      <c r="Z107" s="438">
        <v>0.8</v>
      </c>
    </row>
    <row r="108" spans="1:26" x14ac:dyDescent="0.25">
      <c r="A108" s="329">
        <v>5565</v>
      </c>
      <c r="B108" s="447" t="s">
        <v>279</v>
      </c>
      <c r="C108" s="378">
        <v>777961.32</v>
      </c>
      <c r="D108" s="378">
        <v>109871.74</v>
      </c>
      <c r="E108" s="378"/>
      <c r="F108" s="497"/>
      <c r="G108" s="378">
        <v>137313</v>
      </c>
      <c r="H108" s="378">
        <v>219301.6</v>
      </c>
      <c r="I108" s="378"/>
      <c r="J108" s="378">
        <v>6667.67</v>
      </c>
      <c r="K108" s="378">
        <v>24118.65</v>
      </c>
      <c r="L108" s="378">
        <v>130218.95</v>
      </c>
      <c r="M108" s="323">
        <f t="shared" si="2"/>
        <v>1405452.9299999997</v>
      </c>
      <c r="N108" s="380">
        <v>63286.3</v>
      </c>
      <c r="O108" s="380"/>
      <c r="P108" s="380">
        <v>45942.6</v>
      </c>
      <c r="Q108" s="380">
        <v>3.4</v>
      </c>
      <c r="R108" s="380">
        <v>29182.05</v>
      </c>
      <c r="S108" s="368">
        <v>40390.93</v>
      </c>
      <c r="T108" s="430">
        <f t="shared" si="3"/>
        <v>1584258.2099999997</v>
      </c>
      <c r="U108" s="381">
        <v>63.5</v>
      </c>
      <c r="V108" s="384">
        <v>495</v>
      </c>
      <c r="W108" s="427">
        <v>-4179</v>
      </c>
      <c r="X108" s="433"/>
      <c r="Y108" s="433">
        <v>-0.6</v>
      </c>
      <c r="Z108" s="438">
        <v>1</v>
      </c>
    </row>
    <row r="109" spans="1:26" x14ac:dyDescent="0.25">
      <c r="A109" s="329">
        <v>5566</v>
      </c>
      <c r="B109" s="447" t="s">
        <v>280</v>
      </c>
      <c r="C109" s="378">
        <v>612319.43999999994</v>
      </c>
      <c r="D109" s="378">
        <v>69394.75</v>
      </c>
      <c r="E109" s="378"/>
      <c r="F109" s="497">
        <v>2630</v>
      </c>
      <c r="G109" s="378">
        <v>11569.95</v>
      </c>
      <c r="H109" s="378">
        <v>3363.7</v>
      </c>
      <c r="I109" s="378"/>
      <c r="J109" s="378">
        <v>8166.81</v>
      </c>
      <c r="K109" s="378">
        <v>371.05</v>
      </c>
      <c r="L109" s="378">
        <v>80744.100000000006</v>
      </c>
      <c r="M109" s="323">
        <f t="shared" si="2"/>
        <v>788559.79999999993</v>
      </c>
      <c r="N109" s="380">
        <v>7185.35</v>
      </c>
      <c r="O109" s="380">
        <v>630</v>
      </c>
      <c r="P109" s="380">
        <v>10185.700000000001</v>
      </c>
      <c r="Q109" s="380">
        <v>12552.74</v>
      </c>
      <c r="R109" s="380">
        <v>39935</v>
      </c>
      <c r="S109" s="368">
        <v>1691.42</v>
      </c>
      <c r="T109" s="430">
        <f t="shared" si="3"/>
        <v>860740.00999999989</v>
      </c>
      <c r="U109" s="381">
        <v>81</v>
      </c>
      <c r="V109" s="384">
        <v>403</v>
      </c>
      <c r="W109" s="427">
        <v>-16284.01</v>
      </c>
      <c r="X109" s="433"/>
      <c r="Y109" s="433">
        <v>-0.1</v>
      </c>
      <c r="Z109" s="438">
        <v>1.5</v>
      </c>
    </row>
    <row r="110" spans="1:26" x14ac:dyDescent="0.25">
      <c r="A110" s="329">
        <v>5568</v>
      </c>
      <c r="B110" s="447" t="s">
        <v>117</v>
      </c>
      <c r="C110" s="378">
        <v>5629067.1500000004</v>
      </c>
      <c r="D110" s="378">
        <v>848233.91</v>
      </c>
      <c r="E110" s="378"/>
      <c r="F110" s="497"/>
      <c r="G110" s="378">
        <v>291803.3</v>
      </c>
      <c r="H110" s="378">
        <v>111729.3</v>
      </c>
      <c r="I110" s="378">
        <v>45476.55</v>
      </c>
      <c r="J110" s="378">
        <v>118781.81</v>
      </c>
      <c r="K110" s="378">
        <v>58362.9</v>
      </c>
      <c r="L110" s="378">
        <v>641637.55000000005</v>
      </c>
      <c r="M110" s="323">
        <f t="shared" si="2"/>
        <v>7745092.4699999997</v>
      </c>
      <c r="N110" s="380">
        <v>2053229.95</v>
      </c>
      <c r="O110" s="380">
        <v>599088.19999999995</v>
      </c>
      <c r="P110" s="380">
        <v>382005</v>
      </c>
      <c r="Q110" s="380">
        <v>43024.68</v>
      </c>
      <c r="R110" s="380">
        <v>289286.59999999998</v>
      </c>
      <c r="S110" s="368">
        <v>45704.959999999999</v>
      </c>
      <c r="T110" s="430">
        <f t="shared" si="3"/>
        <v>11157431.859999999</v>
      </c>
      <c r="U110" s="381">
        <v>70</v>
      </c>
      <c r="V110" s="384">
        <v>4948</v>
      </c>
      <c r="W110" s="427">
        <v>-188721.09</v>
      </c>
      <c r="X110" s="433"/>
      <c r="Y110" s="433">
        <v>-3069.98</v>
      </c>
      <c r="Z110" s="438">
        <v>1</v>
      </c>
    </row>
    <row r="111" spans="1:26" x14ac:dyDescent="0.25">
      <c r="A111" s="329">
        <v>5571</v>
      </c>
      <c r="B111" s="447" t="s">
        <v>412</v>
      </c>
      <c r="C111" s="378">
        <v>1445285.24</v>
      </c>
      <c r="D111" s="378">
        <v>166831.78</v>
      </c>
      <c r="E111" s="378"/>
      <c r="F111" s="497"/>
      <c r="G111" s="378">
        <v>8509.15</v>
      </c>
      <c r="H111" s="378">
        <v>332.4</v>
      </c>
      <c r="I111" s="378"/>
      <c r="J111" s="378">
        <v>21713.79</v>
      </c>
      <c r="K111" s="378">
        <v>7355.2</v>
      </c>
      <c r="L111" s="378">
        <v>201479.55</v>
      </c>
      <c r="M111" s="323">
        <f t="shared" si="2"/>
        <v>1851507.1099999999</v>
      </c>
      <c r="N111" s="380">
        <v>51246.7</v>
      </c>
      <c r="O111" s="380">
        <v>26526.2</v>
      </c>
      <c r="P111" s="380">
        <v>73000.05</v>
      </c>
      <c r="Q111" s="380"/>
      <c r="R111" s="380">
        <v>112137.25</v>
      </c>
      <c r="S111" s="368">
        <v>1001.41</v>
      </c>
      <c r="T111" s="430">
        <f t="shared" si="3"/>
        <v>2115418.7199999997</v>
      </c>
      <c r="U111" s="381">
        <v>71.5</v>
      </c>
      <c r="V111" s="384">
        <v>883</v>
      </c>
      <c r="W111" s="427">
        <v>-8173.95</v>
      </c>
      <c r="X111" s="433"/>
      <c r="Y111" s="433">
        <v>0</v>
      </c>
      <c r="Z111" s="438">
        <v>1.2</v>
      </c>
    </row>
    <row r="112" spans="1:26" x14ac:dyDescent="0.25">
      <c r="A112" s="329">
        <v>5581</v>
      </c>
      <c r="B112" s="447" t="s">
        <v>375</v>
      </c>
      <c r="C112" s="378">
        <v>12160319.640000001</v>
      </c>
      <c r="D112" s="378">
        <v>2132088.16</v>
      </c>
      <c r="E112" s="378"/>
      <c r="F112" s="497"/>
      <c r="G112" s="378">
        <v>132702.45000000001</v>
      </c>
      <c r="H112" s="378">
        <v>19948.5</v>
      </c>
      <c r="I112" s="378">
        <v>59666.6</v>
      </c>
      <c r="J112" s="378">
        <v>50492.89</v>
      </c>
      <c r="K112" s="378">
        <v>35196.15</v>
      </c>
      <c r="L112" s="378">
        <v>1455972.05</v>
      </c>
      <c r="M112" s="323">
        <f t="shared" si="2"/>
        <v>16046386.440000001</v>
      </c>
      <c r="N112" s="380">
        <v>9474.2999999999993</v>
      </c>
      <c r="O112" s="380">
        <v>72349.5</v>
      </c>
      <c r="P112" s="380">
        <v>820976.65</v>
      </c>
      <c r="Q112" s="380">
        <v>13964.06</v>
      </c>
      <c r="R112" s="380">
        <v>713701.5</v>
      </c>
      <c r="S112" s="368">
        <v>17289.57</v>
      </c>
      <c r="T112" s="430">
        <f t="shared" si="3"/>
        <v>17694142.02</v>
      </c>
      <c r="U112" s="381">
        <v>72</v>
      </c>
      <c r="V112" s="384">
        <v>3871</v>
      </c>
      <c r="W112" s="427">
        <v>-65096.46</v>
      </c>
      <c r="X112" s="433"/>
      <c r="Y112" s="433">
        <v>-15831.7</v>
      </c>
      <c r="Z112" s="438">
        <v>1.5</v>
      </c>
    </row>
    <row r="113" spans="1:26" x14ac:dyDescent="0.25">
      <c r="A113" s="329">
        <v>5582</v>
      </c>
      <c r="B113" s="447" t="s">
        <v>376</v>
      </c>
      <c r="C113" s="378">
        <v>9357357.2799999993</v>
      </c>
      <c r="D113" s="378">
        <v>1191584.55</v>
      </c>
      <c r="E113" s="378"/>
      <c r="F113" s="497"/>
      <c r="G113" s="378">
        <v>217448.3</v>
      </c>
      <c r="H113" s="378">
        <v>218382.85</v>
      </c>
      <c r="I113" s="378">
        <v>-27176.23</v>
      </c>
      <c r="J113" s="378">
        <v>312399.43</v>
      </c>
      <c r="K113" s="378">
        <v>83192.45</v>
      </c>
      <c r="L113" s="378">
        <v>951358.4</v>
      </c>
      <c r="M113" s="323">
        <f t="shared" si="2"/>
        <v>12304547.029999999</v>
      </c>
      <c r="N113" s="380">
        <v>449844.65</v>
      </c>
      <c r="O113" s="380">
        <v>461920.2</v>
      </c>
      <c r="P113" s="380">
        <v>546244.75</v>
      </c>
      <c r="Q113" s="380">
        <v>32911</v>
      </c>
      <c r="R113" s="380">
        <v>773876.4</v>
      </c>
      <c r="S113" s="368">
        <v>49363.16</v>
      </c>
      <c r="T113" s="430">
        <f t="shared" si="3"/>
        <v>14618707.189999999</v>
      </c>
      <c r="U113" s="381">
        <v>73</v>
      </c>
      <c r="V113" s="384">
        <v>4449</v>
      </c>
      <c r="W113" s="427">
        <v>-145996.04999999999</v>
      </c>
      <c r="X113" s="433"/>
      <c r="Y113" s="433">
        <v>-12825.31</v>
      </c>
      <c r="Z113" s="438">
        <v>1</v>
      </c>
    </row>
    <row r="114" spans="1:26" x14ac:dyDescent="0.25">
      <c r="A114" s="329">
        <v>5583</v>
      </c>
      <c r="B114" s="447" t="s">
        <v>377</v>
      </c>
      <c r="C114" s="378">
        <v>11721344.43</v>
      </c>
      <c r="D114" s="378">
        <v>1690992.38</v>
      </c>
      <c r="E114" s="378"/>
      <c r="F114" s="497"/>
      <c r="G114" s="378">
        <v>3561542.95</v>
      </c>
      <c r="H114" s="378">
        <v>337572.3</v>
      </c>
      <c r="I114" s="378"/>
      <c r="J114" s="378">
        <v>969801.07</v>
      </c>
      <c r="K114" s="378">
        <v>388664.15</v>
      </c>
      <c r="L114" s="378">
        <v>2503743.2999999998</v>
      </c>
      <c r="M114" s="323">
        <f t="shared" si="2"/>
        <v>21173660.579999998</v>
      </c>
      <c r="N114" s="380">
        <v>2173154.15</v>
      </c>
      <c r="O114" s="380">
        <v>245089.6</v>
      </c>
      <c r="P114" s="380">
        <v>1501884.75</v>
      </c>
      <c r="Q114" s="380">
        <v>43662.31</v>
      </c>
      <c r="R114" s="380">
        <v>1165005.55</v>
      </c>
      <c r="S114" s="368">
        <v>441622.08</v>
      </c>
      <c r="T114" s="430">
        <f t="shared" si="3"/>
        <v>26744079.019999996</v>
      </c>
      <c r="U114" s="381">
        <v>63.5</v>
      </c>
      <c r="V114" s="384">
        <v>8974</v>
      </c>
      <c r="W114" s="427">
        <v>-222182.55</v>
      </c>
      <c r="X114" s="433"/>
      <c r="Y114" s="433">
        <v>-2314.4499999999998</v>
      </c>
      <c r="Z114" s="438">
        <v>1</v>
      </c>
    </row>
    <row r="115" spans="1:26" x14ac:dyDescent="0.25">
      <c r="A115" s="329">
        <v>5584</v>
      </c>
      <c r="B115" s="447" t="s">
        <v>378</v>
      </c>
      <c r="C115" s="378">
        <v>24374238.77</v>
      </c>
      <c r="D115" s="378">
        <v>4440234.49</v>
      </c>
      <c r="E115" s="378"/>
      <c r="F115" s="497"/>
      <c r="G115" s="378">
        <v>1138215.45</v>
      </c>
      <c r="H115" s="378">
        <v>450645.5</v>
      </c>
      <c r="I115" s="378">
        <v>318905.75</v>
      </c>
      <c r="J115" s="378">
        <v>249842.53</v>
      </c>
      <c r="K115" s="378">
        <v>165858.70000000001</v>
      </c>
      <c r="L115" s="378">
        <v>2348850.7999999998</v>
      </c>
      <c r="M115" s="323">
        <f t="shared" si="2"/>
        <v>33486791.989999998</v>
      </c>
      <c r="N115" s="380">
        <v>293562.8</v>
      </c>
      <c r="O115" s="380">
        <v>585788.80000000005</v>
      </c>
      <c r="P115" s="380">
        <v>1803696.3</v>
      </c>
      <c r="Q115" s="380">
        <v>60504.7</v>
      </c>
      <c r="R115" s="380">
        <v>1193095.95</v>
      </c>
      <c r="S115" s="368">
        <v>179957.77</v>
      </c>
      <c r="T115" s="430">
        <f t="shared" si="3"/>
        <v>37603398.310000002</v>
      </c>
      <c r="U115" s="381">
        <v>64.5</v>
      </c>
      <c r="V115" s="384">
        <v>9813</v>
      </c>
      <c r="W115" s="427">
        <v>-363450.84</v>
      </c>
      <c r="X115" s="433"/>
      <c r="Y115" s="433">
        <v>-32342.31</v>
      </c>
      <c r="Z115" s="438">
        <v>1</v>
      </c>
    </row>
    <row r="116" spans="1:26" x14ac:dyDescent="0.25">
      <c r="A116" s="329">
        <v>5585</v>
      </c>
      <c r="B116" s="447" t="s">
        <v>379</v>
      </c>
      <c r="C116" s="378">
        <v>6865138.5499999998</v>
      </c>
      <c r="D116" s="378">
        <v>3644259.47</v>
      </c>
      <c r="E116" s="378"/>
      <c r="F116" s="497"/>
      <c r="G116" s="378">
        <v>36060.300000000003</v>
      </c>
      <c r="H116" s="378">
        <v>6605.25</v>
      </c>
      <c r="I116" s="378">
        <v>144304.92000000001</v>
      </c>
      <c r="J116" s="378">
        <v>46659.46</v>
      </c>
      <c r="K116" s="378">
        <v>7803.5</v>
      </c>
      <c r="L116" s="378">
        <v>575774.35</v>
      </c>
      <c r="M116" s="323">
        <f t="shared" si="2"/>
        <v>11326605.800000001</v>
      </c>
      <c r="N116" s="380">
        <v>1366.85</v>
      </c>
      <c r="O116" s="380">
        <v>34254.1</v>
      </c>
      <c r="P116" s="380">
        <v>400119.55</v>
      </c>
      <c r="Q116" s="380"/>
      <c r="R116" s="380">
        <v>450464.3</v>
      </c>
      <c r="S116" s="368">
        <v>4832.3900000000003</v>
      </c>
      <c r="T116" s="430">
        <f t="shared" si="3"/>
        <v>12217642.990000002</v>
      </c>
      <c r="U116" s="381">
        <v>59</v>
      </c>
      <c r="V116" s="384">
        <v>1460</v>
      </c>
      <c r="W116" s="427">
        <v>-15901.99</v>
      </c>
      <c r="X116" s="433"/>
      <c r="Y116" s="433">
        <v>-2588.84</v>
      </c>
      <c r="Z116" s="438">
        <v>1</v>
      </c>
    </row>
    <row r="117" spans="1:26" x14ac:dyDescent="0.25">
      <c r="A117" s="329">
        <v>5586</v>
      </c>
      <c r="B117" s="447" t="s">
        <v>118</v>
      </c>
      <c r="C117" s="378">
        <v>308573433.68000001</v>
      </c>
      <c r="D117" s="378">
        <v>49706320.859999999</v>
      </c>
      <c r="E117" s="378"/>
      <c r="F117" s="497"/>
      <c r="G117" s="378">
        <v>74430166.900000006</v>
      </c>
      <c r="H117" s="378">
        <v>7754175.8499999996</v>
      </c>
      <c r="I117" s="378">
        <v>6608887.4400000004</v>
      </c>
      <c r="J117" s="378">
        <v>20383530.43</v>
      </c>
      <c r="K117" s="378">
        <v>6198102.4000000004</v>
      </c>
      <c r="L117" s="378">
        <v>45109690.149999999</v>
      </c>
      <c r="M117" s="323">
        <f t="shared" si="2"/>
        <v>518764307.71000004</v>
      </c>
      <c r="N117" s="380">
        <v>13203708.65</v>
      </c>
      <c r="O117" s="380">
        <v>22230070.300000001</v>
      </c>
      <c r="P117" s="380">
        <v>13693939.9</v>
      </c>
      <c r="Q117" s="380">
        <v>2236041.6</v>
      </c>
      <c r="R117" s="380">
        <v>12379655.1</v>
      </c>
      <c r="S117" s="368">
        <v>9308373.2599999998</v>
      </c>
      <c r="T117" s="430">
        <f t="shared" si="3"/>
        <v>591816096.51999998</v>
      </c>
      <c r="U117" s="381">
        <v>78.5</v>
      </c>
      <c r="V117" s="384">
        <v>140824</v>
      </c>
      <c r="W117" s="427">
        <v>-7446520.7599999998</v>
      </c>
      <c r="X117" s="433"/>
      <c r="Y117" s="433">
        <v>-598538.9</v>
      </c>
      <c r="Z117" s="438">
        <v>1.5</v>
      </c>
    </row>
    <row r="118" spans="1:26" x14ac:dyDescent="0.25">
      <c r="A118" s="329">
        <v>5587</v>
      </c>
      <c r="B118" s="447" t="s">
        <v>119</v>
      </c>
      <c r="C118" s="378">
        <v>25502659.009999998</v>
      </c>
      <c r="D118" s="378">
        <v>3787801.95</v>
      </c>
      <c r="E118" s="378"/>
      <c r="F118" s="497"/>
      <c r="G118" s="378">
        <v>2477591</v>
      </c>
      <c r="H118" s="378">
        <v>644504.75</v>
      </c>
      <c r="I118" s="378">
        <v>278338.5</v>
      </c>
      <c r="J118" s="378">
        <v>552894.36</v>
      </c>
      <c r="K118" s="378">
        <v>369721.85</v>
      </c>
      <c r="L118" s="378">
        <v>3239027.8</v>
      </c>
      <c r="M118" s="323">
        <f t="shared" si="2"/>
        <v>36852539.219999991</v>
      </c>
      <c r="N118" s="380">
        <v>766350.2</v>
      </c>
      <c r="O118" s="380">
        <v>495075.8</v>
      </c>
      <c r="P118" s="380">
        <v>2138196.2999999998</v>
      </c>
      <c r="Q118" s="380">
        <v>49691.75</v>
      </c>
      <c r="R118" s="380">
        <v>2298626.15</v>
      </c>
      <c r="S118" s="368">
        <v>353615.2</v>
      </c>
      <c r="T118" s="430">
        <f t="shared" si="3"/>
        <v>42954094.61999999</v>
      </c>
      <c r="U118" s="381">
        <v>73.5</v>
      </c>
      <c r="V118" s="384">
        <v>9217</v>
      </c>
      <c r="W118" s="427">
        <v>-292181.78000000003</v>
      </c>
      <c r="X118" s="433"/>
      <c r="Y118" s="433">
        <v>-37059.47</v>
      </c>
      <c r="Z118" s="438">
        <v>1.2</v>
      </c>
    </row>
    <row r="119" spans="1:26" x14ac:dyDescent="0.25">
      <c r="A119" s="329">
        <v>5588</v>
      </c>
      <c r="B119" s="447" t="s">
        <v>120</v>
      </c>
      <c r="C119" s="378">
        <v>9986602.8100000005</v>
      </c>
      <c r="D119" s="378">
        <v>1872069.07</v>
      </c>
      <c r="E119" s="378"/>
      <c r="F119" s="497"/>
      <c r="G119" s="378">
        <v>466921.9</v>
      </c>
      <c r="H119" s="378">
        <v>357800.35</v>
      </c>
      <c r="I119" s="378">
        <v>649215.15</v>
      </c>
      <c r="J119" s="378">
        <v>391193.39</v>
      </c>
      <c r="K119" s="378">
        <v>39501.050000000003</v>
      </c>
      <c r="L119" s="378">
        <v>395319.65</v>
      </c>
      <c r="M119" s="323">
        <f t="shared" si="2"/>
        <v>14158623.370000003</v>
      </c>
      <c r="N119" s="380">
        <v>24260.799999999999</v>
      </c>
      <c r="O119" s="380">
        <v>15108.4</v>
      </c>
      <c r="P119" s="380">
        <v>205920</v>
      </c>
      <c r="Q119" s="380">
        <v>2535</v>
      </c>
      <c r="R119" s="380">
        <v>153893.79999999999</v>
      </c>
      <c r="S119" s="368">
        <v>93409.79</v>
      </c>
      <c r="T119" s="430">
        <f t="shared" si="3"/>
        <v>14653751.160000004</v>
      </c>
      <c r="U119" s="381">
        <v>66.5</v>
      </c>
      <c r="V119" s="384">
        <v>1545</v>
      </c>
      <c r="W119" s="427">
        <v>-30681.040000000001</v>
      </c>
      <c r="X119" s="433"/>
      <c r="Y119" s="433">
        <v>-45516.02</v>
      </c>
      <c r="Z119" s="438">
        <v>0.7</v>
      </c>
    </row>
    <row r="120" spans="1:26" x14ac:dyDescent="0.25">
      <c r="A120" s="329">
        <v>5589</v>
      </c>
      <c r="B120" s="447" t="s">
        <v>121</v>
      </c>
      <c r="C120" s="378">
        <v>19348751.989999998</v>
      </c>
      <c r="D120" s="378">
        <v>2404167.6800000002</v>
      </c>
      <c r="E120" s="378"/>
      <c r="F120" s="497"/>
      <c r="G120" s="378">
        <v>4175156.85</v>
      </c>
      <c r="H120" s="378">
        <v>309626.65000000002</v>
      </c>
      <c r="I120" s="378">
        <v>58264.7</v>
      </c>
      <c r="J120" s="378">
        <v>1230431.6399999999</v>
      </c>
      <c r="K120" s="378">
        <v>520616.25</v>
      </c>
      <c r="L120" s="378">
        <v>2946460.05</v>
      </c>
      <c r="M120" s="323">
        <f t="shared" si="2"/>
        <v>30993475.809999999</v>
      </c>
      <c r="N120" s="380">
        <v>1267619.8999999999</v>
      </c>
      <c r="O120" s="380">
        <v>204544.1</v>
      </c>
      <c r="P120" s="380">
        <v>1178246.7</v>
      </c>
      <c r="Q120" s="380">
        <v>118142.6</v>
      </c>
      <c r="R120" s="380">
        <v>1156634.1000000001</v>
      </c>
      <c r="S120" s="368">
        <v>507956.11</v>
      </c>
      <c r="T120" s="430">
        <f t="shared" si="3"/>
        <v>35426619.32</v>
      </c>
      <c r="U120" s="381">
        <v>72.5</v>
      </c>
      <c r="V120" s="384">
        <v>12341</v>
      </c>
      <c r="W120" s="427">
        <v>-426252.15</v>
      </c>
      <c r="X120" s="433"/>
      <c r="Y120" s="433">
        <v>-96008.36</v>
      </c>
      <c r="Z120" s="438">
        <v>1.3</v>
      </c>
    </row>
    <row r="121" spans="1:26" x14ac:dyDescent="0.25">
      <c r="A121" s="329">
        <v>5590</v>
      </c>
      <c r="B121" s="447" t="s">
        <v>122</v>
      </c>
      <c r="C121" s="378">
        <v>56722211.979999997</v>
      </c>
      <c r="D121" s="378">
        <v>17928881.050000001</v>
      </c>
      <c r="E121" s="378"/>
      <c r="F121" s="497"/>
      <c r="G121" s="378">
        <v>12595848.35</v>
      </c>
      <c r="H121" s="378">
        <v>1793413.8</v>
      </c>
      <c r="I121" s="378">
        <v>2088944.34</v>
      </c>
      <c r="J121" s="378">
        <v>899998.49</v>
      </c>
      <c r="K121" s="378">
        <v>443570.25</v>
      </c>
      <c r="L121" s="378">
        <v>3727357.05</v>
      </c>
      <c r="M121" s="323">
        <f t="shared" si="2"/>
        <v>96200225.309999987</v>
      </c>
      <c r="N121" s="380">
        <v>176020.55</v>
      </c>
      <c r="O121" s="380">
        <v>2095407.6</v>
      </c>
      <c r="P121" s="380">
        <v>4347950.2</v>
      </c>
      <c r="Q121" s="380">
        <v>154132.1</v>
      </c>
      <c r="R121" s="380">
        <v>3076179.35</v>
      </c>
      <c r="S121" s="368">
        <v>1629758.41</v>
      </c>
      <c r="T121" s="430">
        <f t="shared" si="3"/>
        <v>107679673.51999997</v>
      </c>
      <c r="U121" s="381">
        <v>61</v>
      </c>
      <c r="V121" s="384">
        <v>18946</v>
      </c>
      <c r="W121" s="427">
        <v>-686682.37</v>
      </c>
      <c r="X121" s="433"/>
      <c r="Y121" s="433">
        <v>-1109983.06</v>
      </c>
      <c r="Z121" s="438">
        <v>0.7</v>
      </c>
    </row>
    <row r="122" spans="1:26" x14ac:dyDescent="0.25">
      <c r="A122" s="329">
        <v>5591</v>
      </c>
      <c r="B122" s="447" t="s">
        <v>382</v>
      </c>
      <c r="C122" s="378">
        <v>29125693.670000002</v>
      </c>
      <c r="D122" s="378">
        <v>3146691.6</v>
      </c>
      <c r="E122" s="378"/>
      <c r="F122" s="497"/>
      <c r="G122" s="378">
        <v>4821403.3499999996</v>
      </c>
      <c r="H122" s="378">
        <v>442964.95</v>
      </c>
      <c r="I122" s="378"/>
      <c r="J122" s="378">
        <v>2166767.0299999998</v>
      </c>
      <c r="K122" s="378">
        <v>808812.05</v>
      </c>
      <c r="L122" s="378">
        <v>5163146.3499999996</v>
      </c>
      <c r="M122" s="323">
        <f t="shared" si="2"/>
        <v>45675479.000000007</v>
      </c>
      <c r="N122" s="380">
        <v>2185480.2999999998</v>
      </c>
      <c r="O122" s="380">
        <v>1122802</v>
      </c>
      <c r="P122" s="380">
        <v>1814775.2</v>
      </c>
      <c r="Q122" s="380">
        <v>342466.65</v>
      </c>
      <c r="R122" s="380">
        <v>1995224.9</v>
      </c>
      <c r="S122" s="368">
        <v>596253.54</v>
      </c>
      <c r="T122" s="430">
        <f t="shared" si="3"/>
        <v>53732481.590000004</v>
      </c>
      <c r="U122" s="381">
        <v>77</v>
      </c>
      <c r="V122" s="384">
        <v>20917</v>
      </c>
      <c r="W122" s="427">
        <v>-1255483.56</v>
      </c>
      <c r="X122" s="433"/>
      <c r="Y122" s="433">
        <v>-10126.68</v>
      </c>
      <c r="Z122" s="438">
        <v>1.4</v>
      </c>
    </row>
    <row r="123" spans="1:26" x14ac:dyDescent="0.25">
      <c r="A123" s="329">
        <v>5592</v>
      </c>
      <c r="B123" s="447" t="s">
        <v>210</v>
      </c>
      <c r="C123" s="378">
        <v>6080173.3099999996</v>
      </c>
      <c r="D123" s="378">
        <v>832193.86</v>
      </c>
      <c r="E123" s="378"/>
      <c r="F123" s="497"/>
      <c r="G123" s="378">
        <v>520391.15</v>
      </c>
      <c r="H123" s="378">
        <v>53086.9</v>
      </c>
      <c r="I123" s="378">
        <v>49520.55</v>
      </c>
      <c r="J123" s="378">
        <v>193586.8</v>
      </c>
      <c r="K123" s="378">
        <v>68343.199999999997</v>
      </c>
      <c r="L123" s="378">
        <v>903646.15</v>
      </c>
      <c r="M123" s="323">
        <f t="shared" si="2"/>
        <v>8700941.9199999999</v>
      </c>
      <c r="N123" s="380">
        <v>243903.85</v>
      </c>
      <c r="O123" s="380">
        <v>608500</v>
      </c>
      <c r="P123" s="380">
        <v>657763.5</v>
      </c>
      <c r="Q123" s="380">
        <v>51183.95</v>
      </c>
      <c r="R123" s="380">
        <v>322052.90000000002</v>
      </c>
      <c r="S123" s="368">
        <v>64953.34</v>
      </c>
      <c r="T123" s="430">
        <f t="shared" si="3"/>
        <v>10649299.459999999</v>
      </c>
      <c r="U123" s="381">
        <v>70.5</v>
      </c>
      <c r="V123" s="384">
        <v>3482</v>
      </c>
      <c r="W123" s="427">
        <v>-98222.399999999994</v>
      </c>
      <c r="X123" s="433"/>
      <c r="Y123" s="433">
        <v>-1524.84</v>
      </c>
      <c r="Z123" s="438">
        <v>1.25</v>
      </c>
    </row>
    <row r="124" spans="1:26" x14ac:dyDescent="0.25">
      <c r="A124" s="329">
        <v>5601</v>
      </c>
      <c r="B124" s="447" t="s">
        <v>290</v>
      </c>
      <c r="C124" s="378">
        <v>5352657.8</v>
      </c>
      <c r="D124" s="378">
        <v>1008491.7</v>
      </c>
      <c r="E124" s="378"/>
      <c r="F124" s="497"/>
      <c r="G124" s="378">
        <v>159632.85</v>
      </c>
      <c r="H124" s="378">
        <v>10912.6</v>
      </c>
      <c r="I124" s="378">
        <v>30402.67</v>
      </c>
      <c r="J124" s="378">
        <v>76507.83</v>
      </c>
      <c r="K124" s="378">
        <v>25888.799999999999</v>
      </c>
      <c r="L124" s="378">
        <v>490995.9</v>
      </c>
      <c r="M124" s="323">
        <f t="shared" si="2"/>
        <v>7155490.1499999994</v>
      </c>
      <c r="N124" s="380">
        <v>52235.25</v>
      </c>
      <c r="O124" s="380">
        <v>73217</v>
      </c>
      <c r="P124" s="380">
        <v>219762.2</v>
      </c>
      <c r="Q124" s="380">
        <v>20962.3</v>
      </c>
      <c r="R124" s="380">
        <v>241082.4</v>
      </c>
      <c r="S124" s="368">
        <v>19316.34</v>
      </c>
      <c r="T124" s="430">
        <f t="shared" si="3"/>
        <v>7782065.6399999997</v>
      </c>
      <c r="U124" s="381">
        <v>67.5</v>
      </c>
      <c r="V124" s="384">
        <v>2229</v>
      </c>
      <c r="W124" s="427">
        <v>-37059.879999999997</v>
      </c>
      <c r="X124" s="433"/>
      <c r="Y124" s="433">
        <v>-5527.33</v>
      </c>
      <c r="Z124" s="438">
        <v>1</v>
      </c>
    </row>
    <row r="125" spans="1:26" x14ac:dyDescent="0.25">
      <c r="A125" s="329">
        <v>5604</v>
      </c>
      <c r="B125" s="447" t="s">
        <v>141</v>
      </c>
      <c r="C125" s="378">
        <v>3868871.2</v>
      </c>
      <c r="D125" s="378">
        <v>574385.05000000005</v>
      </c>
      <c r="E125" s="378"/>
      <c r="F125" s="497"/>
      <c r="G125" s="378">
        <v>219731.75</v>
      </c>
      <c r="H125" s="378">
        <v>27190.55</v>
      </c>
      <c r="I125" s="378"/>
      <c r="J125" s="378">
        <v>82763.87</v>
      </c>
      <c r="K125" s="378">
        <v>29910.35</v>
      </c>
      <c r="L125" s="378">
        <v>414729.65</v>
      </c>
      <c r="M125" s="323">
        <f t="shared" si="2"/>
        <v>5217582.42</v>
      </c>
      <c r="N125" s="380">
        <v>112458.65</v>
      </c>
      <c r="O125" s="380">
        <v>1253.8</v>
      </c>
      <c r="P125" s="380">
        <v>241497.8</v>
      </c>
      <c r="Q125" s="380">
        <v>30434.84</v>
      </c>
      <c r="R125" s="380">
        <v>140152.4</v>
      </c>
      <c r="S125" s="368">
        <v>27966.94</v>
      </c>
      <c r="T125" s="430">
        <f t="shared" si="3"/>
        <v>5771346.8500000006</v>
      </c>
      <c r="U125" s="381">
        <v>69</v>
      </c>
      <c r="V125" s="384">
        <v>2110</v>
      </c>
      <c r="W125" s="427">
        <v>-40994.79</v>
      </c>
      <c r="X125" s="433"/>
      <c r="Y125" s="433">
        <v>-3483.99</v>
      </c>
      <c r="Z125" s="438">
        <v>1</v>
      </c>
    </row>
    <row r="126" spans="1:26" x14ac:dyDescent="0.25">
      <c r="A126" s="329">
        <v>5606</v>
      </c>
      <c r="B126" s="447" t="s">
        <v>142</v>
      </c>
      <c r="C126" s="378">
        <v>32849394.789999999</v>
      </c>
      <c r="D126" s="378">
        <v>8495704.0800000001</v>
      </c>
      <c r="E126" s="378"/>
      <c r="F126" s="497"/>
      <c r="G126" s="378">
        <v>4087785.05</v>
      </c>
      <c r="H126" s="378">
        <v>149369.60000000001</v>
      </c>
      <c r="I126" s="378">
        <v>1236629.21</v>
      </c>
      <c r="J126" s="378">
        <v>547446.17000000004</v>
      </c>
      <c r="K126" s="378">
        <v>35287.949999999997</v>
      </c>
      <c r="L126" s="378">
        <v>2337138.85</v>
      </c>
      <c r="M126" s="323">
        <f t="shared" si="2"/>
        <v>49738755.700000003</v>
      </c>
      <c r="N126" s="380">
        <v>86204.6</v>
      </c>
      <c r="O126" s="380">
        <v>7043997.2999999998</v>
      </c>
      <c r="P126" s="380">
        <v>3582499.15</v>
      </c>
      <c r="Q126" s="380">
        <v>103618.92</v>
      </c>
      <c r="R126" s="380">
        <v>1350568.4</v>
      </c>
      <c r="S126" s="368">
        <v>479909.14</v>
      </c>
      <c r="T126" s="430">
        <f t="shared" si="3"/>
        <v>62385553.210000001</v>
      </c>
      <c r="U126" s="381">
        <v>54</v>
      </c>
      <c r="V126" s="384">
        <v>10704</v>
      </c>
      <c r="W126" s="427">
        <v>-370372.63</v>
      </c>
      <c r="X126" s="433"/>
      <c r="Y126" s="433">
        <v>-132133.51999999999</v>
      </c>
      <c r="Z126" s="438">
        <v>0.7</v>
      </c>
    </row>
    <row r="127" spans="1:26" x14ac:dyDescent="0.25">
      <c r="A127" s="329">
        <v>5607</v>
      </c>
      <c r="B127" s="447" t="s">
        <v>292</v>
      </c>
      <c r="C127" s="378">
        <v>4892135.21</v>
      </c>
      <c r="D127" s="378">
        <v>878066.7</v>
      </c>
      <c r="E127" s="378"/>
      <c r="F127" s="497"/>
      <c r="G127" s="378">
        <v>648297.6</v>
      </c>
      <c r="H127" s="378">
        <v>189965.85</v>
      </c>
      <c r="I127" s="378">
        <v>398.5</v>
      </c>
      <c r="J127" s="378">
        <v>170524.94</v>
      </c>
      <c r="K127" s="378">
        <v>113211.4</v>
      </c>
      <c r="L127" s="378">
        <v>809816.25</v>
      </c>
      <c r="M127" s="323">
        <f t="shared" si="2"/>
        <v>7702416.4500000002</v>
      </c>
      <c r="N127" s="380">
        <v>335399.25</v>
      </c>
      <c r="O127" s="380">
        <v>72171.3</v>
      </c>
      <c r="P127" s="380">
        <v>605599.94999999995</v>
      </c>
      <c r="Q127" s="380">
        <v>19247.150000000001</v>
      </c>
      <c r="R127" s="380">
        <v>237600.65</v>
      </c>
      <c r="S127" s="368">
        <v>94943.5</v>
      </c>
      <c r="T127" s="430">
        <f t="shared" si="3"/>
        <v>9067378.25</v>
      </c>
      <c r="U127" s="381">
        <v>68.5</v>
      </c>
      <c r="V127" s="384">
        <v>2924</v>
      </c>
      <c r="W127" s="427">
        <v>-59486.57</v>
      </c>
      <c r="X127" s="433"/>
      <c r="Y127" s="433">
        <v>-8236.2000000000007</v>
      </c>
      <c r="Z127" s="438">
        <v>1.1499999999999999</v>
      </c>
    </row>
    <row r="128" spans="1:26" x14ac:dyDescent="0.25">
      <c r="A128" s="329">
        <v>5609</v>
      </c>
      <c r="B128" s="447" t="s">
        <v>126</v>
      </c>
      <c r="C128" s="378">
        <v>746766.54</v>
      </c>
      <c r="D128" s="378">
        <v>147199.85</v>
      </c>
      <c r="E128" s="378"/>
      <c r="F128" s="497"/>
      <c r="G128" s="378">
        <v>10495.4</v>
      </c>
      <c r="H128" s="378">
        <v>728.25</v>
      </c>
      <c r="I128" s="378"/>
      <c r="J128" s="378">
        <v>-48435.360000000001</v>
      </c>
      <c r="K128" s="378">
        <v>1050.4000000000001</v>
      </c>
      <c r="L128" s="378">
        <v>61893.65</v>
      </c>
      <c r="M128" s="323">
        <f t="shared" si="2"/>
        <v>919698.7300000001</v>
      </c>
      <c r="N128" s="380"/>
      <c r="O128" s="380"/>
      <c r="P128" s="380">
        <v>20130</v>
      </c>
      <c r="Q128" s="380">
        <v>2806.56</v>
      </c>
      <c r="R128" s="380">
        <v>17919.900000000001</v>
      </c>
      <c r="S128" s="368">
        <v>1271.21</v>
      </c>
      <c r="T128" s="430">
        <f t="shared" si="3"/>
        <v>961826.40000000014</v>
      </c>
      <c r="U128" s="381">
        <v>62</v>
      </c>
      <c r="V128" s="384">
        <v>331</v>
      </c>
      <c r="W128" s="427">
        <v>-101.79</v>
      </c>
      <c r="X128" s="433"/>
      <c r="Y128" s="433">
        <v>-91.08</v>
      </c>
      <c r="Z128" s="438">
        <v>1</v>
      </c>
    </row>
    <row r="129" spans="1:26" x14ac:dyDescent="0.25">
      <c r="A129" s="329">
        <v>5610</v>
      </c>
      <c r="B129" s="447" t="s">
        <v>127</v>
      </c>
      <c r="C129" s="378">
        <v>985564.92</v>
      </c>
      <c r="D129" s="378">
        <v>498504.82</v>
      </c>
      <c r="E129" s="378"/>
      <c r="F129" s="497"/>
      <c r="G129" s="378">
        <v>14611</v>
      </c>
      <c r="H129" s="378">
        <v>-823.35</v>
      </c>
      <c r="I129" s="378">
        <v>50486.1</v>
      </c>
      <c r="J129" s="378">
        <v>24275.42</v>
      </c>
      <c r="K129" s="378">
        <v>7110.45</v>
      </c>
      <c r="L129" s="378">
        <v>127993.65</v>
      </c>
      <c r="M129" s="323">
        <f t="shared" si="2"/>
        <v>1707723.0099999998</v>
      </c>
      <c r="N129" s="380"/>
      <c r="O129" s="380">
        <v>538286.75</v>
      </c>
      <c r="P129" s="380">
        <v>31076.15</v>
      </c>
      <c r="Q129" s="380">
        <v>2963.4</v>
      </c>
      <c r="R129" s="380">
        <v>10281.9</v>
      </c>
      <c r="S129" s="368">
        <v>1561.62</v>
      </c>
      <c r="T129" s="430">
        <f t="shared" si="3"/>
        <v>2291892.8299999996</v>
      </c>
      <c r="U129" s="381">
        <v>72</v>
      </c>
      <c r="V129" s="384">
        <v>396</v>
      </c>
      <c r="W129" s="427">
        <v>-6313.85</v>
      </c>
      <c r="X129" s="433"/>
      <c r="Y129" s="433">
        <v>3687.37</v>
      </c>
      <c r="Z129" s="438">
        <v>1.2</v>
      </c>
    </row>
    <row r="130" spans="1:26" x14ac:dyDescent="0.25">
      <c r="A130" s="329">
        <v>5611</v>
      </c>
      <c r="B130" s="447" t="s">
        <v>289</v>
      </c>
      <c r="C130" s="378">
        <v>7197385.8099999996</v>
      </c>
      <c r="D130" s="378">
        <v>1162096.5</v>
      </c>
      <c r="E130" s="378"/>
      <c r="F130" s="497"/>
      <c r="G130" s="378">
        <v>405675.25</v>
      </c>
      <c r="H130" s="378">
        <v>24359.95</v>
      </c>
      <c r="I130" s="378">
        <v>133186.6</v>
      </c>
      <c r="J130" s="378">
        <v>137123.69</v>
      </c>
      <c r="K130" s="378">
        <v>11840.85</v>
      </c>
      <c r="L130" s="378">
        <v>813871.15</v>
      </c>
      <c r="M130" s="323">
        <f t="shared" si="2"/>
        <v>9885539.799999997</v>
      </c>
      <c r="N130" s="380">
        <v>118228.5</v>
      </c>
      <c r="O130" s="380">
        <v>125415.8</v>
      </c>
      <c r="P130" s="380">
        <v>371230.05</v>
      </c>
      <c r="Q130" s="380">
        <v>7310.04</v>
      </c>
      <c r="R130" s="380">
        <v>321922.34999999998</v>
      </c>
      <c r="S130" s="368">
        <v>48706.7</v>
      </c>
      <c r="T130" s="430">
        <f t="shared" si="3"/>
        <v>10878353.239999996</v>
      </c>
      <c r="U130" s="381">
        <v>69</v>
      </c>
      <c r="V130" s="384">
        <v>3370</v>
      </c>
      <c r="W130" s="427">
        <v>-75255.460000000006</v>
      </c>
      <c r="X130" s="433"/>
      <c r="Y130" s="433">
        <v>-2819.69</v>
      </c>
      <c r="Z130" s="438">
        <v>1.2</v>
      </c>
    </row>
    <row r="131" spans="1:26" x14ac:dyDescent="0.25">
      <c r="A131" s="329">
        <v>5613</v>
      </c>
      <c r="B131" s="447" t="s">
        <v>411</v>
      </c>
      <c r="C131" s="378">
        <v>15466980.460000001</v>
      </c>
      <c r="D131" s="378">
        <v>5013395.92</v>
      </c>
      <c r="E131" s="378"/>
      <c r="F131" s="497"/>
      <c r="G131" s="378">
        <v>140032.20000000001</v>
      </c>
      <c r="H131" s="378">
        <v>42188.75</v>
      </c>
      <c r="I131" s="378">
        <v>133620.6</v>
      </c>
      <c r="J131" s="378">
        <v>108768.4</v>
      </c>
      <c r="K131" s="378">
        <v>27904.85</v>
      </c>
      <c r="L131" s="378">
        <v>2254298.15</v>
      </c>
      <c r="M131" s="323">
        <f t="shared" si="2"/>
        <v>23187189.330000002</v>
      </c>
      <c r="N131" s="380">
        <v>21021.599999999999</v>
      </c>
      <c r="O131" s="380">
        <v>464844</v>
      </c>
      <c r="P131" s="380">
        <v>931263.75</v>
      </c>
      <c r="Q131" s="380">
        <v>15380.43</v>
      </c>
      <c r="R131" s="380">
        <v>632690.35</v>
      </c>
      <c r="S131" s="368">
        <v>20638.73</v>
      </c>
      <c r="T131" s="430">
        <f t="shared" si="3"/>
        <v>25273028.190000005</v>
      </c>
      <c r="U131" s="381">
        <v>62.5</v>
      </c>
      <c r="V131" s="384">
        <v>5367</v>
      </c>
      <c r="W131" s="427">
        <v>-108315.66</v>
      </c>
      <c r="X131" s="433"/>
      <c r="Y131" s="433">
        <v>-37799.4</v>
      </c>
      <c r="Z131" s="438">
        <v>1.5</v>
      </c>
    </row>
    <row r="132" spans="1:26" x14ac:dyDescent="0.25">
      <c r="A132" s="329">
        <v>5621</v>
      </c>
      <c r="B132" s="447" t="s">
        <v>391</v>
      </c>
      <c r="C132" s="378">
        <v>1016919.48</v>
      </c>
      <c r="D132" s="378">
        <v>121718.1</v>
      </c>
      <c r="E132" s="378"/>
      <c r="F132" s="497"/>
      <c r="G132" s="378">
        <v>461951.4</v>
      </c>
      <c r="H132" s="378">
        <v>10566.7</v>
      </c>
      <c r="I132" s="378"/>
      <c r="J132" s="378">
        <v>52181.27</v>
      </c>
      <c r="K132" s="378">
        <v>5486.25</v>
      </c>
      <c r="L132" s="378">
        <v>323828.40000000002</v>
      </c>
      <c r="M132" s="323">
        <f t="shared" si="2"/>
        <v>1992651.6</v>
      </c>
      <c r="N132" s="380">
        <v>227041.5</v>
      </c>
      <c r="O132" s="380">
        <v>34896.5</v>
      </c>
      <c r="P132" s="380">
        <v>186875.15</v>
      </c>
      <c r="Q132" s="380">
        <v>2681.08</v>
      </c>
      <c r="R132" s="380">
        <v>72467.8</v>
      </c>
      <c r="S132" s="368">
        <v>53518.400000000001</v>
      </c>
      <c r="T132" s="430">
        <f t="shared" si="3"/>
        <v>2570132.0299999998</v>
      </c>
      <c r="U132" s="381">
        <v>62</v>
      </c>
      <c r="V132" s="384">
        <v>517</v>
      </c>
      <c r="W132" s="427">
        <v>-15984.06</v>
      </c>
      <c r="X132" s="433"/>
      <c r="Y132" s="433">
        <v>-2607.86</v>
      </c>
      <c r="Z132" s="438">
        <v>1.1000000000000001</v>
      </c>
    </row>
    <row r="133" spans="1:26" x14ac:dyDescent="0.25">
      <c r="A133" s="329">
        <v>5622</v>
      </c>
      <c r="B133" s="447" t="s">
        <v>143</v>
      </c>
      <c r="C133" s="378">
        <v>1542365.03</v>
      </c>
      <c r="D133" s="378">
        <v>232872.03</v>
      </c>
      <c r="E133" s="378"/>
      <c r="F133" s="497"/>
      <c r="G133" s="378">
        <v>24116</v>
      </c>
      <c r="H133" s="378">
        <v>2637.25</v>
      </c>
      <c r="I133" s="378"/>
      <c r="J133" s="378">
        <v>-16815.63</v>
      </c>
      <c r="K133" s="378">
        <v>5220.5</v>
      </c>
      <c r="L133" s="378">
        <v>153568.5</v>
      </c>
      <c r="M133" s="323">
        <f t="shared" si="2"/>
        <v>1943963.6800000002</v>
      </c>
      <c r="N133" s="380">
        <v>30722.9</v>
      </c>
      <c r="O133" s="380">
        <v>58413.9</v>
      </c>
      <c r="P133" s="380">
        <v>105639.8</v>
      </c>
      <c r="Q133" s="380">
        <v>2408.12</v>
      </c>
      <c r="R133" s="380">
        <v>45174.25</v>
      </c>
      <c r="S133" s="368">
        <v>3030.13</v>
      </c>
      <c r="T133" s="430">
        <f t="shared" si="3"/>
        <v>2189352.7799999998</v>
      </c>
      <c r="U133" s="381">
        <v>68</v>
      </c>
      <c r="V133" s="384">
        <v>607</v>
      </c>
      <c r="W133" s="427">
        <v>-1341</v>
      </c>
      <c r="X133" s="433"/>
      <c r="Y133" s="433">
        <v>-273.10000000000002</v>
      </c>
      <c r="Z133" s="438">
        <v>1</v>
      </c>
    </row>
    <row r="134" spans="1:26" x14ac:dyDescent="0.25">
      <c r="A134" s="329">
        <v>5623</v>
      </c>
      <c r="B134" s="447" t="s">
        <v>144</v>
      </c>
      <c r="C134" s="378">
        <v>2731796.87</v>
      </c>
      <c r="D134" s="378">
        <v>1295527.8</v>
      </c>
      <c r="E134" s="378"/>
      <c r="F134" s="497"/>
      <c r="G134" s="378">
        <v>31386.45</v>
      </c>
      <c r="H134" s="378">
        <v>89561.1</v>
      </c>
      <c r="I134" s="378">
        <v>70477.600000000006</v>
      </c>
      <c r="J134" s="378">
        <v>78045.86</v>
      </c>
      <c r="K134" s="378">
        <v>956.5</v>
      </c>
      <c r="L134" s="378">
        <v>358974.1</v>
      </c>
      <c r="M134" s="323">
        <f t="shared" ref="M134:M197" si="4">SUM(C134:L134)</f>
        <v>4656726.28</v>
      </c>
      <c r="N134" s="380">
        <v>1734.05</v>
      </c>
      <c r="O134" s="380">
        <v>10586.6</v>
      </c>
      <c r="P134" s="380">
        <v>137176.4</v>
      </c>
      <c r="Q134" s="380">
        <v>3281.99</v>
      </c>
      <c r="R134" s="380">
        <v>76700.600000000006</v>
      </c>
      <c r="S134" s="368">
        <v>13698.78</v>
      </c>
      <c r="T134" s="430">
        <f t="shared" si="3"/>
        <v>4899904.7</v>
      </c>
      <c r="U134" s="381">
        <v>52</v>
      </c>
      <c r="V134" s="384">
        <v>669</v>
      </c>
      <c r="W134" s="427">
        <v>-5919.64</v>
      </c>
      <c r="X134" s="433"/>
      <c r="Y134" s="433">
        <v>-27725.95</v>
      </c>
      <c r="Z134" s="438">
        <v>1</v>
      </c>
    </row>
    <row r="135" spans="1:26" x14ac:dyDescent="0.25">
      <c r="A135" s="329">
        <v>5624</v>
      </c>
      <c r="B135" s="447" t="s">
        <v>423</v>
      </c>
      <c r="C135" s="378">
        <v>16190883.289999999</v>
      </c>
      <c r="D135" s="378">
        <v>1515877.4</v>
      </c>
      <c r="E135" s="378"/>
      <c r="F135" s="497"/>
      <c r="G135" s="378">
        <v>5592243.7999999998</v>
      </c>
      <c r="H135" s="378">
        <v>366119.2</v>
      </c>
      <c r="I135" s="378">
        <v>0</v>
      </c>
      <c r="J135" s="378">
        <v>829962.01</v>
      </c>
      <c r="K135" s="378">
        <v>374353.85</v>
      </c>
      <c r="L135" s="378">
        <v>2849480.15</v>
      </c>
      <c r="M135" s="323">
        <f t="shared" si="4"/>
        <v>27718919.699999999</v>
      </c>
      <c r="N135" s="380">
        <v>1445680.75</v>
      </c>
      <c r="O135" s="380">
        <v>24489.3</v>
      </c>
      <c r="P135" s="380">
        <v>2047366.75</v>
      </c>
      <c r="Q135" s="380">
        <v>40187.81</v>
      </c>
      <c r="R135" s="380">
        <v>1687978.45</v>
      </c>
      <c r="S135" s="368">
        <v>674856.85</v>
      </c>
      <c r="T135" s="430">
        <f t="shared" ref="T135:T198" si="5">SUM(M135:S135)</f>
        <v>33639479.609999999</v>
      </c>
      <c r="U135" s="381">
        <v>62.5</v>
      </c>
      <c r="V135" s="384">
        <v>10253</v>
      </c>
      <c r="W135" s="427">
        <v>-239467.34</v>
      </c>
      <c r="X135" s="433"/>
      <c r="Y135" s="433">
        <v>-875.77</v>
      </c>
      <c r="Z135" s="438">
        <v>1.25</v>
      </c>
    </row>
    <row r="136" spans="1:26" x14ac:dyDescent="0.25">
      <c r="A136" s="329">
        <v>5625</v>
      </c>
      <c r="B136" s="447" t="s">
        <v>293</v>
      </c>
      <c r="C136" s="378">
        <v>895391.1</v>
      </c>
      <c r="D136" s="378">
        <v>439861.2</v>
      </c>
      <c r="E136" s="378"/>
      <c r="F136" s="497"/>
      <c r="G136" s="378">
        <v>18869.900000000001</v>
      </c>
      <c r="H136" s="378">
        <v>-367.7</v>
      </c>
      <c r="I136" s="378">
        <v>46834.9</v>
      </c>
      <c r="J136" s="378">
        <v>8242.8799999999992</v>
      </c>
      <c r="K136" s="378">
        <v>6599</v>
      </c>
      <c r="L136" s="378">
        <v>122952.7</v>
      </c>
      <c r="M136" s="323">
        <f t="shared" si="4"/>
        <v>1538383.9799999997</v>
      </c>
      <c r="N136" s="380"/>
      <c r="O136" s="380"/>
      <c r="P136" s="380">
        <v>13690.85</v>
      </c>
      <c r="Q136" s="380">
        <v>402.12</v>
      </c>
      <c r="R136" s="380">
        <v>11553.2</v>
      </c>
      <c r="S136" s="368">
        <v>2095.6</v>
      </c>
      <c r="T136" s="430">
        <f t="shared" si="5"/>
        <v>1566125.75</v>
      </c>
      <c r="U136" s="381">
        <v>72</v>
      </c>
      <c r="V136" s="384">
        <v>412</v>
      </c>
      <c r="W136" s="427">
        <v>-450.54</v>
      </c>
      <c r="X136" s="433"/>
      <c r="Y136" s="433">
        <v>-127.35</v>
      </c>
      <c r="Z136" s="438">
        <v>1.2</v>
      </c>
    </row>
    <row r="137" spans="1:26" x14ac:dyDescent="0.25">
      <c r="A137" s="329">
        <v>5627</v>
      </c>
      <c r="B137" s="447" t="s">
        <v>247</v>
      </c>
      <c r="C137" s="378">
        <v>10612983.189999999</v>
      </c>
      <c r="D137" s="378">
        <v>880077.83</v>
      </c>
      <c r="E137" s="378"/>
      <c r="F137" s="497"/>
      <c r="G137" s="378">
        <v>1163957.8</v>
      </c>
      <c r="H137" s="378">
        <v>174066.55</v>
      </c>
      <c r="I137" s="378"/>
      <c r="J137" s="378">
        <v>842647.95</v>
      </c>
      <c r="K137" s="378">
        <v>355316.4</v>
      </c>
      <c r="L137" s="378">
        <v>1812877.8</v>
      </c>
      <c r="M137" s="323">
        <f t="shared" si="4"/>
        <v>15841927.520000001</v>
      </c>
      <c r="N137" s="380">
        <v>446341</v>
      </c>
      <c r="O137" s="380">
        <v>62654.1</v>
      </c>
      <c r="P137" s="380">
        <v>1034028.65</v>
      </c>
      <c r="Q137" s="380">
        <v>69857.63</v>
      </c>
      <c r="R137" s="380">
        <v>765142.4</v>
      </c>
      <c r="S137" s="368">
        <v>151547.48000000001</v>
      </c>
      <c r="T137" s="430">
        <f t="shared" si="5"/>
        <v>18371498.779999997</v>
      </c>
      <c r="U137" s="381">
        <v>77.5</v>
      </c>
      <c r="V137" s="384">
        <v>8767</v>
      </c>
      <c r="W137" s="427">
        <v>-417827.59</v>
      </c>
      <c r="X137" s="433"/>
      <c r="Y137" s="433">
        <v>-561.55999999999995</v>
      </c>
      <c r="Z137" s="438">
        <v>1.5</v>
      </c>
    </row>
    <row r="138" spans="1:26" x14ac:dyDescent="0.25">
      <c r="A138" s="329">
        <v>5628</v>
      </c>
      <c r="B138" s="447" t="s">
        <v>248</v>
      </c>
      <c r="C138" s="378">
        <v>1484669.19</v>
      </c>
      <c r="D138" s="378"/>
      <c r="E138" s="378"/>
      <c r="F138" s="497"/>
      <c r="G138" s="378">
        <v>3391.25</v>
      </c>
      <c r="H138" s="378">
        <v>1038.2</v>
      </c>
      <c r="I138" s="378"/>
      <c r="J138" s="378">
        <v>3631.2</v>
      </c>
      <c r="K138" s="378">
        <v>859.5</v>
      </c>
      <c r="L138" s="378">
        <v>106327.3</v>
      </c>
      <c r="M138" s="323">
        <f t="shared" si="4"/>
        <v>1599916.64</v>
      </c>
      <c r="N138" s="380">
        <v>2656.6</v>
      </c>
      <c r="O138" s="380"/>
      <c r="P138" s="380">
        <v>20350</v>
      </c>
      <c r="Q138" s="380"/>
      <c r="R138" s="380">
        <v>32439.95</v>
      </c>
      <c r="S138" s="368">
        <v>501.69</v>
      </c>
      <c r="T138" s="430">
        <f t="shared" si="5"/>
        <v>1655864.88</v>
      </c>
      <c r="U138" s="381">
        <v>62</v>
      </c>
      <c r="V138" s="384">
        <v>405</v>
      </c>
      <c r="W138" s="427">
        <v>-1325.01</v>
      </c>
      <c r="X138" s="433"/>
      <c r="Y138" s="433">
        <v>-57.45</v>
      </c>
      <c r="Z138" s="438">
        <v>1</v>
      </c>
    </row>
    <row r="139" spans="1:26" x14ac:dyDescent="0.25">
      <c r="A139" s="329">
        <v>5629</v>
      </c>
      <c r="B139" s="447" t="s">
        <v>147</v>
      </c>
      <c r="C139" s="378">
        <v>638459.94999999995</v>
      </c>
      <c r="D139" s="378">
        <v>55965.06</v>
      </c>
      <c r="E139" s="378"/>
      <c r="F139" s="497"/>
      <c r="G139" s="378">
        <v>2387.1999999999998</v>
      </c>
      <c r="H139" s="378">
        <v>249.1</v>
      </c>
      <c r="I139" s="378"/>
      <c r="J139" s="378">
        <v>1562.05</v>
      </c>
      <c r="K139" s="378">
        <v>334.05</v>
      </c>
      <c r="L139" s="378">
        <v>36930.25</v>
      </c>
      <c r="M139" s="323">
        <f t="shared" si="4"/>
        <v>735887.66</v>
      </c>
      <c r="N139" s="380"/>
      <c r="O139" s="380"/>
      <c r="P139" s="380">
        <v>12450.85</v>
      </c>
      <c r="Q139" s="380">
        <v>120.52</v>
      </c>
      <c r="R139" s="380">
        <v>14621.2</v>
      </c>
      <c r="S139" s="368">
        <v>298.58999999999997</v>
      </c>
      <c r="T139" s="430">
        <f t="shared" si="5"/>
        <v>763378.82</v>
      </c>
      <c r="U139" s="381">
        <v>73.5</v>
      </c>
      <c r="V139" s="384">
        <v>211</v>
      </c>
      <c r="W139" s="427">
        <v>-5124.25</v>
      </c>
      <c r="X139" s="433"/>
      <c r="Y139" s="433">
        <v>0</v>
      </c>
      <c r="Z139" s="438">
        <v>1</v>
      </c>
    </row>
    <row r="140" spans="1:26" x14ac:dyDescent="0.25">
      <c r="A140" s="329">
        <v>5631</v>
      </c>
      <c r="B140" s="447" t="s">
        <v>148</v>
      </c>
      <c r="C140" s="378">
        <v>2037104.95</v>
      </c>
      <c r="D140" s="378">
        <v>456220.73</v>
      </c>
      <c r="E140" s="378"/>
      <c r="F140" s="497"/>
      <c r="G140" s="378">
        <v>4302</v>
      </c>
      <c r="H140" s="378">
        <v>3275.45</v>
      </c>
      <c r="I140" s="378">
        <v>187945.55</v>
      </c>
      <c r="J140" s="378">
        <v>48989.72</v>
      </c>
      <c r="K140" s="378">
        <v>2815.65</v>
      </c>
      <c r="L140" s="378">
        <v>212575.75</v>
      </c>
      <c r="M140" s="323">
        <f t="shared" si="4"/>
        <v>2953229.8</v>
      </c>
      <c r="N140" s="380">
        <v>1887.85</v>
      </c>
      <c r="O140" s="380">
        <v>131406</v>
      </c>
      <c r="P140" s="380">
        <v>260616.4</v>
      </c>
      <c r="Q140" s="380">
        <v>994.86</v>
      </c>
      <c r="R140" s="380">
        <v>147694.75</v>
      </c>
      <c r="S140" s="368">
        <v>858.24</v>
      </c>
      <c r="T140" s="430">
        <f t="shared" si="5"/>
        <v>3496687.9</v>
      </c>
      <c r="U140" s="381">
        <v>68</v>
      </c>
      <c r="V140" s="384">
        <v>733</v>
      </c>
      <c r="W140" s="427">
        <v>-8475.25</v>
      </c>
      <c r="X140" s="433"/>
      <c r="Y140" s="433">
        <v>-2872.06</v>
      </c>
      <c r="Z140" s="438">
        <v>1</v>
      </c>
    </row>
    <row r="141" spans="1:26" x14ac:dyDescent="0.25">
      <c r="A141" s="329">
        <v>5632</v>
      </c>
      <c r="B141" s="447" t="s">
        <v>149</v>
      </c>
      <c r="C141" s="378">
        <v>3463767.35</v>
      </c>
      <c r="D141" s="378">
        <v>607867.53</v>
      </c>
      <c r="E141" s="378"/>
      <c r="F141" s="497"/>
      <c r="G141" s="378">
        <v>296978.8</v>
      </c>
      <c r="H141" s="378">
        <v>5267.85</v>
      </c>
      <c r="I141" s="378"/>
      <c r="J141" s="378">
        <v>210065.67</v>
      </c>
      <c r="K141" s="378">
        <v>51013.1</v>
      </c>
      <c r="L141" s="378">
        <v>370904.4</v>
      </c>
      <c r="M141" s="323">
        <f t="shared" si="4"/>
        <v>5005864.6999999993</v>
      </c>
      <c r="N141" s="380">
        <v>105185.35</v>
      </c>
      <c r="O141" s="380">
        <v>127197.5</v>
      </c>
      <c r="P141" s="380">
        <v>170829.35</v>
      </c>
      <c r="Q141" s="380">
        <v>3743.49</v>
      </c>
      <c r="R141" s="380">
        <v>115364.9</v>
      </c>
      <c r="S141" s="368">
        <v>33859.160000000003</v>
      </c>
      <c r="T141" s="430">
        <f t="shared" si="5"/>
        <v>5562044.4499999993</v>
      </c>
      <c r="U141" s="381">
        <v>62</v>
      </c>
      <c r="V141" s="384">
        <v>1744</v>
      </c>
      <c r="W141" s="427">
        <v>-49186.16</v>
      </c>
      <c r="X141" s="433"/>
      <c r="Y141" s="433">
        <v>-1965.9</v>
      </c>
      <c r="Z141" s="438">
        <v>1</v>
      </c>
    </row>
    <row r="142" spans="1:26" x14ac:dyDescent="0.25">
      <c r="A142" s="329">
        <v>5633</v>
      </c>
      <c r="B142" s="447" t="s">
        <v>150</v>
      </c>
      <c r="C142" s="378">
        <v>6877658.8399999999</v>
      </c>
      <c r="D142" s="378">
        <v>2121180.62</v>
      </c>
      <c r="E142" s="378"/>
      <c r="F142" s="497"/>
      <c r="G142" s="378">
        <v>379135.8</v>
      </c>
      <c r="H142" s="378">
        <v>72540.95</v>
      </c>
      <c r="I142" s="378"/>
      <c r="J142" s="378">
        <v>111804.69</v>
      </c>
      <c r="K142" s="378">
        <v>35892.25</v>
      </c>
      <c r="L142" s="378">
        <v>671730.3</v>
      </c>
      <c r="M142" s="323">
        <f t="shared" si="4"/>
        <v>10269943.450000001</v>
      </c>
      <c r="N142" s="380">
        <v>127028.65</v>
      </c>
      <c r="O142" s="380">
        <v>41597.1</v>
      </c>
      <c r="P142" s="380">
        <v>340604.65</v>
      </c>
      <c r="Q142" s="380">
        <v>50546.16</v>
      </c>
      <c r="R142" s="380">
        <v>191341.2</v>
      </c>
      <c r="S142" s="368">
        <v>51157.87</v>
      </c>
      <c r="T142" s="430">
        <f t="shared" si="5"/>
        <v>11072219.08</v>
      </c>
      <c r="U142" s="381">
        <v>60.5</v>
      </c>
      <c r="V142" s="384">
        <v>2775</v>
      </c>
      <c r="W142" s="427">
        <v>-152465.9</v>
      </c>
      <c r="X142" s="433"/>
      <c r="Y142" s="433">
        <v>-4028.35</v>
      </c>
      <c r="Z142" s="438">
        <v>1</v>
      </c>
    </row>
    <row r="143" spans="1:26" x14ac:dyDescent="0.25">
      <c r="A143" s="329">
        <v>5634</v>
      </c>
      <c r="B143" s="447" t="s">
        <v>151</v>
      </c>
      <c r="C143" s="378">
        <v>7528458.5700000003</v>
      </c>
      <c r="D143" s="378">
        <v>1462902.08</v>
      </c>
      <c r="E143" s="378"/>
      <c r="F143" s="497"/>
      <c r="G143" s="378">
        <v>143052.6</v>
      </c>
      <c r="H143" s="378">
        <v>11341.7</v>
      </c>
      <c r="I143" s="378">
        <v>67961.05</v>
      </c>
      <c r="J143" s="378">
        <v>96837.51</v>
      </c>
      <c r="K143" s="378">
        <v>28641.9</v>
      </c>
      <c r="L143" s="378">
        <v>731624</v>
      </c>
      <c r="M143" s="323">
        <f t="shared" si="4"/>
        <v>10070819.41</v>
      </c>
      <c r="N143" s="380">
        <v>49103.199999999997</v>
      </c>
      <c r="O143" s="380">
        <v>194459</v>
      </c>
      <c r="P143" s="380">
        <v>576328.75</v>
      </c>
      <c r="Q143" s="380">
        <v>7269.84</v>
      </c>
      <c r="R143" s="380">
        <v>282681</v>
      </c>
      <c r="S143" s="368">
        <v>17487.03</v>
      </c>
      <c r="T143" s="430">
        <f t="shared" si="5"/>
        <v>11198148.229999999</v>
      </c>
      <c r="U143" s="381">
        <v>66</v>
      </c>
      <c r="V143" s="384">
        <v>3142</v>
      </c>
      <c r="W143" s="427">
        <v>-17917.09</v>
      </c>
      <c r="X143" s="433"/>
      <c r="Y143" s="433">
        <v>-8112.3</v>
      </c>
      <c r="Z143" s="438">
        <v>1</v>
      </c>
    </row>
    <row r="144" spans="1:26" x14ac:dyDescent="0.25">
      <c r="A144" s="329">
        <v>5635</v>
      </c>
      <c r="B144" s="447" t="s">
        <v>152</v>
      </c>
      <c r="C144" s="378">
        <v>17896434.280000001</v>
      </c>
      <c r="D144" s="378">
        <v>2526407.54</v>
      </c>
      <c r="E144" s="378"/>
      <c r="F144" s="497"/>
      <c r="G144" s="378">
        <v>26130287.600000001</v>
      </c>
      <c r="H144" s="378">
        <v>958844.25</v>
      </c>
      <c r="I144" s="378"/>
      <c r="J144" s="378">
        <v>1224895.53</v>
      </c>
      <c r="K144" s="378">
        <v>330560.59999999998</v>
      </c>
      <c r="L144" s="378">
        <v>3260267.95</v>
      </c>
      <c r="M144" s="323">
        <f t="shared" si="4"/>
        <v>52327697.750000007</v>
      </c>
      <c r="N144" s="380">
        <v>1875328.15</v>
      </c>
      <c r="O144" s="380">
        <v>629100.5</v>
      </c>
      <c r="P144" s="380">
        <v>1817345.3</v>
      </c>
      <c r="Q144" s="380">
        <v>89322.18</v>
      </c>
      <c r="R144" s="380">
        <v>657972.1</v>
      </c>
      <c r="S144" s="368">
        <v>3068172.63</v>
      </c>
      <c r="T144" s="430">
        <f t="shared" si="5"/>
        <v>60464938.610000007</v>
      </c>
      <c r="U144" s="381">
        <v>62.5</v>
      </c>
      <c r="V144" s="384">
        <v>13214</v>
      </c>
      <c r="W144" s="427">
        <v>-398566.14</v>
      </c>
      <c r="X144" s="433"/>
      <c r="Y144" s="433">
        <v>-20305.93</v>
      </c>
      <c r="Z144" s="438">
        <v>1.2</v>
      </c>
    </row>
    <row r="145" spans="1:30" x14ac:dyDescent="0.25">
      <c r="A145" s="329">
        <v>5636</v>
      </c>
      <c r="B145" s="447" t="s">
        <v>153</v>
      </c>
      <c r="C145" s="378">
        <v>5762810.8200000003</v>
      </c>
      <c r="D145" s="378">
        <v>1237426.54</v>
      </c>
      <c r="E145" s="378"/>
      <c r="F145" s="497"/>
      <c r="G145" s="378">
        <v>1782065.45</v>
      </c>
      <c r="H145" s="378">
        <v>357017</v>
      </c>
      <c r="I145" s="378">
        <v>1173.25</v>
      </c>
      <c r="J145" s="378">
        <v>473653.92</v>
      </c>
      <c r="K145" s="378">
        <v>259740.79999999999</v>
      </c>
      <c r="L145" s="378">
        <v>1187161</v>
      </c>
      <c r="M145" s="323">
        <f t="shared" si="4"/>
        <v>11061048.780000001</v>
      </c>
      <c r="N145" s="380">
        <v>570633.05000000005</v>
      </c>
      <c r="O145" s="380">
        <v>372820.6</v>
      </c>
      <c r="P145" s="380">
        <v>1116343.6499999999</v>
      </c>
      <c r="Q145" s="380">
        <v>6392.63</v>
      </c>
      <c r="R145" s="380">
        <v>388089.35</v>
      </c>
      <c r="S145" s="368">
        <v>242277.02</v>
      </c>
      <c r="T145" s="430">
        <f t="shared" si="5"/>
        <v>13757605.080000002</v>
      </c>
      <c r="U145" s="381">
        <v>60</v>
      </c>
      <c r="V145" s="384">
        <v>2918</v>
      </c>
      <c r="W145" s="427">
        <v>-82175.960000000006</v>
      </c>
      <c r="X145" s="433"/>
      <c r="Y145" s="433">
        <v>-3730.07</v>
      </c>
      <c r="Z145" s="438">
        <v>1</v>
      </c>
    </row>
    <row r="146" spans="1:30" x14ac:dyDescent="0.25">
      <c r="A146" s="329">
        <v>5637</v>
      </c>
      <c r="B146" s="447" t="s">
        <v>154</v>
      </c>
      <c r="C146" s="378">
        <v>2289600.81</v>
      </c>
      <c r="D146" s="378">
        <v>248714.3</v>
      </c>
      <c r="E146" s="378"/>
      <c r="F146" s="497"/>
      <c r="G146" s="378">
        <v>32038.15</v>
      </c>
      <c r="H146" s="378">
        <v>1936.55</v>
      </c>
      <c r="I146" s="378"/>
      <c r="J146" s="378">
        <v>2127.4499999999998</v>
      </c>
      <c r="K146" s="378">
        <v>8991.35</v>
      </c>
      <c r="L146" s="378">
        <v>293854.5</v>
      </c>
      <c r="M146" s="323">
        <f t="shared" si="4"/>
        <v>2877263.11</v>
      </c>
      <c r="N146" s="380">
        <v>231727.1</v>
      </c>
      <c r="O146" s="380"/>
      <c r="P146" s="380">
        <v>194767.4</v>
      </c>
      <c r="Q146" s="380"/>
      <c r="R146" s="380">
        <v>153664.9</v>
      </c>
      <c r="S146" s="368">
        <v>3848.05</v>
      </c>
      <c r="T146" s="430">
        <f t="shared" si="5"/>
        <v>3461270.5599999996</v>
      </c>
      <c r="U146" s="381">
        <v>73</v>
      </c>
      <c r="V146" s="384">
        <v>1026</v>
      </c>
      <c r="W146" s="427">
        <v>-14815.91</v>
      </c>
      <c r="X146" s="433"/>
      <c r="Y146" s="433">
        <v>-1570.94</v>
      </c>
      <c r="Z146" s="438">
        <v>1.5</v>
      </c>
    </row>
    <row r="147" spans="1:30" x14ac:dyDescent="0.25">
      <c r="A147" s="329">
        <v>5638</v>
      </c>
      <c r="B147" s="447" t="s">
        <v>155</v>
      </c>
      <c r="C147" s="378">
        <v>6064624.2599999998</v>
      </c>
      <c r="D147" s="378">
        <v>1514883.64</v>
      </c>
      <c r="E147" s="378"/>
      <c r="F147" s="497"/>
      <c r="G147" s="378">
        <v>660532.25</v>
      </c>
      <c r="H147" s="378">
        <v>80811.600000000006</v>
      </c>
      <c r="I147" s="378">
        <v>248392.75</v>
      </c>
      <c r="J147" s="378">
        <v>173538.12</v>
      </c>
      <c r="K147" s="378">
        <v>66248.100000000006</v>
      </c>
      <c r="L147" s="378">
        <v>674733</v>
      </c>
      <c r="M147" s="323">
        <f t="shared" si="4"/>
        <v>9483763.7199999988</v>
      </c>
      <c r="N147" s="380">
        <v>319329.59999999998</v>
      </c>
      <c r="O147" s="380">
        <v>7497652.7999999998</v>
      </c>
      <c r="P147" s="380">
        <v>464147</v>
      </c>
      <c r="Q147" s="380">
        <v>46639.73</v>
      </c>
      <c r="R147" s="380">
        <v>296329.65000000002</v>
      </c>
      <c r="S147" s="368">
        <v>83966.18</v>
      </c>
      <c r="T147" s="430">
        <f t="shared" si="5"/>
        <v>18191828.679999996</v>
      </c>
      <c r="U147" s="381">
        <v>55</v>
      </c>
      <c r="V147" s="384">
        <v>2751</v>
      </c>
      <c r="W147" s="427">
        <v>-26311.53</v>
      </c>
      <c r="X147" s="433"/>
      <c r="Y147" s="433">
        <v>-9128.07</v>
      </c>
      <c r="Z147" s="438">
        <v>1</v>
      </c>
    </row>
    <row r="148" spans="1:30" x14ac:dyDescent="0.25">
      <c r="A148" s="329">
        <v>5639</v>
      </c>
      <c r="B148" s="447" t="s">
        <v>156</v>
      </c>
      <c r="C148" s="378">
        <v>2355928.21</v>
      </c>
      <c r="D148" s="378">
        <v>611177</v>
      </c>
      <c r="E148" s="378"/>
      <c r="F148" s="497"/>
      <c r="G148" s="378">
        <v>78897.149999999994</v>
      </c>
      <c r="H148" s="378">
        <v>8852.5499999999993</v>
      </c>
      <c r="I148" s="378"/>
      <c r="J148" s="378">
        <v>8717.4699999999993</v>
      </c>
      <c r="K148" s="378">
        <v>-2986.65</v>
      </c>
      <c r="L148" s="378">
        <v>262499.40000000002</v>
      </c>
      <c r="M148" s="323">
        <f t="shared" si="4"/>
        <v>3323085.13</v>
      </c>
      <c r="N148" s="380">
        <v>20293.95</v>
      </c>
      <c r="O148" s="380">
        <v>3958.3</v>
      </c>
      <c r="P148" s="380">
        <v>115570.05</v>
      </c>
      <c r="Q148" s="380">
        <v>100</v>
      </c>
      <c r="R148" s="380">
        <v>61535.75</v>
      </c>
      <c r="S148" s="368">
        <v>9938.7199999999993</v>
      </c>
      <c r="T148" s="430">
        <f t="shared" si="5"/>
        <v>3534481.9</v>
      </c>
      <c r="U148" s="381">
        <v>61</v>
      </c>
      <c r="V148" s="384">
        <v>828</v>
      </c>
      <c r="W148" s="427">
        <v>-3113.34</v>
      </c>
      <c r="X148" s="433"/>
      <c r="Y148" s="433">
        <v>-1123.2</v>
      </c>
      <c r="Z148" s="438">
        <v>1.25</v>
      </c>
    </row>
    <row r="149" spans="1:30" x14ac:dyDescent="0.25">
      <c r="A149" s="329">
        <v>5640</v>
      </c>
      <c r="B149" s="447" t="s">
        <v>157</v>
      </c>
      <c r="C149" s="378">
        <v>3165169.86</v>
      </c>
      <c r="D149" s="378">
        <v>1031777.18</v>
      </c>
      <c r="E149" s="378"/>
      <c r="F149" s="497"/>
      <c r="G149" s="378">
        <v>41257.75</v>
      </c>
      <c r="H149" s="378">
        <v>10122.700000000001</v>
      </c>
      <c r="I149" s="378">
        <v>91375.2</v>
      </c>
      <c r="J149" s="378">
        <v>3882.25</v>
      </c>
      <c r="K149" s="378">
        <v>10428.75</v>
      </c>
      <c r="L149" s="378">
        <v>215657.65</v>
      </c>
      <c r="M149" s="323">
        <f t="shared" si="4"/>
        <v>4569671.3400000008</v>
      </c>
      <c r="N149" s="380">
        <v>20984.3</v>
      </c>
      <c r="O149" s="380">
        <v>309842.59999999998</v>
      </c>
      <c r="P149" s="380">
        <v>263911.8</v>
      </c>
      <c r="Q149" s="380">
        <v>2635.17</v>
      </c>
      <c r="R149" s="380">
        <v>163436</v>
      </c>
      <c r="S149" s="368">
        <v>5819.46</v>
      </c>
      <c r="T149" s="430">
        <f t="shared" si="5"/>
        <v>5336300.67</v>
      </c>
      <c r="U149" s="381">
        <v>64.5</v>
      </c>
      <c r="V149" s="384">
        <v>740</v>
      </c>
      <c r="W149" s="427">
        <v>-4482.5200000000004</v>
      </c>
      <c r="X149" s="433"/>
      <c r="Y149" s="433">
        <v>-24599.439999999999</v>
      </c>
      <c r="Z149" s="438">
        <v>1</v>
      </c>
    </row>
    <row r="150" spans="1:30" x14ac:dyDescent="0.25">
      <c r="A150" s="329">
        <v>5642</v>
      </c>
      <c r="B150" s="447" t="s">
        <v>158</v>
      </c>
      <c r="C150" s="378">
        <v>36138678.350000001</v>
      </c>
      <c r="D150" s="378">
        <v>5889287.7199999997</v>
      </c>
      <c r="E150" s="378"/>
      <c r="F150" s="497"/>
      <c r="G150" s="378">
        <v>18857158.550000001</v>
      </c>
      <c r="H150" s="378">
        <v>524718.6</v>
      </c>
      <c r="I150" s="378">
        <v>-886329.76</v>
      </c>
      <c r="J150" s="378">
        <v>2165278.56</v>
      </c>
      <c r="K150" s="378">
        <v>524306.9</v>
      </c>
      <c r="L150" s="378">
        <v>3380590.7</v>
      </c>
      <c r="M150" s="323">
        <f t="shared" si="4"/>
        <v>66593689.620000012</v>
      </c>
      <c r="N150" s="380">
        <v>1327116.8999999999</v>
      </c>
      <c r="O150" s="380">
        <v>2837589.9</v>
      </c>
      <c r="P150" s="380">
        <v>1295627.5</v>
      </c>
      <c r="Q150" s="380">
        <v>51028.26</v>
      </c>
      <c r="R150" s="380">
        <v>1325952.5</v>
      </c>
      <c r="S150" s="368">
        <v>970411.44</v>
      </c>
      <c r="T150" s="430">
        <f t="shared" si="5"/>
        <v>74401416.12000002</v>
      </c>
      <c r="U150" s="381">
        <v>67</v>
      </c>
      <c r="V150" s="384">
        <v>16885</v>
      </c>
      <c r="W150" s="427">
        <v>-539005.03</v>
      </c>
      <c r="X150" s="433"/>
      <c r="Y150" s="433">
        <v>-94427.27</v>
      </c>
      <c r="Z150" s="438">
        <v>1</v>
      </c>
    </row>
    <row r="151" spans="1:30" x14ac:dyDescent="0.25">
      <c r="A151" s="329">
        <v>5643</v>
      </c>
      <c r="B151" s="447" t="s">
        <v>159</v>
      </c>
      <c r="C151" s="378">
        <v>11401422.15</v>
      </c>
      <c r="D151" s="378">
        <v>2328590.2999999998</v>
      </c>
      <c r="E151" s="378"/>
      <c r="F151" s="497"/>
      <c r="G151" s="378">
        <v>468385.8</v>
      </c>
      <c r="H151" s="378">
        <v>121536</v>
      </c>
      <c r="I151" s="378">
        <v>365406.59</v>
      </c>
      <c r="J151" s="378">
        <v>196489.56</v>
      </c>
      <c r="K151" s="378">
        <v>130915.1</v>
      </c>
      <c r="L151" s="378">
        <v>1138350.72</v>
      </c>
      <c r="M151" s="323">
        <f t="shared" si="4"/>
        <v>16151096.220000001</v>
      </c>
      <c r="N151" s="380">
        <v>200612.9</v>
      </c>
      <c r="O151" s="380">
        <v>-50459</v>
      </c>
      <c r="P151" s="380">
        <v>454440.25</v>
      </c>
      <c r="Q151" s="380">
        <v>70180.77</v>
      </c>
      <c r="R151" s="380">
        <v>477859.3</v>
      </c>
      <c r="S151" s="368">
        <v>66815.8</v>
      </c>
      <c r="T151" s="430">
        <f t="shared" si="5"/>
        <v>17370546.240000002</v>
      </c>
      <c r="U151" s="381">
        <v>62.5</v>
      </c>
      <c r="V151" s="384">
        <v>5208</v>
      </c>
      <c r="W151" s="427">
        <v>-160578.53</v>
      </c>
      <c r="X151" s="433"/>
      <c r="Y151" s="433">
        <v>-17962.939999999999</v>
      </c>
      <c r="Z151" s="438">
        <v>1</v>
      </c>
    </row>
    <row r="152" spans="1:30" x14ac:dyDescent="0.25">
      <c r="A152" s="329">
        <v>5644</v>
      </c>
      <c r="B152" s="447" t="s">
        <v>304</v>
      </c>
      <c r="C152" s="378">
        <v>976280.85</v>
      </c>
      <c r="D152" s="378">
        <v>148601.03</v>
      </c>
      <c r="E152" s="378"/>
      <c r="F152" s="497"/>
      <c r="G152" s="378">
        <v>-980.8</v>
      </c>
      <c r="H152" s="378">
        <v>58.05</v>
      </c>
      <c r="I152" s="378"/>
      <c r="J152" s="378">
        <v>424.05</v>
      </c>
      <c r="K152" s="378"/>
      <c r="L152" s="378">
        <v>85750.65</v>
      </c>
      <c r="M152" s="323">
        <f t="shared" si="4"/>
        <v>1210133.8299999998</v>
      </c>
      <c r="N152" s="380">
        <v>2764.4</v>
      </c>
      <c r="O152" s="380">
        <v>770</v>
      </c>
      <c r="P152" s="380">
        <v>32890</v>
      </c>
      <c r="Q152" s="380">
        <v>7850.9</v>
      </c>
      <c r="R152" s="380">
        <v>7896.35</v>
      </c>
      <c r="S152" s="368">
        <v>-104.51</v>
      </c>
      <c r="T152" s="430">
        <f t="shared" si="5"/>
        <v>1262200.9699999997</v>
      </c>
      <c r="U152" s="381">
        <v>74</v>
      </c>
      <c r="V152" s="384">
        <v>403</v>
      </c>
      <c r="W152" s="427">
        <v>-6773.74</v>
      </c>
      <c r="X152" s="433"/>
      <c r="Y152" s="433">
        <v>-210.59</v>
      </c>
      <c r="Z152" s="438">
        <v>1</v>
      </c>
    </row>
    <row r="153" spans="1:30" x14ac:dyDescent="0.25">
      <c r="A153" s="329">
        <v>5645</v>
      </c>
      <c r="B153" s="447" t="s">
        <v>305</v>
      </c>
      <c r="C153" s="378">
        <v>913007.86</v>
      </c>
      <c r="D153" s="378">
        <v>173002.2</v>
      </c>
      <c r="E153" s="378"/>
      <c r="F153" s="497"/>
      <c r="G153" s="378">
        <v>85805.6</v>
      </c>
      <c r="H153" s="378">
        <v>68095.05</v>
      </c>
      <c r="I153" s="378"/>
      <c r="J153" s="378">
        <v>55470.86</v>
      </c>
      <c r="K153" s="378">
        <v>21581.5</v>
      </c>
      <c r="L153" s="378">
        <v>162543.5</v>
      </c>
      <c r="M153" s="323">
        <f t="shared" si="4"/>
        <v>1479506.5700000003</v>
      </c>
      <c r="N153" s="380">
        <v>66780.649999999994</v>
      </c>
      <c r="O153" s="380">
        <v>96188.7</v>
      </c>
      <c r="P153" s="380">
        <v>35423</v>
      </c>
      <c r="Q153" s="380">
        <v>1707.71</v>
      </c>
      <c r="R153" s="380">
        <v>55080.4</v>
      </c>
      <c r="S153" s="368">
        <v>17431.11</v>
      </c>
      <c r="T153" s="430">
        <f t="shared" si="5"/>
        <v>1752118.1400000001</v>
      </c>
      <c r="U153" s="381">
        <v>56</v>
      </c>
      <c r="V153" s="384">
        <v>466</v>
      </c>
      <c r="W153" s="427">
        <v>-9250.36</v>
      </c>
      <c r="X153" s="433"/>
      <c r="Y153" s="433">
        <v>-577.80999999999995</v>
      </c>
      <c r="Z153" s="438">
        <v>1</v>
      </c>
    </row>
    <row r="154" spans="1:30" x14ac:dyDescent="0.25">
      <c r="A154" s="329">
        <v>5646</v>
      </c>
      <c r="B154" s="447" t="s">
        <v>306</v>
      </c>
      <c r="C154" s="378">
        <v>13071868.77</v>
      </c>
      <c r="D154" s="378">
        <v>3302996.34</v>
      </c>
      <c r="E154" s="378"/>
      <c r="F154" s="497"/>
      <c r="G154" s="378">
        <v>3311152.75</v>
      </c>
      <c r="H154" s="378">
        <v>7354170.9000000004</v>
      </c>
      <c r="I154" s="378">
        <v>554981.4</v>
      </c>
      <c r="J154" s="378">
        <v>621836.80000000005</v>
      </c>
      <c r="K154" s="378">
        <v>156366.6</v>
      </c>
      <c r="L154" s="378">
        <v>2022915</v>
      </c>
      <c r="M154" s="323">
        <f t="shared" si="4"/>
        <v>30396288.559999999</v>
      </c>
      <c r="N154" s="380">
        <v>663063.1</v>
      </c>
      <c r="O154" s="380">
        <v>329676.09999999998</v>
      </c>
      <c r="P154" s="380">
        <v>1568269.65</v>
      </c>
      <c r="Q154" s="380">
        <v>10829.31</v>
      </c>
      <c r="R154" s="380">
        <v>1542299.7</v>
      </c>
      <c r="S154" s="368">
        <v>1207977.22</v>
      </c>
      <c r="T154" s="430">
        <f t="shared" si="5"/>
        <v>35718403.640000001</v>
      </c>
      <c r="U154" s="381">
        <v>59</v>
      </c>
      <c r="V154" s="384">
        <v>5866</v>
      </c>
      <c r="W154" s="427">
        <v>-104718.29</v>
      </c>
      <c r="X154" s="433"/>
      <c r="Y154" s="433">
        <v>-22242.06</v>
      </c>
      <c r="Z154" s="438">
        <v>1.2</v>
      </c>
    </row>
    <row r="155" spans="1:30" x14ac:dyDescent="0.25">
      <c r="A155" s="329">
        <v>5648</v>
      </c>
      <c r="B155" s="447" t="s">
        <v>307</v>
      </c>
      <c r="C155" s="378">
        <v>13898691.439999999</v>
      </c>
      <c r="D155" s="378">
        <v>3891889.21</v>
      </c>
      <c r="E155" s="378"/>
      <c r="F155" s="497"/>
      <c r="G155" s="378">
        <v>802518.1</v>
      </c>
      <c r="H155" s="378">
        <v>304086.95</v>
      </c>
      <c r="I155" s="378">
        <v>375047.25</v>
      </c>
      <c r="J155" s="378">
        <v>433976.27</v>
      </c>
      <c r="K155" s="378">
        <v>186166.35</v>
      </c>
      <c r="L155" s="378">
        <v>1404512.91</v>
      </c>
      <c r="M155" s="323">
        <f t="shared" si="4"/>
        <v>21296888.48</v>
      </c>
      <c r="N155" s="380">
        <v>75692.7</v>
      </c>
      <c r="O155" s="380">
        <v>1216225.3999999999</v>
      </c>
      <c r="P155" s="380">
        <v>978139.95</v>
      </c>
      <c r="Q155" s="380">
        <v>48693.31</v>
      </c>
      <c r="R155" s="380">
        <v>766442.95</v>
      </c>
      <c r="S155" s="368">
        <v>125336.44</v>
      </c>
      <c r="T155" s="430">
        <f t="shared" si="5"/>
        <v>24507419.229999997</v>
      </c>
      <c r="U155" s="381">
        <v>55</v>
      </c>
      <c r="V155" s="384">
        <v>4932</v>
      </c>
      <c r="W155" s="427">
        <v>-86714.29</v>
      </c>
      <c r="X155" s="433"/>
      <c r="Y155" s="433">
        <v>-41864.28</v>
      </c>
      <c r="Z155" s="438">
        <v>0.8</v>
      </c>
    </row>
    <row r="156" spans="1:30" x14ac:dyDescent="0.25">
      <c r="A156" s="329">
        <v>5649</v>
      </c>
      <c r="B156" s="447" t="s">
        <v>308</v>
      </c>
      <c r="C156" s="378">
        <v>3838129.67</v>
      </c>
      <c r="D156" s="378">
        <v>564281.01</v>
      </c>
      <c r="E156" s="378"/>
      <c r="F156" s="497"/>
      <c r="G156" s="378">
        <v>3094437.8</v>
      </c>
      <c r="H156" s="378">
        <v>937626.75</v>
      </c>
      <c r="I156" s="378">
        <v>63551.6</v>
      </c>
      <c r="J156" s="378">
        <v>531421.27</v>
      </c>
      <c r="K156" s="378">
        <v>63393.1</v>
      </c>
      <c r="L156" s="378">
        <v>562068.44999999995</v>
      </c>
      <c r="M156" s="323">
        <f t="shared" si="4"/>
        <v>9654909.6499999985</v>
      </c>
      <c r="N156" s="380">
        <v>287080.5</v>
      </c>
      <c r="O156" s="380">
        <v>76927.199999999997</v>
      </c>
      <c r="P156" s="380">
        <v>239799.65</v>
      </c>
      <c r="Q156" s="380">
        <v>2541.71</v>
      </c>
      <c r="R156" s="380">
        <v>201356.5</v>
      </c>
      <c r="S156" s="368">
        <v>456680.2</v>
      </c>
      <c r="T156" s="430">
        <f t="shared" si="5"/>
        <v>10919295.409999998</v>
      </c>
      <c r="U156" s="381">
        <v>64</v>
      </c>
      <c r="V156" s="384">
        <v>1886</v>
      </c>
      <c r="W156" s="427">
        <v>-141662.75</v>
      </c>
      <c r="X156" s="433"/>
      <c r="Y156" s="433">
        <v>-2649.82</v>
      </c>
      <c r="Z156" s="438">
        <v>1</v>
      </c>
    </row>
    <row r="157" spans="1:30" s="325" customFormat="1" x14ac:dyDescent="0.25">
      <c r="A157" s="330">
        <v>5650</v>
      </c>
      <c r="B157" s="447" t="s">
        <v>309</v>
      </c>
      <c r="C157" s="378">
        <v>2044917.51</v>
      </c>
      <c r="D157" s="378">
        <v>2553070.6</v>
      </c>
      <c r="E157" s="378"/>
      <c r="F157" s="497"/>
      <c r="G157" s="378">
        <v>8239.1</v>
      </c>
      <c r="H157" s="378">
        <v>22.85</v>
      </c>
      <c r="I157" s="378"/>
      <c r="J157" s="378">
        <v>7063.68</v>
      </c>
      <c r="K157" s="378"/>
      <c r="L157" s="378">
        <v>57315</v>
      </c>
      <c r="M157" s="323">
        <f t="shared" si="4"/>
        <v>4670628.7399999993</v>
      </c>
      <c r="N157" s="380">
        <v>137.19999999999999</v>
      </c>
      <c r="O157" s="380">
        <v>1217687.3999999999</v>
      </c>
      <c r="P157" s="380">
        <v>18150</v>
      </c>
      <c r="Q157" s="380"/>
      <c r="R157" s="380">
        <v>27945</v>
      </c>
      <c r="S157" s="368">
        <v>935.77</v>
      </c>
      <c r="T157" s="430">
        <f t="shared" si="5"/>
        <v>5935484.1099999994</v>
      </c>
      <c r="U157" s="381">
        <v>56</v>
      </c>
      <c r="V157" s="384">
        <v>196</v>
      </c>
      <c r="W157" s="427">
        <v>-1.19</v>
      </c>
      <c r="X157" s="433"/>
      <c r="Y157" s="433">
        <v>-5060.2</v>
      </c>
      <c r="Z157" s="438">
        <v>1.25</v>
      </c>
      <c r="AA157" s="427"/>
      <c r="AB157" s="427"/>
      <c r="AC157" s="427"/>
      <c r="AD157" s="427"/>
    </row>
    <row r="158" spans="1:30" x14ac:dyDescent="0.25">
      <c r="A158" s="329">
        <v>5651</v>
      </c>
      <c r="B158" s="447" t="s">
        <v>310</v>
      </c>
      <c r="C158" s="378">
        <v>2306560.65</v>
      </c>
      <c r="D158" s="378">
        <v>278010.39</v>
      </c>
      <c r="E158" s="378"/>
      <c r="F158" s="497"/>
      <c r="G158" s="378">
        <v>418688.1</v>
      </c>
      <c r="H158" s="378">
        <v>22217.4</v>
      </c>
      <c r="I158" s="378"/>
      <c r="J158" s="378">
        <v>13586.85</v>
      </c>
      <c r="K158" s="378">
        <v>39207.9</v>
      </c>
      <c r="L158" s="378">
        <v>371048.7</v>
      </c>
      <c r="M158" s="323">
        <f t="shared" si="4"/>
        <v>3449319.99</v>
      </c>
      <c r="N158" s="380">
        <v>178489.65</v>
      </c>
      <c r="O158" s="380"/>
      <c r="P158" s="380">
        <v>168784</v>
      </c>
      <c r="Q158" s="380">
        <v>14966.94</v>
      </c>
      <c r="R158" s="380">
        <v>15593.35</v>
      </c>
      <c r="S158" s="368">
        <v>49937.9</v>
      </c>
      <c r="T158" s="430">
        <f t="shared" si="5"/>
        <v>3877091.83</v>
      </c>
      <c r="U158" s="381">
        <v>60.5</v>
      </c>
      <c r="V158" s="384">
        <v>958</v>
      </c>
      <c r="W158" s="427">
        <v>-10039.99</v>
      </c>
      <c r="X158" s="433"/>
      <c r="Y158" s="433">
        <v>-13514.42</v>
      </c>
      <c r="Z158" s="438">
        <v>1</v>
      </c>
    </row>
    <row r="159" spans="1:30" x14ac:dyDescent="0.25">
      <c r="A159" s="329">
        <v>5652</v>
      </c>
      <c r="B159" s="447" t="s">
        <v>194</v>
      </c>
      <c r="C159" s="378">
        <v>1544892.45</v>
      </c>
      <c r="D159" s="378">
        <v>323848.58</v>
      </c>
      <c r="E159" s="378"/>
      <c r="F159" s="497"/>
      <c r="G159" s="378">
        <v>-3672.1</v>
      </c>
      <c r="H159" s="378">
        <v>336.75</v>
      </c>
      <c r="I159" s="378"/>
      <c r="J159" s="378">
        <v>33410.160000000003</v>
      </c>
      <c r="K159" s="378">
        <v>1037.1500000000001</v>
      </c>
      <c r="L159" s="378">
        <v>139839.70000000001</v>
      </c>
      <c r="M159" s="323">
        <f t="shared" si="4"/>
        <v>2039692.6899999997</v>
      </c>
      <c r="N159" s="380"/>
      <c r="O159" s="380"/>
      <c r="P159" s="380">
        <v>25787.599999999999</v>
      </c>
      <c r="Q159" s="380">
        <v>725.9</v>
      </c>
      <c r="R159" s="380">
        <v>35181.050000000003</v>
      </c>
      <c r="S159" s="368">
        <v>-377.77</v>
      </c>
      <c r="T159" s="430">
        <f t="shared" si="5"/>
        <v>2101009.4699999997</v>
      </c>
      <c r="U159" s="381">
        <v>76</v>
      </c>
      <c r="V159" s="384">
        <v>626</v>
      </c>
      <c r="W159" s="427">
        <v>-47588.06</v>
      </c>
      <c r="X159" s="433"/>
      <c r="Y159" s="433">
        <v>-546.20000000000005</v>
      </c>
      <c r="Z159" s="438">
        <v>1.2</v>
      </c>
    </row>
    <row r="160" spans="1:30" x14ac:dyDescent="0.25">
      <c r="A160" s="329">
        <v>5653</v>
      </c>
      <c r="B160" s="447" t="s">
        <v>195</v>
      </c>
      <c r="C160" s="378">
        <v>2622577.12</v>
      </c>
      <c r="D160" s="378">
        <v>882073.8</v>
      </c>
      <c r="E160" s="378"/>
      <c r="F160" s="497"/>
      <c r="G160" s="378">
        <v>12421.55</v>
      </c>
      <c r="H160" s="378">
        <v>6416.6</v>
      </c>
      <c r="I160" s="378">
        <v>186157.8</v>
      </c>
      <c r="J160" s="378">
        <v>25311.98</v>
      </c>
      <c r="K160" s="378">
        <v>3597.5</v>
      </c>
      <c r="L160" s="378">
        <v>212345.2</v>
      </c>
      <c r="M160" s="323">
        <f t="shared" si="4"/>
        <v>3950901.55</v>
      </c>
      <c r="N160" s="380">
        <v>4440.8999999999996</v>
      </c>
      <c r="O160" s="380"/>
      <c r="P160" s="380">
        <v>113478.7</v>
      </c>
      <c r="Q160" s="380"/>
      <c r="R160" s="380">
        <v>217114.15</v>
      </c>
      <c r="S160" s="368">
        <v>2133.65</v>
      </c>
      <c r="T160" s="430">
        <f t="shared" si="5"/>
        <v>4288068.95</v>
      </c>
      <c r="U160" s="381">
        <v>58.5</v>
      </c>
      <c r="V160" s="384">
        <v>894</v>
      </c>
      <c r="W160" s="427">
        <v>-7926.74</v>
      </c>
      <c r="X160" s="433"/>
      <c r="Y160" s="433">
        <v>-38483.769999999997</v>
      </c>
      <c r="Z160" s="438">
        <v>0.8</v>
      </c>
    </row>
    <row r="161" spans="1:26" x14ac:dyDescent="0.25">
      <c r="A161" s="329">
        <v>5654</v>
      </c>
      <c r="B161" s="447" t="s">
        <v>196</v>
      </c>
      <c r="C161" s="378">
        <v>1153574.2</v>
      </c>
      <c r="D161" s="378">
        <v>261994.31</v>
      </c>
      <c r="E161" s="378"/>
      <c r="F161" s="497"/>
      <c r="G161" s="378">
        <v>38019.4</v>
      </c>
      <c r="H161" s="378">
        <v>1270.1500000000001</v>
      </c>
      <c r="I161" s="378"/>
      <c r="J161" s="378">
        <v>1589.15</v>
      </c>
      <c r="K161" s="378">
        <v>1581</v>
      </c>
      <c r="L161" s="378">
        <v>112373.85</v>
      </c>
      <c r="M161" s="323">
        <f t="shared" si="4"/>
        <v>1570402.0599999998</v>
      </c>
      <c r="N161" s="380">
        <v>6542.3</v>
      </c>
      <c r="O161" s="380">
        <v>3395.3</v>
      </c>
      <c r="P161" s="380">
        <v>85266.7</v>
      </c>
      <c r="Q161" s="380"/>
      <c r="R161" s="380">
        <v>80384.350000000006</v>
      </c>
      <c r="S161" s="368">
        <v>4450.0200000000004</v>
      </c>
      <c r="T161" s="430">
        <f t="shared" si="5"/>
        <v>1750440.73</v>
      </c>
      <c r="U161" s="381">
        <v>76</v>
      </c>
      <c r="V161" s="384">
        <v>560</v>
      </c>
      <c r="W161" s="427">
        <v>-2734.79</v>
      </c>
      <c r="X161" s="433"/>
      <c r="Y161" s="433">
        <v>-1524.66</v>
      </c>
      <c r="Z161" s="438">
        <v>1</v>
      </c>
    </row>
    <row r="162" spans="1:26" x14ac:dyDescent="0.25">
      <c r="A162" s="329">
        <v>5655</v>
      </c>
      <c r="B162" s="447" t="s">
        <v>197</v>
      </c>
      <c r="C162" s="378">
        <v>4069160.48</v>
      </c>
      <c r="D162" s="378">
        <v>873123.6</v>
      </c>
      <c r="E162" s="378"/>
      <c r="F162" s="497"/>
      <c r="G162" s="378">
        <v>-185064.55</v>
      </c>
      <c r="H162" s="378">
        <v>9272.5</v>
      </c>
      <c r="I162" s="378">
        <v>66010.45</v>
      </c>
      <c r="J162" s="378">
        <v>50940.13</v>
      </c>
      <c r="K162" s="378">
        <v>11547.1</v>
      </c>
      <c r="L162" s="378">
        <v>430184.7</v>
      </c>
      <c r="M162" s="323">
        <f t="shared" si="4"/>
        <v>5325174.41</v>
      </c>
      <c r="N162" s="380">
        <v>80041.2</v>
      </c>
      <c r="O162" s="380">
        <v>12243.4</v>
      </c>
      <c r="P162" s="380">
        <v>104769.5</v>
      </c>
      <c r="Q162" s="380">
        <v>7360.54</v>
      </c>
      <c r="R162" s="380">
        <v>-7759.1</v>
      </c>
      <c r="S162" s="368">
        <v>-19910.580000000002</v>
      </c>
      <c r="T162" s="430">
        <f t="shared" si="5"/>
        <v>5501919.370000001</v>
      </c>
      <c r="U162" s="381">
        <v>71.5</v>
      </c>
      <c r="V162" s="384">
        <v>1499</v>
      </c>
      <c r="W162" s="427">
        <v>-49474.57</v>
      </c>
      <c r="X162" s="433"/>
      <c r="Y162" s="433">
        <v>-11127.59</v>
      </c>
      <c r="Z162" s="438">
        <v>1</v>
      </c>
    </row>
    <row r="163" spans="1:26" x14ac:dyDescent="0.25">
      <c r="A163" s="329">
        <v>5661</v>
      </c>
      <c r="B163" s="447" t="s">
        <v>198</v>
      </c>
      <c r="C163" s="378">
        <v>668759.29</v>
      </c>
      <c r="D163" s="378">
        <v>56633.72</v>
      </c>
      <c r="E163" s="378"/>
      <c r="F163" s="497"/>
      <c r="G163" s="378">
        <v>5625.5</v>
      </c>
      <c r="H163" s="378">
        <v>22.95</v>
      </c>
      <c r="I163" s="378"/>
      <c r="J163" s="378">
        <v>11126.13</v>
      </c>
      <c r="K163" s="378">
        <v>555</v>
      </c>
      <c r="L163" s="378">
        <v>60664.75</v>
      </c>
      <c r="M163" s="323">
        <f t="shared" si="4"/>
        <v>803387.34</v>
      </c>
      <c r="N163" s="380">
        <v>18731.2</v>
      </c>
      <c r="O163" s="380"/>
      <c r="P163" s="380">
        <v>27582.5</v>
      </c>
      <c r="Q163" s="380">
        <v>60.95</v>
      </c>
      <c r="R163" s="380">
        <v>20575.5</v>
      </c>
      <c r="S163" s="368">
        <v>639.76</v>
      </c>
      <c r="T163" s="430">
        <f t="shared" si="5"/>
        <v>870977.24999999988</v>
      </c>
      <c r="U163" s="381">
        <v>71.5</v>
      </c>
      <c r="V163" s="384">
        <v>371</v>
      </c>
      <c r="W163" s="427">
        <v>-1386.94</v>
      </c>
      <c r="X163" s="433"/>
      <c r="Y163" s="433">
        <v>0</v>
      </c>
      <c r="Z163" s="438">
        <v>1</v>
      </c>
    </row>
    <row r="164" spans="1:26" x14ac:dyDescent="0.25">
      <c r="A164" s="329">
        <v>5663</v>
      </c>
      <c r="B164" s="447" t="s">
        <v>199</v>
      </c>
      <c r="C164" s="378">
        <v>331647.48</v>
      </c>
      <c r="D164" s="378">
        <v>32520.19</v>
      </c>
      <c r="E164" s="378"/>
      <c r="F164" s="497">
        <v>1350</v>
      </c>
      <c r="G164" s="378">
        <v>1093.9000000000001</v>
      </c>
      <c r="H164" s="378">
        <v>320.7</v>
      </c>
      <c r="I164" s="378"/>
      <c r="J164" s="378">
        <v>13237.34</v>
      </c>
      <c r="K164" s="378">
        <v>325.2</v>
      </c>
      <c r="L164" s="378">
        <v>32601.05</v>
      </c>
      <c r="M164" s="323">
        <f t="shared" si="4"/>
        <v>413095.86000000004</v>
      </c>
      <c r="N164" s="380"/>
      <c r="O164" s="380"/>
      <c r="P164" s="380">
        <v>22816.2</v>
      </c>
      <c r="Q164" s="380"/>
      <c r="R164" s="380">
        <v>2408.15</v>
      </c>
      <c r="S164" s="368">
        <v>160.22</v>
      </c>
      <c r="T164" s="430">
        <f t="shared" si="5"/>
        <v>438480.43000000005</v>
      </c>
      <c r="U164" s="381">
        <v>78.5</v>
      </c>
      <c r="V164" s="384">
        <v>236</v>
      </c>
      <c r="W164" s="427">
        <v>-57.56</v>
      </c>
      <c r="X164" s="433"/>
      <c r="Y164" s="433">
        <v>0</v>
      </c>
      <c r="Z164" s="438">
        <v>1</v>
      </c>
    </row>
    <row r="165" spans="1:26" x14ac:dyDescent="0.25">
      <c r="A165" s="329">
        <v>5665</v>
      </c>
      <c r="B165" s="447" t="s">
        <v>95</v>
      </c>
      <c r="C165" s="378">
        <v>263828.63</v>
      </c>
      <c r="D165" s="378">
        <v>43527.41</v>
      </c>
      <c r="E165" s="378"/>
      <c r="F165" s="497"/>
      <c r="G165" s="378">
        <v>2287.0500000000002</v>
      </c>
      <c r="H165" s="378">
        <v>26.9</v>
      </c>
      <c r="I165" s="378"/>
      <c r="J165" s="378">
        <v>5964.57</v>
      </c>
      <c r="K165" s="378">
        <v>4.5</v>
      </c>
      <c r="L165" s="378">
        <v>28605.4</v>
      </c>
      <c r="M165" s="323">
        <f t="shared" si="4"/>
        <v>344244.46000000008</v>
      </c>
      <c r="N165" s="380"/>
      <c r="O165" s="380"/>
      <c r="P165" s="380">
        <v>7885.75</v>
      </c>
      <c r="Q165" s="380"/>
      <c r="R165" s="380">
        <v>2791.65</v>
      </c>
      <c r="S165" s="368">
        <v>262.08</v>
      </c>
      <c r="T165" s="430">
        <f t="shared" si="5"/>
        <v>355183.94000000012</v>
      </c>
      <c r="U165" s="381">
        <v>70</v>
      </c>
      <c r="V165" s="384">
        <v>222</v>
      </c>
      <c r="W165" s="427">
        <v>-45.68</v>
      </c>
      <c r="X165" s="433"/>
      <c r="Y165" s="433">
        <v>0</v>
      </c>
      <c r="Z165" s="438">
        <v>1</v>
      </c>
    </row>
    <row r="166" spans="1:26" x14ac:dyDescent="0.25">
      <c r="A166" s="329">
        <v>5669</v>
      </c>
      <c r="B166" s="447" t="s">
        <v>96</v>
      </c>
      <c r="C166" s="378">
        <v>514530.92</v>
      </c>
      <c r="D166" s="378">
        <v>110689.07</v>
      </c>
      <c r="E166" s="378"/>
      <c r="F166" s="497"/>
      <c r="G166" s="378">
        <v>16094.1</v>
      </c>
      <c r="H166" s="378">
        <v>200.85</v>
      </c>
      <c r="I166" s="378"/>
      <c r="J166" s="378">
        <v>1884.79</v>
      </c>
      <c r="K166" s="378">
        <v>-1050.3</v>
      </c>
      <c r="L166" s="378">
        <v>24127.3</v>
      </c>
      <c r="M166" s="323">
        <f t="shared" si="4"/>
        <v>666476.73</v>
      </c>
      <c r="N166" s="380"/>
      <c r="O166" s="380">
        <v>40750</v>
      </c>
      <c r="P166" s="380">
        <v>33489.15</v>
      </c>
      <c r="Q166" s="380"/>
      <c r="R166" s="380">
        <v>15400</v>
      </c>
      <c r="S166" s="368">
        <v>1845.6</v>
      </c>
      <c r="T166" s="430">
        <f t="shared" si="5"/>
        <v>757961.48</v>
      </c>
      <c r="U166" s="381">
        <v>73</v>
      </c>
      <c r="V166" s="384">
        <v>296</v>
      </c>
      <c r="W166" s="427">
        <v>-10748.08</v>
      </c>
      <c r="X166" s="433"/>
      <c r="Y166" s="433">
        <v>0</v>
      </c>
      <c r="Z166" s="438">
        <v>0.5</v>
      </c>
    </row>
    <row r="167" spans="1:26" x14ac:dyDescent="0.25">
      <c r="A167" s="329">
        <v>5671</v>
      </c>
      <c r="B167" s="447" t="s">
        <v>97</v>
      </c>
      <c r="C167" s="378">
        <v>396872.74</v>
      </c>
      <c r="D167" s="378">
        <v>54825.43</v>
      </c>
      <c r="E167" s="378"/>
      <c r="F167" s="497">
        <v>1480</v>
      </c>
      <c r="G167" s="378">
        <v>10755.8</v>
      </c>
      <c r="H167" s="378">
        <v>129.35</v>
      </c>
      <c r="I167" s="378"/>
      <c r="J167" s="378">
        <v>3734.29</v>
      </c>
      <c r="K167" s="378">
        <v>223.5</v>
      </c>
      <c r="L167" s="378">
        <v>35237.85</v>
      </c>
      <c r="M167" s="323">
        <f t="shared" si="4"/>
        <v>503258.9599999999</v>
      </c>
      <c r="N167" s="380">
        <v>5497.4</v>
      </c>
      <c r="O167" s="380"/>
      <c r="P167" s="380">
        <v>55902.95</v>
      </c>
      <c r="Q167" s="380">
        <v>358.55</v>
      </c>
      <c r="R167" s="380">
        <v>47585.2</v>
      </c>
      <c r="S167" s="368">
        <v>1232.8800000000001</v>
      </c>
      <c r="T167" s="430">
        <f t="shared" si="5"/>
        <v>613835.93999999994</v>
      </c>
      <c r="U167" s="381">
        <v>78</v>
      </c>
      <c r="V167" s="384">
        <v>246</v>
      </c>
      <c r="W167" s="427">
        <v>-660.07</v>
      </c>
      <c r="X167" s="433"/>
      <c r="Y167" s="433">
        <v>0</v>
      </c>
      <c r="Z167" s="438">
        <v>1</v>
      </c>
    </row>
    <row r="168" spans="1:26" x14ac:dyDescent="0.25">
      <c r="A168" s="329">
        <v>5673</v>
      </c>
      <c r="B168" s="447" t="s">
        <v>98</v>
      </c>
      <c r="C168" s="378">
        <v>607420.5</v>
      </c>
      <c r="D168" s="378">
        <v>90143.52</v>
      </c>
      <c r="E168" s="378"/>
      <c r="F168" s="497">
        <v>2200</v>
      </c>
      <c r="G168" s="378">
        <v>831.1</v>
      </c>
      <c r="H168" s="378">
        <v>830.45</v>
      </c>
      <c r="I168" s="378"/>
      <c r="J168" s="378">
        <v>5680.46</v>
      </c>
      <c r="K168" s="378">
        <v>408</v>
      </c>
      <c r="L168" s="378">
        <v>28648.95</v>
      </c>
      <c r="M168" s="323">
        <f t="shared" si="4"/>
        <v>736162.97999999986</v>
      </c>
      <c r="N168" s="380">
        <v>11063.95</v>
      </c>
      <c r="O168" s="380"/>
      <c r="P168" s="380">
        <v>3890.2</v>
      </c>
      <c r="Q168" s="380"/>
      <c r="R168" s="380"/>
      <c r="S168" s="368">
        <v>188.19</v>
      </c>
      <c r="T168" s="430">
        <f t="shared" si="5"/>
        <v>751305.31999999972</v>
      </c>
      <c r="U168" s="381">
        <v>73.5</v>
      </c>
      <c r="V168" s="384">
        <v>371</v>
      </c>
      <c r="W168" s="427">
        <v>-3692.67</v>
      </c>
      <c r="X168" s="433"/>
      <c r="Y168" s="433">
        <v>-51.6</v>
      </c>
      <c r="Z168" s="438">
        <v>0.6</v>
      </c>
    </row>
    <row r="169" spans="1:26" x14ac:dyDescent="0.25">
      <c r="A169" s="329">
        <v>5674</v>
      </c>
      <c r="B169" s="447" t="s">
        <v>99</v>
      </c>
      <c r="C169" s="378">
        <v>236498.07</v>
      </c>
      <c r="D169" s="378">
        <v>53856.55</v>
      </c>
      <c r="E169" s="378"/>
      <c r="F169" s="497"/>
      <c r="G169" s="378">
        <v>282.3</v>
      </c>
      <c r="H169" s="378">
        <v>82.8</v>
      </c>
      <c r="I169" s="378"/>
      <c r="J169" s="378">
        <v>454.23</v>
      </c>
      <c r="K169" s="378">
        <v>64.099999999999994</v>
      </c>
      <c r="L169" s="378">
        <v>17925.95</v>
      </c>
      <c r="M169" s="323">
        <f t="shared" si="4"/>
        <v>309163.99999999994</v>
      </c>
      <c r="N169" s="380"/>
      <c r="O169" s="380">
        <v>4852.5</v>
      </c>
      <c r="P169" s="380">
        <v>16139.75</v>
      </c>
      <c r="Q169" s="380"/>
      <c r="R169" s="380">
        <v>17011.650000000001</v>
      </c>
      <c r="S169" s="368">
        <v>41.35</v>
      </c>
      <c r="T169" s="430">
        <f t="shared" si="5"/>
        <v>347209.24999999994</v>
      </c>
      <c r="U169" s="381">
        <v>75</v>
      </c>
      <c r="V169" s="384">
        <v>146</v>
      </c>
      <c r="W169" s="427">
        <v>-516.04</v>
      </c>
      <c r="X169" s="433">
        <v>408.9</v>
      </c>
      <c r="Y169" s="433">
        <v>-76.5</v>
      </c>
      <c r="Z169" s="438">
        <v>0.7</v>
      </c>
    </row>
    <row r="170" spans="1:26" x14ac:dyDescent="0.25">
      <c r="A170" s="329">
        <v>5675</v>
      </c>
      <c r="B170" s="447" t="s">
        <v>100</v>
      </c>
      <c r="C170" s="378">
        <v>5218800.9000000004</v>
      </c>
      <c r="D170" s="378">
        <v>571095.06000000006</v>
      </c>
      <c r="E170" s="378"/>
      <c r="F170" s="497"/>
      <c r="G170" s="378">
        <v>369142.9</v>
      </c>
      <c r="H170" s="378">
        <v>39245.550000000003</v>
      </c>
      <c r="I170" s="378"/>
      <c r="J170" s="378">
        <v>260799.76</v>
      </c>
      <c r="K170" s="378">
        <v>92100.55</v>
      </c>
      <c r="L170" s="378">
        <v>706880.5</v>
      </c>
      <c r="M170" s="323">
        <f t="shared" si="4"/>
        <v>7258065.2200000007</v>
      </c>
      <c r="N170" s="380">
        <v>41543.800000000003</v>
      </c>
      <c r="O170" s="380">
        <v>88404.3</v>
      </c>
      <c r="P170" s="380">
        <v>613887.94999999995</v>
      </c>
      <c r="Q170" s="380">
        <v>83927.44</v>
      </c>
      <c r="R170" s="380">
        <v>327262.84999999998</v>
      </c>
      <c r="S170" s="368">
        <v>46254.94</v>
      </c>
      <c r="T170" s="430">
        <f t="shared" si="5"/>
        <v>8459346.5</v>
      </c>
      <c r="U170" s="381">
        <v>67.5</v>
      </c>
      <c r="V170" s="384">
        <v>4373</v>
      </c>
      <c r="W170" s="427">
        <v>-220965.2</v>
      </c>
      <c r="X170" s="433"/>
      <c r="Y170" s="433">
        <v>-4006.24</v>
      </c>
      <c r="Z170" s="438">
        <v>1.1000000000000001</v>
      </c>
    </row>
    <row r="171" spans="1:26" x14ac:dyDescent="0.25">
      <c r="A171" s="329">
        <v>5678</v>
      </c>
      <c r="B171" s="447" t="s">
        <v>101</v>
      </c>
      <c r="C171" s="378">
        <v>6682916.4699999997</v>
      </c>
      <c r="D171" s="378">
        <v>767537.95</v>
      </c>
      <c r="E171" s="378"/>
      <c r="F171" s="497">
        <v>34559.300000000003</v>
      </c>
      <c r="G171" s="378">
        <v>449086.15</v>
      </c>
      <c r="H171" s="378">
        <v>21812.1</v>
      </c>
      <c r="I171" s="378"/>
      <c r="J171" s="378">
        <v>427139.97</v>
      </c>
      <c r="K171" s="378">
        <v>82929.649999999994</v>
      </c>
      <c r="L171" s="378">
        <v>833738</v>
      </c>
      <c r="M171" s="323">
        <f t="shared" si="4"/>
        <v>9299719.5899999999</v>
      </c>
      <c r="N171" s="380">
        <v>212026.15</v>
      </c>
      <c r="O171" s="380">
        <v>448635.9</v>
      </c>
      <c r="P171" s="380">
        <v>653881.19999999995</v>
      </c>
      <c r="Q171" s="380">
        <v>43932.25</v>
      </c>
      <c r="R171" s="380">
        <v>641035.19999999995</v>
      </c>
      <c r="S171" s="368">
        <v>53334.94</v>
      </c>
      <c r="T171" s="430">
        <f t="shared" si="5"/>
        <v>11352565.229999999</v>
      </c>
      <c r="U171" s="381">
        <v>72.5</v>
      </c>
      <c r="V171" s="384">
        <v>6120</v>
      </c>
      <c r="W171" s="427">
        <v>-341427.49</v>
      </c>
      <c r="X171" s="433"/>
      <c r="Y171" s="433">
        <v>-4887.5200000000004</v>
      </c>
      <c r="Z171" s="438">
        <v>1</v>
      </c>
    </row>
    <row r="172" spans="1:26" x14ac:dyDescent="0.25">
      <c r="A172" s="329">
        <v>5680</v>
      </c>
      <c r="B172" s="447" t="s">
        <v>102</v>
      </c>
      <c r="C172" s="378">
        <v>547999.37</v>
      </c>
      <c r="D172" s="378">
        <v>63260.29</v>
      </c>
      <c r="E172" s="378"/>
      <c r="F172" s="497"/>
      <c r="G172" s="378">
        <v>-507.3</v>
      </c>
      <c r="H172" s="378">
        <v>387.75</v>
      </c>
      <c r="I172" s="378"/>
      <c r="J172" s="378">
        <v>10395.280000000001</v>
      </c>
      <c r="K172" s="378">
        <v>625</v>
      </c>
      <c r="L172" s="378">
        <v>76527.55</v>
      </c>
      <c r="M172" s="323">
        <f t="shared" si="4"/>
        <v>698687.94000000006</v>
      </c>
      <c r="N172" s="380"/>
      <c r="O172" s="380">
        <v>12.2</v>
      </c>
      <c r="P172" s="380">
        <v>28101.1</v>
      </c>
      <c r="Q172" s="380">
        <v>0.09</v>
      </c>
      <c r="R172" s="380">
        <v>22073.85</v>
      </c>
      <c r="S172" s="368">
        <v>-13.54</v>
      </c>
      <c r="T172" s="430">
        <f t="shared" si="5"/>
        <v>748861.6399999999</v>
      </c>
      <c r="U172" s="381">
        <v>78</v>
      </c>
      <c r="V172" s="384">
        <v>321</v>
      </c>
      <c r="W172" s="427">
        <v>-10045.25</v>
      </c>
      <c r="X172" s="433"/>
      <c r="Y172" s="433">
        <v>0</v>
      </c>
      <c r="Z172" s="438">
        <v>1.5</v>
      </c>
    </row>
    <row r="173" spans="1:26" x14ac:dyDescent="0.25">
      <c r="A173" s="329">
        <v>5683</v>
      </c>
      <c r="B173" s="447" t="s">
        <v>103</v>
      </c>
      <c r="C173" s="378">
        <v>331571.86</v>
      </c>
      <c r="D173" s="378">
        <v>26370.17</v>
      </c>
      <c r="E173" s="378"/>
      <c r="F173" s="497"/>
      <c r="G173" s="378">
        <v>1253.6500000000001</v>
      </c>
      <c r="H173" s="378">
        <v>439.45</v>
      </c>
      <c r="I173" s="378"/>
      <c r="J173" s="378">
        <v>862.08</v>
      </c>
      <c r="K173" s="378">
        <v>2220.5</v>
      </c>
      <c r="L173" s="378">
        <v>29104.75</v>
      </c>
      <c r="M173" s="323">
        <f t="shared" si="4"/>
        <v>391822.46</v>
      </c>
      <c r="N173" s="380"/>
      <c r="O173" s="380">
        <v>243.3</v>
      </c>
      <c r="P173" s="380">
        <v>20577.75</v>
      </c>
      <c r="Q173" s="380">
        <v>0</v>
      </c>
      <c r="R173" s="380">
        <v>22067.05</v>
      </c>
      <c r="S173" s="368">
        <v>191.76</v>
      </c>
      <c r="T173" s="430">
        <f t="shared" si="5"/>
        <v>434902.32</v>
      </c>
      <c r="U173" s="381">
        <v>72.5</v>
      </c>
      <c r="V173" s="384">
        <v>215</v>
      </c>
      <c r="W173" s="427">
        <v>-1497.32</v>
      </c>
      <c r="X173" s="433"/>
      <c r="Y173" s="433">
        <v>0</v>
      </c>
      <c r="Z173" s="438">
        <v>1</v>
      </c>
    </row>
    <row r="174" spans="1:26" x14ac:dyDescent="0.25">
      <c r="A174" s="329">
        <v>5684</v>
      </c>
      <c r="B174" s="447" t="s">
        <v>104</v>
      </c>
      <c r="C174" s="378">
        <v>245383.9</v>
      </c>
      <c r="D174" s="378">
        <v>-5482.69</v>
      </c>
      <c r="E174" s="378"/>
      <c r="F174" s="497"/>
      <c r="G174" s="378">
        <v>1092.7</v>
      </c>
      <c r="H174" s="378">
        <v>9</v>
      </c>
      <c r="I174" s="378"/>
      <c r="J174" s="378">
        <v>116.62</v>
      </c>
      <c r="K174" s="378"/>
      <c r="L174" s="378">
        <v>6461.9</v>
      </c>
      <c r="M174" s="323">
        <f t="shared" si="4"/>
        <v>247581.43</v>
      </c>
      <c r="N174" s="380"/>
      <c r="O174" s="380"/>
      <c r="P174" s="380"/>
      <c r="Q174" s="380"/>
      <c r="R174" s="380"/>
      <c r="S174" s="368">
        <v>124.78</v>
      </c>
      <c r="T174" s="430">
        <f t="shared" si="5"/>
        <v>247706.21</v>
      </c>
      <c r="U174" s="381">
        <v>75</v>
      </c>
      <c r="V174" s="384">
        <v>93</v>
      </c>
      <c r="W174" s="427">
        <v>-5290.27</v>
      </c>
      <c r="X174" s="433"/>
      <c r="Y174" s="433">
        <v>-20.29</v>
      </c>
      <c r="Z174" s="438">
        <v>0.8</v>
      </c>
    </row>
    <row r="175" spans="1:26" x14ac:dyDescent="0.25">
      <c r="A175" s="329">
        <v>5688</v>
      </c>
      <c r="B175" s="447" t="s">
        <v>105</v>
      </c>
      <c r="C175" s="378">
        <v>339098.35</v>
      </c>
      <c r="D175" s="378">
        <v>71947.850000000006</v>
      </c>
      <c r="E175" s="378"/>
      <c r="F175" s="497"/>
      <c r="G175" s="378">
        <v>-21922.25</v>
      </c>
      <c r="H175" s="378">
        <v>261.39999999999998</v>
      </c>
      <c r="I175" s="378"/>
      <c r="J175" s="378">
        <v>2193.36</v>
      </c>
      <c r="K175" s="378">
        <v>105</v>
      </c>
      <c r="L175" s="378">
        <v>24705</v>
      </c>
      <c r="M175" s="323">
        <f t="shared" si="4"/>
        <v>416388.70999999996</v>
      </c>
      <c r="N175" s="380"/>
      <c r="O175" s="380"/>
      <c r="P175" s="380">
        <v>8170.65</v>
      </c>
      <c r="Q175" s="380">
        <v>26.03</v>
      </c>
      <c r="R175" s="380">
        <v>17809.55</v>
      </c>
      <c r="S175" s="368">
        <v>-2453.35</v>
      </c>
      <c r="T175" s="430">
        <f t="shared" si="5"/>
        <v>439941.59</v>
      </c>
      <c r="U175" s="381">
        <v>65</v>
      </c>
      <c r="V175" s="384">
        <v>161</v>
      </c>
      <c r="W175" s="427">
        <v>-13908.64</v>
      </c>
      <c r="X175" s="433"/>
      <c r="Y175" s="433">
        <v>0</v>
      </c>
      <c r="Z175" s="438">
        <v>1</v>
      </c>
    </row>
    <row r="176" spans="1:26" x14ac:dyDescent="0.25">
      <c r="A176" s="329">
        <v>5690</v>
      </c>
      <c r="B176" s="447" t="s">
        <v>106</v>
      </c>
      <c r="C176" s="378">
        <v>176025.33</v>
      </c>
      <c r="D176" s="378">
        <v>48562.65</v>
      </c>
      <c r="E176" s="378"/>
      <c r="F176" s="497">
        <v>730</v>
      </c>
      <c r="G176" s="378">
        <v>988</v>
      </c>
      <c r="H176" s="378">
        <v>408.4</v>
      </c>
      <c r="I176" s="378"/>
      <c r="J176" s="378"/>
      <c r="K176" s="378">
        <v>184.1</v>
      </c>
      <c r="L176" s="378">
        <v>25168.7</v>
      </c>
      <c r="M176" s="323">
        <f t="shared" si="4"/>
        <v>252067.18</v>
      </c>
      <c r="N176" s="380"/>
      <c r="O176" s="380">
        <v>17912.2</v>
      </c>
      <c r="P176" s="380">
        <v>996.55</v>
      </c>
      <c r="Q176" s="380"/>
      <c r="R176" s="380">
        <v>505.75</v>
      </c>
      <c r="S176" s="368">
        <v>158.16</v>
      </c>
      <c r="T176" s="430">
        <f t="shared" si="5"/>
        <v>271639.83999999997</v>
      </c>
      <c r="U176" s="381">
        <v>70</v>
      </c>
      <c r="V176" s="384">
        <v>133</v>
      </c>
      <c r="W176" s="427">
        <v>-2328.0500000000002</v>
      </c>
      <c r="X176" s="433"/>
      <c r="Y176" s="433">
        <v>0</v>
      </c>
      <c r="Z176" s="438">
        <v>1.2</v>
      </c>
    </row>
    <row r="177" spans="1:26" x14ac:dyDescent="0.25">
      <c r="A177" s="329">
        <v>5692</v>
      </c>
      <c r="B177" s="447" t="s">
        <v>107</v>
      </c>
      <c r="C177" s="378">
        <v>1185147.97</v>
      </c>
      <c r="D177" s="378">
        <v>163167.76999999999</v>
      </c>
      <c r="E177" s="378"/>
      <c r="F177" s="497"/>
      <c r="G177" s="378">
        <v>11843.3</v>
      </c>
      <c r="H177" s="378">
        <v>1824.55</v>
      </c>
      <c r="I177" s="378"/>
      <c r="J177" s="378">
        <v>14293.11</v>
      </c>
      <c r="K177" s="378">
        <v>2474.4499999999998</v>
      </c>
      <c r="L177" s="378">
        <v>99134.9</v>
      </c>
      <c r="M177" s="323">
        <f t="shared" si="4"/>
        <v>1477886.05</v>
      </c>
      <c r="N177" s="380">
        <v>10724.2</v>
      </c>
      <c r="O177" s="380"/>
      <c r="P177" s="380">
        <v>99618</v>
      </c>
      <c r="Q177" s="380">
        <v>1087.77</v>
      </c>
      <c r="R177" s="380">
        <v>94542.7</v>
      </c>
      <c r="S177" s="368">
        <v>1548.05</v>
      </c>
      <c r="T177" s="430">
        <f t="shared" si="5"/>
        <v>1685406.77</v>
      </c>
      <c r="U177" s="381">
        <v>77</v>
      </c>
      <c r="V177" s="384">
        <v>623</v>
      </c>
      <c r="W177" s="427">
        <v>-33446.31</v>
      </c>
      <c r="X177" s="433"/>
      <c r="Y177" s="433">
        <v>0</v>
      </c>
      <c r="Z177" s="438">
        <v>1</v>
      </c>
    </row>
    <row r="178" spans="1:26" x14ac:dyDescent="0.25">
      <c r="A178" s="329">
        <v>5693</v>
      </c>
      <c r="B178" s="447" t="s">
        <v>425</v>
      </c>
      <c r="C178" s="378">
        <v>4210818.8499999996</v>
      </c>
      <c r="D178" s="378">
        <v>514256.55</v>
      </c>
      <c r="E178" s="378"/>
      <c r="F178" s="497"/>
      <c r="G178" s="378">
        <v>114653.7</v>
      </c>
      <c r="H178" s="378">
        <v>4386.95</v>
      </c>
      <c r="I178" s="378"/>
      <c r="J178" s="378">
        <v>70814.34</v>
      </c>
      <c r="K178" s="378">
        <v>9962</v>
      </c>
      <c r="L178" s="378">
        <v>428714.75</v>
      </c>
      <c r="M178" s="323">
        <f t="shared" si="4"/>
        <v>5353607.1399999997</v>
      </c>
      <c r="N178" s="380">
        <v>63509.05</v>
      </c>
      <c r="O178" s="380">
        <v>162899.4</v>
      </c>
      <c r="P178" s="380">
        <v>178469.45</v>
      </c>
      <c r="Q178" s="380">
        <v>25511.61</v>
      </c>
      <c r="R178" s="380">
        <v>143986.65</v>
      </c>
      <c r="S178" s="368">
        <v>13482.8</v>
      </c>
      <c r="T178" s="430">
        <f t="shared" si="5"/>
        <v>5941466.1000000006</v>
      </c>
      <c r="U178" s="381">
        <v>70</v>
      </c>
      <c r="V178" s="384">
        <v>2768</v>
      </c>
      <c r="W178" s="427">
        <v>-93836.39</v>
      </c>
      <c r="X178" s="433"/>
      <c r="Y178" s="433">
        <v>-261.51</v>
      </c>
      <c r="Z178" s="438">
        <v>1</v>
      </c>
    </row>
    <row r="179" spans="1:26" x14ac:dyDescent="0.25">
      <c r="A179" s="329">
        <v>5701</v>
      </c>
      <c r="B179" s="447" t="s">
        <v>108</v>
      </c>
      <c r="C179" s="378">
        <v>764056.09</v>
      </c>
      <c r="D179" s="378">
        <v>89144.18</v>
      </c>
      <c r="E179" s="378"/>
      <c r="F179" s="497"/>
      <c r="G179" s="378">
        <v>63.65</v>
      </c>
      <c r="H179" s="378">
        <v>1621.4</v>
      </c>
      <c r="I179" s="378">
        <v>65333.35</v>
      </c>
      <c r="J179" s="378">
        <v>21681.83</v>
      </c>
      <c r="K179" s="378">
        <v>508.25</v>
      </c>
      <c r="L179" s="378">
        <v>73466.600000000006</v>
      </c>
      <c r="M179" s="323">
        <f t="shared" si="4"/>
        <v>1015875.35</v>
      </c>
      <c r="N179" s="380">
        <v>1264.6500000000001</v>
      </c>
      <c r="O179" s="380">
        <v>78125</v>
      </c>
      <c r="P179" s="380">
        <v>15950</v>
      </c>
      <c r="Q179" s="380"/>
      <c r="R179" s="380">
        <v>68557</v>
      </c>
      <c r="S179" s="368">
        <v>190.85</v>
      </c>
      <c r="T179" s="430">
        <f t="shared" si="5"/>
        <v>1179962.8500000001</v>
      </c>
      <c r="U179" s="381">
        <v>70</v>
      </c>
      <c r="V179" s="384">
        <v>226</v>
      </c>
      <c r="W179" s="427">
        <v>-1274.97</v>
      </c>
      <c r="X179" s="433"/>
      <c r="Y179" s="433">
        <v>-581.19000000000005</v>
      </c>
      <c r="Z179" s="438">
        <v>1</v>
      </c>
    </row>
    <row r="180" spans="1:26" x14ac:dyDescent="0.25">
      <c r="A180" s="329">
        <v>5702</v>
      </c>
      <c r="B180" s="447" t="s">
        <v>424</v>
      </c>
      <c r="C180" s="378">
        <v>8101624.1200000001</v>
      </c>
      <c r="D180" s="378">
        <v>1546900.52</v>
      </c>
      <c r="E180" s="378"/>
      <c r="F180" s="497"/>
      <c r="G180" s="378">
        <v>122387</v>
      </c>
      <c r="H180" s="378">
        <v>18812.650000000001</v>
      </c>
      <c r="I180" s="378">
        <v>414594.65</v>
      </c>
      <c r="J180" s="378">
        <v>186766.5</v>
      </c>
      <c r="K180" s="378">
        <v>1851.65</v>
      </c>
      <c r="L180" s="378">
        <v>1263086.8999999999</v>
      </c>
      <c r="M180" s="323">
        <f t="shared" si="4"/>
        <v>11656023.990000002</v>
      </c>
      <c r="N180" s="380">
        <v>76946.45</v>
      </c>
      <c r="O180" s="380">
        <v>111916.4</v>
      </c>
      <c r="P180" s="380">
        <v>811611.15</v>
      </c>
      <c r="Q180" s="380">
        <v>149621.63</v>
      </c>
      <c r="R180" s="380">
        <v>543079.1</v>
      </c>
      <c r="S180" s="368">
        <v>15992.57</v>
      </c>
      <c r="T180" s="430">
        <f t="shared" si="5"/>
        <v>13365191.290000003</v>
      </c>
      <c r="U180" s="381">
        <v>64</v>
      </c>
      <c r="V180" s="384">
        <v>2947</v>
      </c>
      <c r="W180" s="427">
        <v>-186322.45</v>
      </c>
      <c r="X180" s="433"/>
      <c r="Y180" s="433">
        <v>-23057.17</v>
      </c>
      <c r="Z180" s="438">
        <v>1.5</v>
      </c>
    </row>
    <row r="181" spans="1:26" x14ac:dyDescent="0.25">
      <c r="A181" s="329">
        <v>5703</v>
      </c>
      <c r="B181" s="447" t="s">
        <v>109</v>
      </c>
      <c r="C181" s="378">
        <v>3949712.7</v>
      </c>
      <c r="D181" s="378">
        <v>516881.8</v>
      </c>
      <c r="E181" s="378"/>
      <c r="F181" s="497"/>
      <c r="G181" s="378">
        <v>29457.7</v>
      </c>
      <c r="H181" s="378">
        <v>1603.45</v>
      </c>
      <c r="I181" s="378"/>
      <c r="J181" s="378">
        <v>31253.81</v>
      </c>
      <c r="K181" s="378">
        <v>927.75</v>
      </c>
      <c r="L181" s="378">
        <v>474336.25</v>
      </c>
      <c r="M181" s="323">
        <f t="shared" si="4"/>
        <v>5004173.46</v>
      </c>
      <c r="N181" s="380">
        <v>30033.35</v>
      </c>
      <c r="O181" s="380"/>
      <c r="P181" s="380">
        <v>298205.34999999998</v>
      </c>
      <c r="Q181" s="380">
        <v>6774.96</v>
      </c>
      <c r="R181" s="380">
        <v>181551.1</v>
      </c>
      <c r="S181" s="368">
        <v>3518.05</v>
      </c>
      <c r="T181" s="430">
        <f t="shared" si="5"/>
        <v>5524256.2699999986</v>
      </c>
      <c r="U181" s="381">
        <v>72.5</v>
      </c>
      <c r="V181" s="384">
        <v>1487</v>
      </c>
      <c r="W181" s="427">
        <v>-33422.980000000003</v>
      </c>
      <c r="X181" s="433"/>
      <c r="Y181" s="433">
        <v>-2500.88</v>
      </c>
      <c r="Z181" s="438">
        <v>1.4</v>
      </c>
    </row>
    <row r="182" spans="1:26" x14ac:dyDescent="0.25">
      <c r="A182" s="329">
        <v>5704</v>
      </c>
      <c r="B182" s="447" t="s">
        <v>214</v>
      </c>
      <c r="C182" s="378">
        <v>8082094.4199999999</v>
      </c>
      <c r="D182" s="378">
        <v>3643815.88</v>
      </c>
      <c r="E182" s="378"/>
      <c r="F182" s="497"/>
      <c r="G182" s="378">
        <v>59989.8</v>
      </c>
      <c r="H182" s="378">
        <v>6981</v>
      </c>
      <c r="I182" s="378">
        <v>331610.95</v>
      </c>
      <c r="J182" s="378">
        <v>134617.20000000001</v>
      </c>
      <c r="K182" s="378">
        <v>15685.15</v>
      </c>
      <c r="L182" s="378">
        <v>793867.2</v>
      </c>
      <c r="M182" s="323">
        <f t="shared" si="4"/>
        <v>13068661.6</v>
      </c>
      <c r="N182" s="380">
        <v>24992.05</v>
      </c>
      <c r="O182" s="380">
        <v>119098.2</v>
      </c>
      <c r="P182" s="380">
        <v>311473.3</v>
      </c>
      <c r="Q182" s="380">
        <v>12522.13</v>
      </c>
      <c r="R182" s="380">
        <v>194104</v>
      </c>
      <c r="S182" s="368">
        <v>7585.26</v>
      </c>
      <c r="T182" s="430">
        <f t="shared" si="5"/>
        <v>13738436.540000001</v>
      </c>
      <c r="U182" s="381">
        <v>62.5</v>
      </c>
      <c r="V182" s="384">
        <v>1941</v>
      </c>
      <c r="W182" s="427">
        <v>-55365.69</v>
      </c>
      <c r="X182" s="433"/>
      <c r="Y182" s="433">
        <v>-122321.3</v>
      </c>
      <c r="Z182" s="438">
        <v>1.5</v>
      </c>
    </row>
    <row r="183" spans="1:26" x14ac:dyDescent="0.25">
      <c r="A183" s="329">
        <v>5705</v>
      </c>
      <c r="B183" s="447" t="s">
        <v>215</v>
      </c>
      <c r="C183" s="378">
        <v>2949886.67</v>
      </c>
      <c r="D183" s="378">
        <v>501881.45</v>
      </c>
      <c r="E183" s="378"/>
      <c r="F183" s="497"/>
      <c r="G183" s="378">
        <v>59163.8</v>
      </c>
      <c r="H183" s="378">
        <v>1655.1</v>
      </c>
      <c r="I183" s="378">
        <v>106832.5</v>
      </c>
      <c r="J183" s="378">
        <v>21583.82</v>
      </c>
      <c r="K183" s="378">
        <v>11017.25</v>
      </c>
      <c r="L183" s="378">
        <v>231509.5</v>
      </c>
      <c r="M183" s="323">
        <f t="shared" si="4"/>
        <v>3883530.09</v>
      </c>
      <c r="N183" s="380">
        <v>47048.800000000003</v>
      </c>
      <c r="O183" s="380"/>
      <c r="P183" s="380">
        <v>332784.75</v>
      </c>
      <c r="Q183" s="380">
        <v>1831.91</v>
      </c>
      <c r="R183" s="380">
        <v>211433.65</v>
      </c>
      <c r="S183" s="368">
        <v>6888.48</v>
      </c>
      <c r="T183" s="430">
        <f t="shared" si="5"/>
        <v>4483517.6800000006</v>
      </c>
      <c r="U183" s="381">
        <v>74.5</v>
      </c>
      <c r="V183" s="384">
        <v>888</v>
      </c>
      <c r="W183" s="427">
        <v>-15256.03</v>
      </c>
      <c r="X183" s="433"/>
      <c r="Y183" s="433">
        <v>-6470.74</v>
      </c>
      <c r="Z183" s="438">
        <v>1</v>
      </c>
    </row>
    <row r="184" spans="1:26" x14ac:dyDescent="0.25">
      <c r="A184" s="329">
        <v>5706</v>
      </c>
      <c r="B184" s="447" t="s">
        <v>216</v>
      </c>
      <c r="C184" s="378">
        <v>3219818.98</v>
      </c>
      <c r="D184" s="378">
        <v>500991.95</v>
      </c>
      <c r="E184" s="378"/>
      <c r="F184" s="497"/>
      <c r="G184" s="378">
        <v>-5879.5</v>
      </c>
      <c r="H184" s="378">
        <v>10304.65</v>
      </c>
      <c r="I184" s="378">
        <v>14964.7</v>
      </c>
      <c r="J184" s="378">
        <v>32456.15</v>
      </c>
      <c r="K184" s="378">
        <v>10637.7</v>
      </c>
      <c r="L184" s="378">
        <v>435111.45</v>
      </c>
      <c r="M184" s="323">
        <f t="shared" si="4"/>
        <v>4218406.08</v>
      </c>
      <c r="N184" s="380">
        <v>10314.15</v>
      </c>
      <c r="O184" s="380"/>
      <c r="P184" s="380">
        <v>201410</v>
      </c>
      <c r="Q184" s="380"/>
      <c r="R184" s="380">
        <v>118489.60000000001</v>
      </c>
      <c r="S184" s="368">
        <v>501.2</v>
      </c>
      <c r="T184" s="430">
        <f t="shared" si="5"/>
        <v>4549121.03</v>
      </c>
      <c r="U184" s="381">
        <v>57</v>
      </c>
      <c r="V184" s="384">
        <v>1165</v>
      </c>
      <c r="W184" s="427">
        <v>-7286.69</v>
      </c>
      <c r="X184" s="433"/>
      <c r="Y184" s="433">
        <v>-7727.67</v>
      </c>
      <c r="Z184" s="438">
        <v>1.5</v>
      </c>
    </row>
    <row r="185" spans="1:26" x14ac:dyDescent="0.25">
      <c r="A185" s="329">
        <v>5707</v>
      </c>
      <c r="B185" s="447" t="s">
        <v>217</v>
      </c>
      <c r="C185" s="378">
        <v>3479956</v>
      </c>
      <c r="D185" s="378">
        <v>683312.49</v>
      </c>
      <c r="E185" s="378"/>
      <c r="F185" s="497"/>
      <c r="G185" s="378">
        <v>276580.65000000002</v>
      </c>
      <c r="H185" s="378">
        <v>7899.55</v>
      </c>
      <c r="I185" s="378">
        <v>36135.800000000003</v>
      </c>
      <c r="J185" s="378">
        <v>70076.149999999994</v>
      </c>
      <c r="K185" s="378">
        <v>60635.1</v>
      </c>
      <c r="L185" s="378">
        <v>718694.9</v>
      </c>
      <c r="M185" s="323">
        <f t="shared" si="4"/>
        <v>5333290.6400000006</v>
      </c>
      <c r="N185" s="380">
        <v>706882.95</v>
      </c>
      <c r="O185" s="380"/>
      <c r="P185" s="380">
        <v>517016.35</v>
      </c>
      <c r="Q185" s="380">
        <v>4114.8599999999997</v>
      </c>
      <c r="R185" s="380">
        <v>331529.5</v>
      </c>
      <c r="S185" s="368">
        <v>32220.83</v>
      </c>
      <c r="T185" s="430">
        <f t="shared" si="5"/>
        <v>6925055.1300000008</v>
      </c>
      <c r="U185" s="381">
        <v>58</v>
      </c>
      <c r="V185" s="384">
        <v>1330</v>
      </c>
      <c r="W185" s="427">
        <v>-13446.05</v>
      </c>
      <c r="X185" s="433"/>
      <c r="Y185" s="433">
        <v>-11373.21</v>
      </c>
      <c r="Z185" s="438">
        <v>1.5</v>
      </c>
    </row>
    <row r="186" spans="1:26" x14ac:dyDescent="0.25">
      <c r="A186" s="329">
        <v>5708</v>
      </c>
      <c r="B186" s="447" t="s">
        <v>218</v>
      </c>
      <c r="C186" s="378">
        <v>3588220.12</v>
      </c>
      <c r="D186" s="378">
        <v>647936.54</v>
      </c>
      <c r="E186" s="378"/>
      <c r="F186" s="497"/>
      <c r="G186" s="378">
        <v>152931.25</v>
      </c>
      <c r="H186" s="378">
        <v>644.20000000000005</v>
      </c>
      <c r="I186" s="378"/>
      <c r="J186" s="378">
        <v>-140648.74</v>
      </c>
      <c r="K186" s="378">
        <v>2504.3000000000002</v>
      </c>
      <c r="L186" s="378">
        <v>438216.3</v>
      </c>
      <c r="M186" s="323">
        <f t="shared" si="4"/>
        <v>4689803.97</v>
      </c>
      <c r="N186" s="380">
        <v>11789.25</v>
      </c>
      <c r="O186" s="380"/>
      <c r="P186" s="380">
        <v>149748.1</v>
      </c>
      <c r="Q186" s="380"/>
      <c r="R186" s="380">
        <v>133122</v>
      </c>
      <c r="S186" s="368">
        <v>17394.28</v>
      </c>
      <c r="T186" s="430">
        <f t="shared" si="5"/>
        <v>5001857.5999999996</v>
      </c>
      <c r="U186" s="381">
        <v>68</v>
      </c>
      <c r="V186" s="384">
        <v>1005</v>
      </c>
      <c r="W186" s="427">
        <v>-404.54</v>
      </c>
      <c r="X186" s="433"/>
      <c r="Y186" s="433">
        <v>-4610.09</v>
      </c>
      <c r="Z186" s="438">
        <v>1.5</v>
      </c>
    </row>
    <row r="187" spans="1:26" x14ac:dyDescent="0.25">
      <c r="A187" s="329">
        <v>5709</v>
      </c>
      <c r="B187" s="447" t="s">
        <v>219</v>
      </c>
      <c r="C187" s="378">
        <v>3299310.07</v>
      </c>
      <c r="D187" s="378">
        <v>775602.39</v>
      </c>
      <c r="E187" s="378"/>
      <c r="F187" s="497"/>
      <c r="G187" s="378">
        <v>9957</v>
      </c>
      <c r="H187" s="378">
        <v>12982.65</v>
      </c>
      <c r="I187" s="378">
        <v>544660.1</v>
      </c>
      <c r="J187" s="378">
        <v>33643.4</v>
      </c>
      <c r="K187" s="378">
        <v>6284.05</v>
      </c>
      <c r="L187" s="378">
        <v>393676.85</v>
      </c>
      <c r="M187" s="323">
        <f t="shared" si="4"/>
        <v>5076116.51</v>
      </c>
      <c r="N187" s="380">
        <v>45594</v>
      </c>
      <c r="O187" s="380"/>
      <c r="P187" s="380">
        <v>170346.85</v>
      </c>
      <c r="Q187" s="380"/>
      <c r="R187" s="380">
        <v>1665970.35</v>
      </c>
      <c r="S187" s="368">
        <v>2598.19</v>
      </c>
      <c r="T187" s="430">
        <f t="shared" si="5"/>
        <v>6960625.8999999994</v>
      </c>
      <c r="U187" s="381">
        <v>57</v>
      </c>
      <c r="V187" s="384">
        <v>1263</v>
      </c>
      <c r="W187" s="427">
        <v>-37331.360000000001</v>
      </c>
      <c r="X187" s="433"/>
      <c r="Y187" s="433">
        <v>-5867.36</v>
      </c>
      <c r="Z187" s="438">
        <v>1</v>
      </c>
    </row>
    <row r="188" spans="1:26" x14ac:dyDescent="0.25">
      <c r="A188" s="329">
        <v>5710</v>
      </c>
      <c r="B188" s="447" t="s">
        <v>220</v>
      </c>
      <c r="C188" s="378">
        <v>1279873.33</v>
      </c>
      <c r="D188" s="378">
        <v>331736.81</v>
      </c>
      <c r="E188" s="378"/>
      <c r="F188" s="497"/>
      <c r="G188" s="378">
        <v>-386473.95</v>
      </c>
      <c r="H188" s="378">
        <v>735616.95</v>
      </c>
      <c r="I188" s="378">
        <v>110957.8</v>
      </c>
      <c r="J188" s="378">
        <v>13621.24</v>
      </c>
      <c r="K188" s="378">
        <v>-26200.55</v>
      </c>
      <c r="L188" s="378">
        <v>134068.20000000001</v>
      </c>
      <c r="M188" s="323">
        <f t="shared" si="4"/>
        <v>2193199.83</v>
      </c>
      <c r="N188" s="380">
        <v>46509.95</v>
      </c>
      <c r="O188" s="380"/>
      <c r="P188" s="380">
        <v>102602.5</v>
      </c>
      <c r="Q188" s="380">
        <v>11.45</v>
      </c>
      <c r="R188" s="380">
        <v>55699.25</v>
      </c>
      <c r="S188" s="368">
        <v>39544.68</v>
      </c>
      <c r="T188" s="430">
        <f t="shared" si="5"/>
        <v>2437567.6600000006</v>
      </c>
      <c r="U188" s="381">
        <v>51</v>
      </c>
      <c r="V188" s="384">
        <v>508</v>
      </c>
      <c r="W188" s="427">
        <v>-10534.21</v>
      </c>
      <c r="X188" s="433"/>
      <c r="Y188" s="433">
        <v>-8196.23</v>
      </c>
      <c r="Z188" s="438">
        <v>1</v>
      </c>
    </row>
    <row r="189" spans="1:26" x14ac:dyDescent="0.25">
      <c r="A189" s="329">
        <v>5711</v>
      </c>
      <c r="B189" s="447" t="s">
        <v>221</v>
      </c>
      <c r="C189" s="378">
        <v>11949961.24</v>
      </c>
      <c r="D189" s="378">
        <v>2581634.71</v>
      </c>
      <c r="E189" s="378"/>
      <c r="F189" s="497"/>
      <c r="G189" s="378">
        <v>79953.350000000006</v>
      </c>
      <c r="H189" s="378">
        <v>10194.700000000001</v>
      </c>
      <c r="I189" s="378">
        <v>162941.45000000001</v>
      </c>
      <c r="J189" s="378">
        <v>150861.20000000001</v>
      </c>
      <c r="K189" s="378">
        <v>17437.5</v>
      </c>
      <c r="L189" s="378">
        <v>1241659.7</v>
      </c>
      <c r="M189" s="323">
        <f t="shared" si="4"/>
        <v>16194643.849999996</v>
      </c>
      <c r="N189" s="380">
        <v>25768.5</v>
      </c>
      <c r="O189" s="380">
        <v>56023.8</v>
      </c>
      <c r="P189" s="380">
        <v>1095794.3</v>
      </c>
      <c r="Q189" s="380">
        <v>-3967.2</v>
      </c>
      <c r="R189" s="380">
        <v>1039147.95</v>
      </c>
      <c r="S189" s="368">
        <v>10210.36</v>
      </c>
      <c r="T189" s="430">
        <f t="shared" si="5"/>
        <v>18417621.559999995</v>
      </c>
      <c r="U189" s="381">
        <v>55.5</v>
      </c>
      <c r="V189" s="384">
        <v>3001</v>
      </c>
      <c r="W189" s="427">
        <v>4758.5200000000004</v>
      </c>
      <c r="X189" s="433"/>
      <c r="Y189" s="433">
        <v>-30955.25</v>
      </c>
      <c r="Z189" s="438">
        <v>1.3</v>
      </c>
    </row>
    <row r="190" spans="1:26" x14ac:dyDescent="0.25">
      <c r="A190" s="329">
        <v>5712</v>
      </c>
      <c r="B190" s="447" t="s">
        <v>222</v>
      </c>
      <c r="C190" s="378">
        <v>11157052.970000001</v>
      </c>
      <c r="D190" s="378">
        <v>4214779.21</v>
      </c>
      <c r="E190" s="378"/>
      <c r="F190" s="497"/>
      <c r="G190" s="378">
        <v>134589.29999999999</v>
      </c>
      <c r="H190" s="378">
        <v>36444.9</v>
      </c>
      <c r="I190" s="378">
        <v>1088137.19</v>
      </c>
      <c r="J190" s="378">
        <v>-86074.68</v>
      </c>
      <c r="K190" s="378">
        <v>25170.5</v>
      </c>
      <c r="L190" s="378">
        <v>1810541.7</v>
      </c>
      <c r="M190" s="323">
        <f t="shared" si="4"/>
        <v>18380641.09</v>
      </c>
      <c r="N190" s="380">
        <v>136878.75</v>
      </c>
      <c r="O190" s="380">
        <v>510250</v>
      </c>
      <c r="P190" s="380">
        <v>972593.2</v>
      </c>
      <c r="Q190" s="380">
        <v>2167.21</v>
      </c>
      <c r="R190" s="380">
        <v>570732.44999999995</v>
      </c>
      <c r="S190" s="368">
        <v>19371.7</v>
      </c>
      <c r="T190" s="430">
        <f t="shared" si="5"/>
        <v>20592634.399999999</v>
      </c>
      <c r="U190" s="381">
        <v>53</v>
      </c>
      <c r="V190" s="384">
        <v>3211</v>
      </c>
      <c r="W190" s="427">
        <v>-56289.72</v>
      </c>
      <c r="X190" s="433"/>
      <c r="Y190" s="433">
        <v>-53393.47</v>
      </c>
      <c r="Z190" s="438">
        <v>1.5</v>
      </c>
    </row>
    <row r="191" spans="1:26" x14ac:dyDescent="0.25">
      <c r="A191" s="329">
        <v>5713</v>
      </c>
      <c r="B191" s="447" t="s">
        <v>604</v>
      </c>
      <c r="C191" s="378">
        <v>9731853.0800000001</v>
      </c>
      <c r="D191" s="378">
        <v>5268318.41</v>
      </c>
      <c r="E191" s="378"/>
      <c r="F191" s="497"/>
      <c r="G191" s="378">
        <v>39949.9</v>
      </c>
      <c r="H191" s="378">
        <v>9549.85</v>
      </c>
      <c r="I191" s="378">
        <v>535479.17000000004</v>
      </c>
      <c r="J191" s="378">
        <v>541679.1</v>
      </c>
      <c r="K191" s="378">
        <v>18938.05</v>
      </c>
      <c r="L191" s="378">
        <v>898983.85</v>
      </c>
      <c r="M191" s="323">
        <f t="shared" si="4"/>
        <v>17044751.41</v>
      </c>
      <c r="N191" s="380">
        <v>40096.699999999997</v>
      </c>
      <c r="O191" s="380">
        <v>1474721.4</v>
      </c>
      <c r="P191" s="380">
        <v>677094</v>
      </c>
      <c r="Q191" s="380">
        <v>3865.85</v>
      </c>
      <c r="R191" s="380">
        <v>1134337.6000000001</v>
      </c>
      <c r="S191" s="368">
        <v>5606.45</v>
      </c>
      <c r="T191" s="430">
        <f t="shared" si="5"/>
        <v>20380473.41</v>
      </c>
      <c r="U191" s="381">
        <v>56</v>
      </c>
      <c r="V191" s="384">
        <v>2373</v>
      </c>
      <c r="W191" s="427">
        <v>-10790.21</v>
      </c>
      <c r="X191" s="433"/>
      <c r="Y191" s="433">
        <v>-103164.71</v>
      </c>
      <c r="Z191" s="438">
        <v>1</v>
      </c>
    </row>
    <row r="192" spans="1:26" x14ac:dyDescent="0.25">
      <c r="A192" s="329">
        <v>5714</v>
      </c>
      <c r="B192" s="447" t="s">
        <v>223</v>
      </c>
      <c r="C192" s="378">
        <v>3125593.81</v>
      </c>
      <c r="D192" s="378">
        <v>568137.09</v>
      </c>
      <c r="E192" s="378"/>
      <c r="F192" s="497"/>
      <c r="G192" s="378">
        <v>45794.8</v>
      </c>
      <c r="H192" s="378">
        <v>1315.65</v>
      </c>
      <c r="I192" s="378">
        <v>111001</v>
      </c>
      <c r="J192" s="378">
        <v>72501.87</v>
      </c>
      <c r="K192" s="378">
        <v>7238.3</v>
      </c>
      <c r="L192" s="378">
        <v>296056.65000000002</v>
      </c>
      <c r="M192" s="323">
        <f t="shared" si="4"/>
        <v>4227639.17</v>
      </c>
      <c r="N192" s="380">
        <v>144109.9</v>
      </c>
      <c r="O192" s="380">
        <v>3583.5</v>
      </c>
      <c r="P192" s="380">
        <v>410571.7</v>
      </c>
      <c r="Q192" s="380">
        <v>3088.67</v>
      </c>
      <c r="R192" s="380">
        <v>201409.35</v>
      </c>
      <c r="S192" s="368">
        <v>5335.83</v>
      </c>
      <c r="T192" s="430">
        <f t="shared" si="5"/>
        <v>4995738.12</v>
      </c>
      <c r="U192" s="381">
        <v>68</v>
      </c>
      <c r="V192" s="384">
        <v>1228</v>
      </c>
      <c r="W192" s="427">
        <v>-7574.24</v>
      </c>
      <c r="X192" s="433"/>
      <c r="Y192" s="433">
        <v>-3239.4</v>
      </c>
      <c r="Z192" s="438">
        <v>1</v>
      </c>
    </row>
    <row r="193" spans="1:26" x14ac:dyDescent="0.25">
      <c r="A193" s="329">
        <v>5715</v>
      </c>
      <c r="B193" s="447" t="s">
        <v>224</v>
      </c>
      <c r="C193" s="378">
        <v>3624742.75</v>
      </c>
      <c r="D193" s="378">
        <v>678519.88</v>
      </c>
      <c r="E193" s="378"/>
      <c r="F193" s="497"/>
      <c r="G193" s="378">
        <v>39191.1</v>
      </c>
      <c r="H193" s="378">
        <v>5460.7</v>
      </c>
      <c r="I193" s="378"/>
      <c r="J193" s="378">
        <v>38423.9</v>
      </c>
      <c r="K193" s="378">
        <v>2974.5</v>
      </c>
      <c r="L193" s="378">
        <v>283485.90000000002</v>
      </c>
      <c r="M193" s="323">
        <f t="shared" si="4"/>
        <v>4672798.7300000004</v>
      </c>
      <c r="N193" s="380">
        <v>115813.65</v>
      </c>
      <c r="O193" s="380"/>
      <c r="P193" s="380">
        <v>424957.5</v>
      </c>
      <c r="Q193" s="380">
        <v>1872.64</v>
      </c>
      <c r="R193" s="380">
        <v>431528.05</v>
      </c>
      <c r="S193" s="368">
        <v>5057.3599999999997</v>
      </c>
      <c r="T193" s="430">
        <f t="shared" si="5"/>
        <v>5652027.9300000006</v>
      </c>
      <c r="U193" s="381">
        <v>66</v>
      </c>
      <c r="V193" s="384">
        <v>1146</v>
      </c>
      <c r="W193" s="427">
        <v>-31477.46</v>
      </c>
      <c r="X193" s="433"/>
      <c r="Y193" s="433">
        <v>-2172.73</v>
      </c>
      <c r="Z193" s="438">
        <v>1</v>
      </c>
    </row>
    <row r="194" spans="1:26" x14ac:dyDescent="0.25">
      <c r="A194" s="329">
        <v>5716</v>
      </c>
      <c r="B194" s="447" t="s">
        <v>225</v>
      </c>
      <c r="C194" s="378">
        <v>4008259.29</v>
      </c>
      <c r="D194" s="378">
        <v>643318.18999999994</v>
      </c>
      <c r="E194" s="378"/>
      <c r="F194" s="497"/>
      <c r="G194" s="378">
        <v>5491211.5</v>
      </c>
      <c r="H194" s="378">
        <v>1180097.6499999999</v>
      </c>
      <c r="I194" s="378"/>
      <c r="J194" s="378">
        <v>300606.15000000002</v>
      </c>
      <c r="K194" s="378">
        <v>115376.75</v>
      </c>
      <c r="L194" s="378">
        <v>713756.25</v>
      </c>
      <c r="M194" s="323">
        <f t="shared" si="4"/>
        <v>12452625.780000001</v>
      </c>
      <c r="N194" s="380">
        <v>412218.95</v>
      </c>
      <c r="O194" s="380">
        <v>6939.6</v>
      </c>
      <c r="P194" s="380">
        <v>127321.35</v>
      </c>
      <c r="Q194" s="380">
        <v>5265.49</v>
      </c>
      <c r="R194" s="380">
        <v>64215.8</v>
      </c>
      <c r="S194" s="368">
        <v>755606.65</v>
      </c>
      <c r="T194" s="430">
        <f t="shared" si="5"/>
        <v>13824193.620000001</v>
      </c>
      <c r="U194" s="381">
        <v>59.5</v>
      </c>
      <c r="V194" s="384">
        <v>1736</v>
      </c>
      <c r="W194" s="427">
        <v>-743221.16</v>
      </c>
      <c r="X194" s="433"/>
      <c r="Y194" s="433">
        <v>-340941.98</v>
      </c>
      <c r="Z194" s="438">
        <v>1</v>
      </c>
    </row>
    <row r="195" spans="1:26" x14ac:dyDescent="0.25">
      <c r="A195" s="329">
        <v>5717</v>
      </c>
      <c r="B195" s="447" t="s">
        <v>226</v>
      </c>
      <c r="C195" s="378">
        <v>14415358.99</v>
      </c>
      <c r="D195" s="378">
        <v>5107414.2699999996</v>
      </c>
      <c r="E195" s="378"/>
      <c r="F195" s="497"/>
      <c r="G195" s="378">
        <v>148547.6</v>
      </c>
      <c r="H195" s="378">
        <v>31927.599999999999</v>
      </c>
      <c r="I195" s="378">
        <v>1014904.3</v>
      </c>
      <c r="J195" s="378">
        <v>262009.59</v>
      </c>
      <c r="K195" s="378">
        <v>51020</v>
      </c>
      <c r="L195" s="378">
        <v>1365887.4</v>
      </c>
      <c r="M195" s="323">
        <f t="shared" si="4"/>
        <v>22397069.75</v>
      </c>
      <c r="N195" s="380">
        <v>202572.75</v>
      </c>
      <c r="O195" s="380">
        <v>69451</v>
      </c>
      <c r="P195" s="380">
        <v>1000159.2</v>
      </c>
      <c r="Q195" s="380">
        <v>3672.1</v>
      </c>
      <c r="R195" s="380">
        <v>596113.35</v>
      </c>
      <c r="S195" s="368">
        <v>20441</v>
      </c>
      <c r="T195" s="430">
        <f t="shared" si="5"/>
        <v>24289479.150000002</v>
      </c>
      <c r="U195" s="381">
        <v>57</v>
      </c>
      <c r="V195" s="384">
        <v>3822</v>
      </c>
      <c r="W195" s="427">
        <v>-56354.57</v>
      </c>
      <c r="X195" s="433"/>
      <c r="Y195" s="433">
        <v>-93291.24</v>
      </c>
      <c r="Z195" s="438">
        <v>1</v>
      </c>
    </row>
    <row r="196" spans="1:26" x14ac:dyDescent="0.25">
      <c r="A196" s="329">
        <v>5718</v>
      </c>
      <c r="B196" s="447" t="s">
        <v>227</v>
      </c>
      <c r="C196" s="378">
        <v>7507829.5300000003</v>
      </c>
      <c r="D196" s="378">
        <v>1803726.88</v>
      </c>
      <c r="E196" s="378"/>
      <c r="F196" s="497"/>
      <c r="G196" s="378">
        <v>233403.3</v>
      </c>
      <c r="H196" s="378">
        <v>28232.799999999999</v>
      </c>
      <c r="I196" s="378">
        <v>204264.25</v>
      </c>
      <c r="J196" s="378">
        <v>52761.65</v>
      </c>
      <c r="K196" s="378">
        <v>43944.1</v>
      </c>
      <c r="L196" s="378">
        <v>708104.75</v>
      </c>
      <c r="M196" s="323">
        <f t="shared" si="4"/>
        <v>10582267.260000002</v>
      </c>
      <c r="N196" s="380">
        <v>221075.95</v>
      </c>
      <c r="O196" s="380">
        <v>106136.4</v>
      </c>
      <c r="P196" s="380">
        <v>585089.19999999995</v>
      </c>
      <c r="Q196" s="380">
        <v>5302.28</v>
      </c>
      <c r="R196" s="380">
        <v>543922.30000000005</v>
      </c>
      <c r="S196" s="368">
        <v>29633.46</v>
      </c>
      <c r="T196" s="430">
        <f t="shared" si="5"/>
        <v>12073426.850000001</v>
      </c>
      <c r="U196" s="381">
        <v>55</v>
      </c>
      <c r="V196" s="384">
        <v>2022</v>
      </c>
      <c r="W196" s="427">
        <v>-33872.870000000003</v>
      </c>
      <c r="X196" s="433"/>
      <c r="Y196" s="433">
        <v>-8228.6299999999992</v>
      </c>
      <c r="Z196" s="438">
        <v>1</v>
      </c>
    </row>
    <row r="197" spans="1:26" x14ac:dyDescent="0.25">
      <c r="A197" s="329">
        <v>5719</v>
      </c>
      <c r="B197" s="447" t="s">
        <v>228</v>
      </c>
      <c r="C197" s="378">
        <v>5281741.63</v>
      </c>
      <c r="D197" s="378">
        <v>3102358.23</v>
      </c>
      <c r="E197" s="378"/>
      <c r="F197" s="497"/>
      <c r="G197" s="378">
        <v>65129.75</v>
      </c>
      <c r="H197" s="378">
        <v>1421.85</v>
      </c>
      <c r="I197" s="378">
        <v>131790.54999999999</v>
      </c>
      <c r="J197" s="378">
        <v>65374.67</v>
      </c>
      <c r="K197" s="378">
        <v>11673.3</v>
      </c>
      <c r="L197" s="378">
        <v>255215.7</v>
      </c>
      <c r="M197" s="323">
        <f t="shared" si="4"/>
        <v>8914705.6799999997</v>
      </c>
      <c r="N197" s="380">
        <v>49842.05</v>
      </c>
      <c r="O197" s="380">
        <v>9290.4</v>
      </c>
      <c r="P197" s="380">
        <v>451399.6</v>
      </c>
      <c r="Q197" s="380"/>
      <c r="R197" s="380">
        <v>312599.34999999998</v>
      </c>
      <c r="S197" s="368">
        <v>7537.78</v>
      </c>
      <c r="T197" s="430">
        <f t="shared" si="5"/>
        <v>9745374.8599999994</v>
      </c>
      <c r="U197" s="381">
        <v>60</v>
      </c>
      <c r="V197" s="384">
        <v>1265</v>
      </c>
      <c r="W197" s="427">
        <v>-7404.84</v>
      </c>
      <c r="X197" s="433"/>
      <c r="Y197" s="433">
        <v>-7328.09</v>
      </c>
      <c r="Z197" s="438">
        <v>0.6</v>
      </c>
    </row>
    <row r="198" spans="1:26" x14ac:dyDescent="0.25">
      <c r="A198" s="329">
        <v>5720</v>
      </c>
      <c r="B198" s="447" t="s">
        <v>229</v>
      </c>
      <c r="C198" s="378">
        <v>3360593.04</v>
      </c>
      <c r="D198" s="378">
        <v>880078.36</v>
      </c>
      <c r="E198" s="378"/>
      <c r="F198" s="497"/>
      <c r="G198" s="378">
        <v>-5053.05</v>
      </c>
      <c r="H198" s="378">
        <v>9839.65</v>
      </c>
      <c r="I198" s="378">
        <v>430543.2</v>
      </c>
      <c r="J198" s="378">
        <v>27421.4</v>
      </c>
      <c r="K198" s="378"/>
      <c r="L198" s="378">
        <v>289392.05</v>
      </c>
      <c r="M198" s="323">
        <f t="shared" ref="M198:M261" si="6">SUM(C198:L198)</f>
        <v>4992814.6500000013</v>
      </c>
      <c r="N198" s="380">
        <v>16468.349999999999</v>
      </c>
      <c r="O198" s="380"/>
      <c r="P198" s="380">
        <v>303627.40000000002</v>
      </c>
      <c r="Q198" s="380">
        <v>16691.669999999998</v>
      </c>
      <c r="R198" s="380">
        <v>229048.7</v>
      </c>
      <c r="S198" s="368">
        <v>542.14</v>
      </c>
      <c r="T198" s="430">
        <f t="shared" si="5"/>
        <v>5559192.9100000011</v>
      </c>
      <c r="U198" s="381">
        <v>67</v>
      </c>
      <c r="V198" s="384">
        <v>1010</v>
      </c>
      <c r="W198" s="427">
        <v>-26363.84</v>
      </c>
      <c r="X198" s="433"/>
      <c r="Y198" s="433">
        <v>-4920.6899999999996</v>
      </c>
      <c r="Z198" s="438">
        <v>0.9</v>
      </c>
    </row>
    <row r="199" spans="1:26" x14ac:dyDescent="0.25">
      <c r="A199" s="329">
        <v>5721</v>
      </c>
      <c r="B199" s="447" t="s">
        <v>230</v>
      </c>
      <c r="C199" s="378">
        <v>25391683.48</v>
      </c>
      <c r="D199" s="378">
        <v>6426019.4800000004</v>
      </c>
      <c r="E199" s="378"/>
      <c r="F199" s="497"/>
      <c r="G199" s="378">
        <v>6298764.7999999998</v>
      </c>
      <c r="H199" s="378">
        <v>492362.9</v>
      </c>
      <c r="I199" s="378">
        <v>724657.05</v>
      </c>
      <c r="J199" s="378">
        <v>823754.6</v>
      </c>
      <c r="K199" s="378">
        <v>561432.44999999995</v>
      </c>
      <c r="L199" s="378">
        <v>2970191.8</v>
      </c>
      <c r="M199" s="323">
        <f t="shared" si="6"/>
        <v>43688866.559999995</v>
      </c>
      <c r="N199" s="380">
        <v>2270512.4</v>
      </c>
      <c r="O199" s="380">
        <v>234150.9</v>
      </c>
      <c r="P199" s="380">
        <v>1971826</v>
      </c>
      <c r="Q199" s="380">
        <v>63811.65</v>
      </c>
      <c r="R199" s="380">
        <v>1483161.4</v>
      </c>
      <c r="S199" s="368">
        <v>769177.55</v>
      </c>
      <c r="T199" s="430">
        <f t="shared" ref="T199:T262" si="7">SUM(M199:S199)</f>
        <v>50481506.459999986</v>
      </c>
      <c r="U199" s="381">
        <v>61</v>
      </c>
      <c r="V199" s="384">
        <v>13306</v>
      </c>
      <c r="W199" s="427">
        <v>-387058.15</v>
      </c>
      <c r="X199" s="433"/>
      <c r="Y199" s="433">
        <v>-30345.08</v>
      </c>
      <c r="Z199" s="438">
        <v>1</v>
      </c>
    </row>
    <row r="200" spans="1:26" x14ac:dyDescent="0.25">
      <c r="A200" s="329">
        <v>5722</v>
      </c>
      <c r="B200" s="447" t="s">
        <v>231</v>
      </c>
      <c r="C200" s="378">
        <v>1036620.02</v>
      </c>
      <c r="D200" s="378">
        <v>238932.55</v>
      </c>
      <c r="E200" s="378"/>
      <c r="F200" s="497"/>
      <c r="G200" s="378">
        <v>5319.1</v>
      </c>
      <c r="H200" s="378">
        <v>4176.6499999999996</v>
      </c>
      <c r="I200" s="378"/>
      <c r="J200" s="378">
        <v>9244.85</v>
      </c>
      <c r="K200" s="378">
        <v>6180.6</v>
      </c>
      <c r="L200" s="378">
        <v>88762.05</v>
      </c>
      <c r="M200" s="323">
        <f t="shared" si="6"/>
        <v>1389235.8200000003</v>
      </c>
      <c r="N200" s="380">
        <v>13044.45</v>
      </c>
      <c r="O200" s="380"/>
      <c r="P200" s="380">
        <v>4746.8999999999996</v>
      </c>
      <c r="Q200" s="380">
        <v>1639.74</v>
      </c>
      <c r="R200" s="380">
        <v>12177.1</v>
      </c>
      <c r="S200" s="368">
        <v>1075.51</v>
      </c>
      <c r="T200" s="430">
        <f t="shared" si="7"/>
        <v>1421919.5200000003</v>
      </c>
      <c r="U200" s="381">
        <v>62</v>
      </c>
      <c r="V200" s="384">
        <v>401</v>
      </c>
      <c r="W200" s="427">
        <v>-6795.66</v>
      </c>
      <c r="X200" s="433"/>
      <c r="Y200" s="433">
        <v>-1516.22</v>
      </c>
      <c r="Z200" s="438">
        <v>1</v>
      </c>
    </row>
    <row r="201" spans="1:26" x14ac:dyDescent="0.25">
      <c r="A201" s="329">
        <v>5723</v>
      </c>
      <c r="B201" s="447" t="s">
        <v>232</v>
      </c>
      <c r="C201" s="378">
        <v>8870351.4299999997</v>
      </c>
      <c r="D201" s="378">
        <v>2173703.41</v>
      </c>
      <c r="E201" s="378"/>
      <c r="F201" s="497"/>
      <c r="G201" s="378">
        <v>154959.65</v>
      </c>
      <c r="H201" s="378">
        <v>18528.400000000001</v>
      </c>
      <c r="I201" s="378">
        <v>611612.88</v>
      </c>
      <c r="J201" s="378">
        <v>69587.520000000004</v>
      </c>
      <c r="K201" s="378">
        <v>45951.85</v>
      </c>
      <c r="L201" s="378">
        <v>883436.8</v>
      </c>
      <c r="M201" s="323">
        <f t="shared" si="6"/>
        <v>12828131.940000001</v>
      </c>
      <c r="N201" s="380">
        <v>267148.3</v>
      </c>
      <c r="O201" s="380">
        <v>136241.60000000001</v>
      </c>
      <c r="P201" s="380">
        <v>1358053.1</v>
      </c>
      <c r="Q201" s="380">
        <v>2133.86</v>
      </c>
      <c r="R201" s="380">
        <v>1694542.35</v>
      </c>
      <c r="S201" s="368">
        <v>19649.63</v>
      </c>
      <c r="T201" s="430">
        <f t="shared" si="7"/>
        <v>16305900.780000001</v>
      </c>
      <c r="U201" s="381">
        <v>52</v>
      </c>
      <c r="V201" s="384">
        <v>2195</v>
      </c>
      <c r="W201" s="427">
        <v>-28842.3</v>
      </c>
      <c r="X201" s="433"/>
      <c r="Y201" s="433">
        <v>-30381.17</v>
      </c>
      <c r="Z201" s="438">
        <v>1</v>
      </c>
    </row>
    <row r="202" spans="1:26" x14ac:dyDescent="0.25">
      <c r="A202" s="329">
        <v>5724</v>
      </c>
      <c r="B202" s="447" t="s">
        <v>68</v>
      </c>
      <c r="C202" s="378">
        <v>59215357.869999997</v>
      </c>
      <c r="D202" s="378">
        <v>10725291.310000001</v>
      </c>
      <c r="E202" s="378"/>
      <c r="F202" s="497"/>
      <c r="G202" s="378">
        <v>7668966.0999999996</v>
      </c>
      <c r="H202" s="378">
        <v>772783.1</v>
      </c>
      <c r="I202" s="378">
        <v>1696649.13</v>
      </c>
      <c r="J202" s="378">
        <v>2858634.74</v>
      </c>
      <c r="K202" s="378">
        <v>871263.4</v>
      </c>
      <c r="L202" s="378">
        <v>8435196.8499999996</v>
      </c>
      <c r="M202" s="323">
        <f t="shared" si="6"/>
        <v>92244142.49999997</v>
      </c>
      <c r="N202" s="380">
        <v>5207617.95</v>
      </c>
      <c r="O202" s="380">
        <v>3136048.1</v>
      </c>
      <c r="P202" s="380">
        <v>4698565.8</v>
      </c>
      <c r="Q202" s="380">
        <v>209728.74</v>
      </c>
      <c r="R202" s="380">
        <v>2607909.7000000002</v>
      </c>
      <c r="S202" s="368">
        <v>956130.45</v>
      </c>
      <c r="T202" s="430">
        <f t="shared" si="7"/>
        <v>109060143.23999996</v>
      </c>
      <c r="U202" s="381">
        <v>61</v>
      </c>
      <c r="V202" s="384">
        <v>22124</v>
      </c>
      <c r="W202" s="427">
        <v>-785292.09</v>
      </c>
      <c r="X202" s="433"/>
      <c r="Y202" s="433">
        <v>-638722.21</v>
      </c>
      <c r="Z202" s="438">
        <v>1.5</v>
      </c>
    </row>
    <row r="203" spans="1:26" x14ac:dyDescent="0.25">
      <c r="A203" s="329">
        <v>5725</v>
      </c>
      <c r="B203" s="447" t="s">
        <v>69</v>
      </c>
      <c r="C203" s="378">
        <v>12558963.560000001</v>
      </c>
      <c r="D203" s="378">
        <v>3412445.7</v>
      </c>
      <c r="E203" s="378"/>
      <c r="F203" s="497"/>
      <c r="G203" s="378">
        <v>1853545.4</v>
      </c>
      <c r="H203" s="378">
        <v>22437.200000000001</v>
      </c>
      <c r="I203" s="378">
        <v>273222.59999999998</v>
      </c>
      <c r="J203" s="378">
        <v>35398.269999999997</v>
      </c>
      <c r="K203" s="378">
        <v>72188.800000000003</v>
      </c>
      <c r="L203" s="378">
        <v>1674767.95</v>
      </c>
      <c r="M203" s="323">
        <f t="shared" si="6"/>
        <v>19902969.48</v>
      </c>
      <c r="N203" s="380">
        <v>1315566.8999999999</v>
      </c>
      <c r="O203" s="380">
        <v>119069.2</v>
      </c>
      <c r="P203" s="380">
        <v>745850.1</v>
      </c>
      <c r="Q203" s="380">
        <v>9165.94</v>
      </c>
      <c r="R203" s="380">
        <v>445664.65</v>
      </c>
      <c r="S203" s="368">
        <v>212477.78</v>
      </c>
      <c r="T203" s="430">
        <f t="shared" si="7"/>
        <v>22750764.050000001</v>
      </c>
      <c r="U203" s="381">
        <v>55</v>
      </c>
      <c r="V203" s="384">
        <v>4060</v>
      </c>
      <c r="W203" s="427">
        <v>-85048.31</v>
      </c>
      <c r="X203" s="433"/>
      <c r="Y203" s="433">
        <v>-31517.41</v>
      </c>
      <c r="Z203" s="438">
        <v>1.4</v>
      </c>
    </row>
    <row r="204" spans="1:26" x14ac:dyDescent="0.25">
      <c r="A204" s="329">
        <v>5726</v>
      </c>
      <c r="B204" s="447" t="s">
        <v>311</v>
      </c>
      <c r="C204" s="378">
        <v>3463010.82</v>
      </c>
      <c r="D204" s="378">
        <v>782186.88</v>
      </c>
      <c r="E204" s="378"/>
      <c r="F204" s="497"/>
      <c r="G204" s="378">
        <v>39570.400000000001</v>
      </c>
      <c r="H204" s="378">
        <v>2876.35</v>
      </c>
      <c r="I204" s="378"/>
      <c r="J204" s="378">
        <v>-49286.12</v>
      </c>
      <c r="K204" s="378">
        <v>6470.65</v>
      </c>
      <c r="L204" s="378">
        <v>273832</v>
      </c>
      <c r="M204" s="323">
        <f t="shared" si="6"/>
        <v>4518660.9800000004</v>
      </c>
      <c r="N204" s="380">
        <v>42138.55</v>
      </c>
      <c r="O204" s="380"/>
      <c r="P204" s="380">
        <v>244670.95</v>
      </c>
      <c r="Q204" s="380"/>
      <c r="R204" s="380">
        <v>223588</v>
      </c>
      <c r="S204" s="368">
        <v>4807.6099999999997</v>
      </c>
      <c r="T204" s="430">
        <f t="shared" si="7"/>
        <v>5033866.0900000008</v>
      </c>
      <c r="U204" s="381">
        <v>64</v>
      </c>
      <c r="V204" s="384">
        <v>1165</v>
      </c>
      <c r="W204" s="427">
        <v>-9014.5300000000007</v>
      </c>
      <c r="X204" s="433"/>
      <c r="Y204" s="433">
        <v>-11000</v>
      </c>
      <c r="Z204" s="438">
        <v>1</v>
      </c>
    </row>
    <row r="205" spans="1:26" x14ac:dyDescent="0.25">
      <c r="A205" s="329">
        <v>5727</v>
      </c>
      <c r="B205" s="447" t="s">
        <v>312</v>
      </c>
      <c r="C205" s="378">
        <v>5229657.21</v>
      </c>
      <c r="D205" s="378">
        <v>987107.66</v>
      </c>
      <c r="E205" s="378"/>
      <c r="F205" s="497"/>
      <c r="G205" s="378">
        <v>11026.65</v>
      </c>
      <c r="H205" s="378">
        <v>26498.35</v>
      </c>
      <c r="I205" s="378">
        <v>125706.95</v>
      </c>
      <c r="J205" s="378">
        <v>172741.08</v>
      </c>
      <c r="K205" s="378">
        <v>12866.65</v>
      </c>
      <c r="L205" s="378">
        <v>801885.55</v>
      </c>
      <c r="M205" s="323">
        <f t="shared" si="6"/>
        <v>7367490.1000000006</v>
      </c>
      <c r="N205" s="380">
        <v>182727.2</v>
      </c>
      <c r="O205" s="380">
        <v>198753.2</v>
      </c>
      <c r="P205" s="380">
        <v>722230.4</v>
      </c>
      <c r="Q205" s="380">
        <v>40135.339999999997</v>
      </c>
      <c r="R205" s="380">
        <v>442501.1</v>
      </c>
      <c r="S205" s="368">
        <v>4250.16</v>
      </c>
      <c r="T205" s="430">
        <f t="shared" si="7"/>
        <v>8958087.5</v>
      </c>
      <c r="U205" s="381">
        <v>66</v>
      </c>
      <c r="V205" s="384">
        <v>2755</v>
      </c>
      <c r="W205" s="427">
        <v>-131519.56</v>
      </c>
      <c r="X205" s="433"/>
      <c r="Y205" s="433">
        <v>-5622.79</v>
      </c>
      <c r="Z205" s="438">
        <v>1.5</v>
      </c>
    </row>
    <row r="206" spans="1:26" x14ac:dyDescent="0.25">
      <c r="A206" s="329">
        <v>5728</v>
      </c>
      <c r="B206" s="447" t="s">
        <v>313</v>
      </c>
      <c r="C206" s="378">
        <v>1713412.53</v>
      </c>
      <c r="D206" s="378">
        <v>274303.61</v>
      </c>
      <c r="E206" s="378"/>
      <c r="F206" s="497"/>
      <c r="G206" s="378">
        <v>817335.5</v>
      </c>
      <c r="H206" s="378">
        <v>6927.6</v>
      </c>
      <c r="I206" s="378">
        <v>35307.15</v>
      </c>
      <c r="J206" s="378">
        <v>59682.92</v>
      </c>
      <c r="K206" s="378">
        <v>56802.45</v>
      </c>
      <c r="L206" s="378">
        <v>239718</v>
      </c>
      <c r="M206" s="323">
        <f t="shared" si="6"/>
        <v>3203489.7600000002</v>
      </c>
      <c r="N206" s="380">
        <v>172706.65</v>
      </c>
      <c r="O206" s="380"/>
      <c r="P206" s="380">
        <v>155631.04999999999</v>
      </c>
      <c r="Q206" s="380"/>
      <c r="R206" s="380">
        <v>94214.6</v>
      </c>
      <c r="S206" s="368">
        <v>93357.79</v>
      </c>
      <c r="T206" s="430">
        <f t="shared" si="7"/>
        <v>3719399.85</v>
      </c>
      <c r="U206" s="381">
        <v>58</v>
      </c>
      <c r="V206" s="384">
        <v>584</v>
      </c>
      <c r="W206" s="427">
        <v>-20737.400000000001</v>
      </c>
      <c r="X206" s="433"/>
      <c r="Y206" s="433">
        <v>-442.63</v>
      </c>
      <c r="Z206" s="438">
        <v>1</v>
      </c>
    </row>
    <row r="207" spans="1:26" x14ac:dyDescent="0.25">
      <c r="A207" s="329">
        <v>5729</v>
      </c>
      <c r="B207" s="447" t="s">
        <v>314</v>
      </c>
      <c r="C207" s="378">
        <v>6904824.8399999999</v>
      </c>
      <c r="D207" s="378">
        <v>1748911.51</v>
      </c>
      <c r="E207" s="378"/>
      <c r="F207" s="497"/>
      <c r="G207" s="378">
        <v>238609.15</v>
      </c>
      <c r="H207" s="378">
        <v>98506.65</v>
      </c>
      <c r="I207" s="378">
        <v>175769.27</v>
      </c>
      <c r="J207" s="378">
        <v>44851.68</v>
      </c>
      <c r="K207" s="378">
        <v>4623.75</v>
      </c>
      <c r="L207" s="378">
        <v>900935.2</v>
      </c>
      <c r="M207" s="323">
        <f t="shared" si="6"/>
        <v>10117032.049999999</v>
      </c>
      <c r="N207" s="380">
        <v>17196.75</v>
      </c>
      <c r="O207" s="380">
        <v>3761.9</v>
      </c>
      <c r="P207" s="380">
        <v>755997.9</v>
      </c>
      <c r="Q207" s="380"/>
      <c r="R207" s="380">
        <v>494127.3</v>
      </c>
      <c r="S207" s="368">
        <v>38182.449999999997</v>
      </c>
      <c r="T207" s="430">
        <f t="shared" si="7"/>
        <v>11426298.35</v>
      </c>
      <c r="U207" s="381">
        <v>60.5</v>
      </c>
      <c r="V207" s="384">
        <v>1644</v>
      </c>
      <c r="W207" s="427">
        <v>-56959.65</v>
      </c>
      <c r="X207" s="433"/>
      <c r="Y207" s="433">
        <v>-15816.67</v>
      </c>
      <c r="Z207" s="438">
        <v>1.5</v>
      </c>
    </row>
    <row r="208" spans="1:26" x14ac:dyDescent="0.25">
      <c r="A208" s="329">
        <v>5730</v>
      </c>
      <c r="B208" s="447" t="s">
        <v>315</v>
      </c>
      <c r="C208" s="378">
        <v>5096159.6500000004</v>
      </c>
      <c r="D208" s="378">
        <v>1555840.11</v>
      </c>
      <c r="E208" s="378"/>
      <c r="F208" s="497"/>
      <c r="G208" s="378">
        <v>19194.349999999999</v>
      </c>
      <c r="H208" s="378">
        <v>2643.35</v>
      </c>
      <c r="I208" s="378">
        <v>-58921.7</v>
      </c>
      <c r="J208" s="378">
        <v>27005.279999999999</v>
      </c>
      <c r="K208" s="378">
        <v>7569.7</v>
      </c>
      <c r="L208" s="378">
        <v>415230.55</v>
      </c>
      <c r="M208" s="323">
        <f t="shared" si="6"/>
        <v>7064721.29</v>
      </c>
      <c r="N208" s="380">
        <v>18029.25</v>
      </c>
      <c r="O208" s="380"/>
      <c r="P208" s="380">
        <v>487547.55</v>
      </c>
      <c r="Q208" s="380">
        <v>1308.8399999999999</v>
      </c>
      <c r="R208" s="380">
        <v>1066158.05</v>
      </c>
      <c r="S208" s="368">
        <v>2473.38</v>
      </c>
      <c r="T208" s="430">
        <f t="shared" si="7"/>
        <v>8640238.3600000013</v>
      </c>
      <c r="U208" s="381">
        <v>55.5</v>
      </c>
      <c r="V208" s="384">
        <v>1439</v>
      </c>
      <c r="W208" s="427">
        <v>-63456.639999999999</v>
      </c>
      <c r="X208" s="433"/>
      <c r="Y208" s="433">
        <v>-108930.09</v>
      </c>
      <c r="Z208" s="438">
        <v>0.9</v>
      </c>
    </row>
    <row r="209" spans="1:26" x14ac:dyDescent="0.25">
      <c r="A209" s="329">
        <v>5731</v>
      </c>
      <c r="B209" s="447" t="s">
        <v>316</v>
      </c>
      <c r="C209" s="378">
        <v>4262686.24</v>
      </c>
      <c r="D209" s="378">
        <v>560405.1</v>
      </c>
      <c r="E209" s="378"/>
      <c r="F209" s="497"/>
      <c r="G209" s="378">
        <v>34539.199999999997</v>
      </c>
      <c r="H209" s="378">
        <v>5059.1000000000004</v>
      </c>
      <c r="I209" s="378"/>
      <c r="J209" s="378">
        <v>29711.61</v>
      </c>
      <c r="K209" s="378">
        <v>3522</v>
      </c>
      <c r="L209" s="378">
        <v>427013.6</v>
      </c>
      <c r="M209" s="323">
        <f t="shared" si="6"/>
        <v>5322936.8499999996</v>
      </c>
      <c r="N209" s="380">
        <v>62795.199999999997</v>
      </c>
      <c r="O209" s="380"/>
      <c r="P209" s="380">
        <v>156017.20000000001</v>
      </c>
      <c r="Q209" s="380">
        <v>-2264.94</v>
      </c>
      <c r="R209" s="380">
        <v>77501.2</v>
      </c>
      <c r="S209" s="368">
        <v>4484.99</v>
      </c>
      <c r="T209" s="430">
        <f t="shared" si="7"/>
        <v>5621470.5</v>
      </c>
      <c r="U209" s="381">
        <v>74</v>
      </c>
      <c r="V209" s="384">
        <v>1387</v>
      </c>
      <c r="W209" s="427">
        <v>-31223.040000000001</v>
      </c>
      <c r="X209" s="433"/>
      <c r="Y209" s="433">
        <v>-1446.61</v>
      </c>
      <c r="Z209" s="438">
        <v>1.5</v>
      </c>
    </row>
    <row r="210" spans="1:26" x14ac:dyDescent="0.25">
      <c r="A210" s="329">
        <v>5732</v>
      </c>
      <c r="B210" s="447" t="s">
        <v>317</v>
      </c>
      <c r="C210" s="378">
        <v>4024331.02</v>
      </c>
      <c r="D210" s="378">
        <v>729824.08</v>
      </c>
      <c r="E210" s="378"/>
      <c r="F210" s="497"/>
      <c r="G210" s="378">
        <v>76710.05</v>
      </c>
      <c r="H210" s="378">
        <v>37762.300000000003</v>
      </c>
      <c r="I210" s="378">
        <v>192467.85</v>
      </c>
      <c r="J210" s="378">
        <v>24472.84</v>
      </c>
      <c r="K210" s="378">
        <v>6779.15</v>
      </c>
      <c r="L210" s="378">
        <v>380711.55</v>
      </c>
      <c r="M210" s="323">
        <f t="shared" si="6"/>
        <v>5473058.8399999989</v>
      </c>
      <c r="N210" s="380">
        <v>129498.6</v>
      </c>
      <c r="O210" s="380"/>
      <c r="P210" s="380">
        <v>143684.9</v>
      </c>
      <c r="Q210" s="380">
        <v>5102.84</v>
      </c>
      <c r="R210" s="380">
        <v>42977.05</v>
      </c>
      <c r="S210" s="368">
        <v>12965.38</v>
      </c>
      <c r="T210" s="430">
        <f t="shared" si="7"/>
        <v>5807287.6099999985</v>
      </c>
      <c r="U210" s="381">
        <v>63</v>
      </c>
      <c r="V210" s="384">
        <v>1157</v>
      </c>
      <c r="W210" s="427">
        <v>-28501.95</v>
      </c>
      <c r="X210" s="433"/>
      <c r="Y210" s="433">
        <v>-10729.12</v>
      </c>
      <c r="Z210" s="438">
        <v>1</v>
      </c>
    </row>
    <row r="211" spans="1:26" x14ac:dyDescent="0.25">
      <c r="A211" s="329">
        <v>5741</v>
      </c>
      <c r="B211" s="447" t="s">
        <v>318</v>
      </c>
      <c r="C211" s="378">
        <v>535454.23</v>
      </c>
      <c r="D211" s="378">
        <v>143915.37</v>
      </c>
      <c r="E211" s="378"/>
      <c r="F211" s="497">
        <v>1450</v>
      </c>
      <c r="G211" s="378">
        <v>3969.9</v>
      </c>
      <c r="H211" s="378">
        <v>1544.9</v>
      </c>
      <c r="I211" s="378"/>
      <c r="J211" s="378">
        <v>46.88</v>
      </c>
      <c r="K211" s="378"/>
      <c r="L211" s="378">
        <v>49734.35</v>
      </c>
      <c r="M211" s="323">
        <f t="shared" si="6"/>
        <v>736115.63</v>
      </c>
      <c r="N211" s="380">
        <v>6322.15</v>
      </c>
      <c r="O211" s="380">
        <v>1828.8</v>
      </c>
      <c r="P211" s="380">
        <v>29084</v>
      </c>
      <c r="Q211" s="380">
        <v>3734.14</v>
      </c>
      <c r="R211" s="380">
        <v>27959.8</v>
      </c>
      <c r="S211" s="368">
        <v>624.62</v>
      </c>
      <c r="T211" s="430">
        <f t="shared" si="7"/>
        <v>805669.14000000013</v>
      </c>
      <c r="U211" s="381">
        <v>81</v>
      </c>
      <c r="V211" s="384">
        <v>254</v>
      </c>
      <c r="W211" s="427">
        <v>-4207.6899999999996</v>
      </c>
      <c r="X211" s="433"/>
      <c r="Y211" s="433">
        <v>0</v>
      </c>
      <c r="Z211" s="438">
        <v>1.2</v>
      </c>
    </row>
    <row r="212" spans="1:26" x14ac:dyDescent="0.25">
      <c r="A212" s="329">
        <v>5742</v>
      </c>
      <c r="B212" s="447" t="s">
        <v>319</v>
      </c>
      <c r="C212" s="378">
        <v>622066.72</v>
      </c>
      <c r="D212" s="378">
        <v>58469.09</v>
      </c>
      <c r="E212" s="378"/>
      <c r="F212" s="497"/>
      <c r="G212" s="378">
        <v>6904.15</v>
      </c>
      <c r="H212" s="378">
        <v>99.8</v>
      </c>
      <c r="I212" s="378"/>
      <c r="J212" s="378">
        <v>23813.74</v>
      </c>
      <c r="K212" s="378">
        <v>1672.3</v>
      </c>
      <c r="L212" s="378">
        <v>29323.45</v>
      </c>
      <c r="M212" s="323">
        <f t="shared" si="6"/>
        <v>742349.25</v>
      </c>
      <c r="N212" s="380">
        <v>2863.2</v>
      </c>
      <c r="O212" s="380">
        <v>2632.2</v>
      </c>
      <c r="P212" s="380">
        <v>173</v>
      </c>
      <c r="Q212" s="380">
        <v>196.51</v>
      </c>
      <c r="R212" s="380"/>
      <c r="S212" s="368">
        <v>793.28</v>
      </c>
      <c r="T212" s="430">
        <f t="shared" si="7"/>
        <v>749007.44</v>
      </c>
      <c r="U212" s="381">
        <v>76</v>
      </c>
      <c r="V212" s="384">
        <v>375</v>
      </c>
      <c r="W212" s="427">
        <v>-497.2</v>
      </c>
      <c r="X212" s="433"/>
      <c r="Y212" s="433">
        <v>0</v>
      </c>
      <c r="Z212" s="438">
        <v>0.5</v>
      </c>
    </row>
    <row r="213" spans="1:26" x14ac:dyDescent="0.25">
      <c r="A213" s="329">
        <v>5743</v>
      </c>
      <c r="B213" s="447" t="s">
        <v>257</v>
      </c>
      <c r="C213" s="378">
        <v>1076504.31</v>
      </c>
      <c r="D213" s="378">
        <v>151597.47</v>
      </c>
      <c r="E213" s="378"/>
      <c r="F213" s="497"/>
      <c r="G213" s="378">
        <v>1767.05</v>
      </c>
      <c r="H213" s="378">
        <v>576.6</v>
      </c>
      <c r="I213" s="378"/>
      <c r="J213" s="378">
        <v>5680.32</v>
      </c>
      <c r="K213" s="378"/>
      <c r="L213" s="378">
        <v>70165.899999999994</v>
      </c>
      <c r="M213" s="323">
        <f t="shared" si="6"/>
        <v>1306291.6500000001</v>
      </c>
      <c r="N213" s="380">
        <v>20766.900000000001</v>
      </c>
      <c r="O213" s="380">
        <v>15172.7</v>
      </c>
      <c r="P213" s="380">
        <v>37230.65</v>
      </c>
      <c r="Q213" s="380">
        <v>1118.93</v>
      </c>
      <c r="R213" s="380">
        <v>29535.65</v>
      </c>
      <c r="S213" s="368">
        <v>265.45</v>
      </c>
      <c r="T213" s="430">
        <f t="shared" si="7"/>
        <v>1410381.9299999997</v>
      </c>
      <c r="U213" s="381">
        <v>71</v>
      </c>
      <c r="V213" s="384">
        <v>665</v>
      </c>
      <c r="W213" s="427">
        <v>-9332.67</v>
      </c>
      <c r="X213" s="433"/>
      <c r="Y213" s="433">
        <v>-33.47</v>
      </c>
      <c r="Z213" s="438">
        <v>0.8</v>
      </c>
    </row>
    <row r="214" spans="1:26" x14ac:dyDescent="0.25">
      <c r="A214" s="329">
        <v>5744</v>
      </c>
      <c r="B214" s="447" t="s">
        <v>258</v>
      </c>
      <c r="C214" s="378">
        <v>1369282.65</v>
      </c>
      <c r="D214" s="378">
        <v>197213.08</v>
      </c>
      <c r="E214" s="378"/>
      <c r="F214" s="497"/>
      <c r="G214" s="378">
        <v>1217030.8</v>
      </c>
      <c r="H214" s="378">
        <v>4432</v>
      </c>
      <c r="I214" s="378"/>
      <c r="J214" s="378">
        <v>112176.62</v>
      </c>
      <c r="K214" s="378"/>
      <c r="L214" s="378">
        <v>190954.7</v>
      </c>
      <c r="M214" s="323">
        <f t="shared" si="6"/>
        <v>3091089.8500000006</v>
      </c>
      <c r="N214" s="380">
        <v>1852198.25</v>
      </c>
      <c r="O214" s="380">
        <v>3917.3</v>
      </c>
      <c r="P214" s="380">
        <v>62469</v>
      </c>
      <c r="Q214" s="380">
        <v>5587.23</v>
      </c>
      <c r="R214" s="380">
        <v>13951.55</v>
      </c>
      <c r="S214" s="368">
        <v>138345.47</v>
      </c>
      <c r="T214" s="430">
        <f t="shared" si="7"/>
        <v>5167558.6500000004</v>
      </c>
      <c r="U214" s="381">
        <v>65</v>
      </c>
      <c r="V214" s="384">
        <v>1173</v>
      </c>
      <c r="W214" s="427">
        <v>-31713.72</v>
      </c>
      <c r="X214" s="433"/>
      <c r="Y214" s="433">
        <v>-2366.9499999999998</v>
      </c>
      <c r="Z214" s="438">
        <v>1</v>
      </c>
    </row>
    <row r="215" spans="1:26" x14ac:dyDescent="0.25">
      <c r="A215" s="329">
        <v>5745</v>
      </c>
      <c r="B215" s="447" t="s">
        <v>259</v>
      </c>
      <c r="C215" s="378">
        <v>1753077.87</v>
      </c>
      <c r="D215" s="378">
        <v>200085.15</v>
      </c>
      <c r="E215" s="378"/>
      <c r="F215" s="497"/>
      <c r="G215" s="378">
        <v>47579.95</v>
      </c>
      <c r="H215" s="378">
        <v>5176.55</v>
      </c>
      <c r="I215" s="378"/>
      <c r="J215" s="378">
        <v>41801.14</v>
      </c>
      <c r="K215" s="378"/>
      <c r="L215" s="378">
        <v>145737.60000000001</v>
      </c>
      <c r="M215" s="323">
        <f t="shared" si="6"/>
        <v>2193458.2599999998</v>
      </c>
      <c r="N215" s="380">
        <v>195912.2</v>
      </c>
      <c r="O215" s="380"/>
      <c r="P215" s="380">
        <v>93065.55</v>
      </c>
      <c r="Q215" s="380"/>
      <c r="R215" s="380">
        <v>129476.2</v>
      </c>
      <c r="S215" s="368">
        <v>5975.31</v>
      </c>
      <c r="T215" s="430">
        <f t="shared" si="7"/>
        <v>2617887.52</v>
      </c>
      <c r="U215" s="381">
        <v>76.5</v>
      </c>
      <c r="V215" s="384">
        <v>1126</v>
      </c>
      <c r="W215" s="427">
        <v>-21357.94</v>
      </c>
      <c r="X215" s="433"/>
      <c r="Y215" s="433">
        <v>-0.36</v>
      </c>
      <c r="Z215" s="438">
        <v>1</v>
      </c>
    </row>
    <row r="216" spans="1:26" x14ac:dyDescent="0.25">
      <c r="A216" s="329">
        <v>5746</v>
      </c>
      <c r="B216" s="447" t="s">
        <v>260</v>
      </c>
      <c r="C216" s="378">
        <v>1714622.69</v>
      </c>
      <c r="D216" s="378">
        <v>152859.97</v>
      </c>
      <c r="E216" s="378"/>
      <c r="F216" s="497"/>
      <c r="G216" s="378">
        <v>-39958.1</v>
      </c>
      <c r="H216" s="378">
        <v>2179.4</v>
      </c>
      <c r="I216" s="378"/>
      <c r="J216" s="378">
        <v>10301.08</v>
      </c>
      <c r="K216" s="378">
        <v>19594.75</v>
      </c>
      <c r="L216" s="378">
        <v>220801.75</v>
      </c>
      <c r="M216" s="323">
        <f t="shared" si="6"/>
        <v>2080401.5399999998</v>
      </c>
      <c r="N216" s="380">
        <v>7548.4</v>
      </c>
      <c r="O216" s="380">
        <v>14077.5</v>
      </c>
      <c r="P216" s="380">
        <v>197365.65</v>
      </c>
      <c r="Q216" s="380">
        <v>2409.41</v>
      </c>
      <c r="R216" s="380">
        <v>123899.5</v>
      </c>
      <c r="S216" s="368">
        <v>-4278.8999999999996</v>
      </c>
      <c r="T216" s="430">
        <f t="shared" si="7"/>
        <v>2421423.0999999996</v>
      </c>
      <c r="U216" s="381">
        <v>73</v>
      </c>
      <c r="V216" s="384">
        <v>978</v>
      </c>
      <c r="W216" s="427">
        <v>-31885.16</v>
      </c>
      <c r="X216" s="433">
        <v>-8895.35</v>
      </c>
      <c r="Y216" s="433">
        <v>-158.13</v>
      </c>
      <c r="Z216" s="438">
        <v>1.2</v>
      </c>
    </row>
    <row r="217" spans="1:26" x14ac:dyDescent="0.25">
      <c r="A217" s="329">
        <v>5747</v>
      </c>
      <c r="B217" s="447" t="s">
        <v>261</v>
      </c>
      <c r="C217" s="378">
        <v>324499.26</v>
      </c>
      <c r="D217" s="378">
        <v>38146.730000000003</v>
      </c>
      <c r="E217" s="378"/>
      <c r="F217" s="497"/>
      <c r="G217" s="378">
        <v>5991.35</v>
      </c>
      <c r="H217" s="378">
        <v>299.45</v>
      </c>
      <c r="I217" s="378"/>
      <c r="J217" s="378">
        <v>4478.57</v>
      </c>
      <c r="K217" s="378"/>
      <c r="L217" s="378">
        <v>32519.1</v>
      </c>
      <c r="M217" s="323">
        <f t="shared" si="6"/>
        <v>405934.45999999996</v>
      </c>
      <c r="N217" s="380">
        <v>602.6</v>
      </c>
      <c r="O217" s="380"/>
      <c r="P217" s="380"/>
      <c r="Q217" s="380">
        <v>3859.6</v>
      </c>
      <c r="R217" s="380"/>
      <c r="S217" s="368">
        <v>712.51</v>
      </c>
      <c r="T217" s="430">
        <f t="shared" si="7"/>
        <v>411109.16999999993</v>
      </c>
      <c r="U217" s="381">
        <v>69</v>
      </c>
      <c r="V217" s="384">
        <v>206</v>
      </c>
      <c r="W217" s="427">
        <v>-9742.43</v>
      </c>
      <c r="X217" s="433"/>
      <c r="Y217" s="433">
        <v>0</v>
      </c>
      <c r="Z217" s="438">
        <v>1</v>
      </c>
    </row>
    <row r="218" spans="1:26" x14ac:dyDescent="0.25">
      <c r="A218" s="329">
        <v>5748</v>
      </c>
      <c r="B218" s="447" t="s">
        <v>262</v>
      </c>
      <c r="C218" s="378">
        <v>368760.84</v>
      </c>
      <c r="D218" s="378">
        <v>34221.660000000003</v>
      </c>
      <c r="E218" s="378"/>
      <c r="F218" s="497">
        <v>2050</v>
      </c>
      <c r="G218" s="378">
        <v>10160.950000000001</v>
      </c>
      <c r="H218" s="378">
        <v>-2.9</v>
      </c>
      <c r="I218" s="378"/>
      <c r="J218" s="378">
        <v>1492.63</v>
      </c>
      <c r="K218" s="378"/>
      <c r="L218" s="378">
        <v>22224.2</v>
      </c>
      <c r="M218" s="323">
        <f t="shared" si="6"/>
        <v>438907.38</v>
      </c>
      <c r="N218" s="380">
        <v>197.7</v>
      </c>
      <c r="O218" s="380">
        <v>858</v>
      </c>
      <c r="P218" s="380">
        <v>13978.25</v>
      </c>
      <c r="Q218" s="380">
        <v>18094.89</v>
      </c>
      <c r="R218" s="380">
        <v>18819.45</v>
      </c>
      <c r="S218" s="368">
        <v>1150.52</v>
      </c>
      <c r="T218" s="430">
        <f t="shared" si="7"/>
        <v>492006.19000000006</v>
      </c>
      <c r="U218" s="381">
        <v>70.5</v>
      </c>
      <c r="V218" s="384">
        <v>266</v>
      </c>
      <c r="W218" s="427">
        <v>-4594.04</v>
      </c>
      <c r="X218" s="433"/>
      <c r="Y218" s="433">
        <v>0</v>
      </c>
      <c r="Z218" s="438">
        <v>0.6</v>
      </c>
    </row>
    <row r="219" spans="1:26" x14ac:dyDescent="0.25">
      <c r="A219" s="329">
        <v>5749</v>
      </c>
      <c r="B219" s="447" t="s">
        <v>263</v>
      </c>
      <c r="C219" s="378">
        <v>8603836.6899999995</v>
      </c>
      <c r="D219" s="378">
        <v>794619.17</v>
      </c>
      <c r="E219" s="378"/>
      <c r="F219" s="497"/>
      <c r="G219" s="378">
        <v>372041.2</v>
      </c>
      <c r="H219" s="378">
        <v>22098.65</v>
      </c>
      <c r="I219" s="378"/>
      <c r="J219" s="378">
        <v>232464.93</v>
      </c>
      <c r="K219" s="378">
        <v>80561.05</v>
      </c>
      <c r="L219" s="378">
        <v>870017.45</v>
      </c>
      <c r="M219" s="323">
        <f t="shared" si="6"/>
        <v>10975639.139999999</v>
      </c>
      <c r="N219" s="380">
        <v>744756.9</v>
      </c>
      <c r="O219" s="380">
        <v>44456.6</v>
      </c>
      <c r="P219" s="380">
        <v>271360.95</v>
      </c>
      <c r="Q219" s="380">
        <v>83293.89</v>
      </c>
      <c r="R219" s="380">
        <v>189345.6</v>
      </c>
      <c r="S219" s="368">
        <v>44641.120000000003</v>
      </c>
      <c r="T219" s="430">
        <f t="shared" si="7"/>
        <v>12353494.199999997</v>
      </c>
      <c r="U219" s="381">
        <v>70.5</v>
      </c>
      <c r="V219" s="384">
        <v>5366</v>
      </c>
      <c r="W219" s="427">
        <v>-291029.56</v>
      </c>
      <c r="X219" s="433"/>
      <c r="Y219" s="433">
        <v>-2172.1</v>
      </c>
      <c r="Z219" s="438">
        <v>1</v>
      </c>
    </row>
    <row r="220" spans="1:26" x14ac:dyDescent="0.25">
      <c r="A220" s="329">
        <v>5750</v>
      </c>
      <c r="B220" s="447" t="s">
        <v>264</v>
      </c>
      <c r="C220" s="378">
        <v>306542.07</v>
      </c>
      <c r="D220" s="378">
        <v>51636.97</v>
      </c>
      <c r="E220" s="378"/>
      <c r="F220" s="497">
        <v>1120</v>
      </c>
      <c r="G220" s="378">
        <v>350.6</v>
      </c>
      <c r="H220" s="378">
        <v>43.7</v>
      </c>
      <c r="I220" s="378"/>
      <c r="J220" s="378">
        <v>5624.75</v>
      </c>
      <c r="K220" s="378">
        <v>4.4000000000000004</v>
      </c>
      <c r="L220" s="378">
        <v>13383.5</v>
      </c>
      <c r="M220" s="323">
        <f t="shared" si="6"/>
        <v>378705.99000000005</v>
      </c>
      <c r="N220" s="380">
        <v>5002.05</v>
      </c>
      <c r="O220" s="380"/>
      <c r="P220" s="380">
        <v>13695</v>
      </c>
      <c r="Q220" s="380">
        <v>2161.48</v>
      </c>
      <c r="R220" s="380">
        <v>28417.7</v>
      </c>
      <c r="S220" s="368">
        <v>44.66</v>
      </c>
      <c r="T220" s="430">
        <f t="shared" si="7"/>
        <v>428026.88</v>
      </c>
      <c r="U220" s="381">
        <v>80</v>
      </c>
      <c r="V220" s="384">
        <v>182</v>
      </c>
      <c r="W220" s="427">
        <v>-3727.83</v>
      </c>
      <c r="X220" s="433"/>
      <c r="Y220" s="433">
        <v>-524.70000000000005</v>
      </c>
      <c r="Z220" s="438">
        <v>0.6</v>
      </c>
    </row>
    <row r="221" spans="1:26" x14ac:dyDescent="0.25">
      <c r="A221" s="329">
        <v>5752</v>
      </c>
      <c r="B221" s="447" t="s">
        <v>323</v>
      </c>
      <c r="C221" s="378">
        <v>579823.44999999995</v>
      </c>
      <c r="D221" s="378">
        <v>97270.27</v>
      </c>
      <c r="E221" s="378"/>
      <c r="F221" s="497"/>
      <c r="G221" s="378">
        <v>3774.35</v>
      </c>
      <c r="H221" s="378">
        <v>89.65</v>
      </c>
      <c r="I221" s="378"/>
      <c r="J221" s="378">
        <v>6413.67</v>
      </c>
      <c r="K221" s="378">
        <v>833.4</v>
      </c>
      <c r="L221" s="378">
        <v>43015.6</v>
      </c>
      <c r="M221" s="323">
        <f t="shared" si="6"/>
        <v>731220.39</v>
      </c>
      <c r="N221" s="380">
        <v>30061.4</v>
      </c>
      <c r="O221" s="380">
        <v>18.3</v>
      </c>
      <c r="P221" s="380">
        <v>8360</v>
      </c>
      <c r="Q221" s="380">
        <v>751</v>
      </c>
      <c r="R221" s="380">
        <v>11980.3</v>
      </c>
      <c r="S221" s="368">
        <v>437.64</v>
      </c>
      <c r="T221" s="430">
        <f t="shared" si="7"/>
        <v>782829.03000000014</v>
      </c>
      <c r="U221" s="381">
        <v>74</v>
      </c>
      <c r="V221" s="384">
        <v>390</v>
      </c>
      <c r="W221" s="427">
        <v>-35190.639999999999</v>
      </c>
      <c r="X221" s="433"/>
      <c r="Y221" s="433">
        <v>0</v>
      </c>
      <c r="Z221" s="438">
        <v>0.7</v>
      </c>
    </row>
    <row r="222" spans="1:26" x14ac:dyDescent="0.25">
      <c r="A222" s="329">
        <v>5754</v>
      </c>
      <c r="B222" s="447" t="s">
        <v>324</v>
      </c>
      <c r="C222" s="378">
        <v>606139.57999999996</v>
      </c>
      <c r="D222" s="378">
        <v>54048.51</v>
      </c>
      <c r="E222" s="378"/>
      <c r="F222" s="497"/>
      <c r="G222" s="378">
        <v>3252.95</v>
      </c>
      <c r="H222" s="378">
        <v>845.1</v>
      </c>
      <c r="I222" s="378"/>
      <c r="J222" s="378">
        <v>5914.62</v>
      </c>
      <c r="K222" s="378">
        <v>1588.5</v>
      </c>
      <c r="L222" s="378">
        <v>44038.1</v>
      </c>
      <c r="M222" s="323">
        <f t="shared" si="6"/>
        <v>715827.35999999987</v>
      </c>
      <c r="N222" s="380">
        <v>5292.65</v>
      </c>
      <c r="O222" s="380">
        <v>24984</v>
      </c>
      <c r="P222" s="380">
        <v>35200</v>
      </c>
      <c r="Q222" s="380">
        <v>789.6</v>
      </c>
      <c r="R222" s="380">
        <v>66840.149999999994</v>
      </c>
      <c r="S222" s="368">
        <v>464.15</v>
      </c>
      <c r="T222" s="430">
        <f t="shared" si="7"/>
        <v>849397.90999999992</v>
      </c>
      <c r="U222" s="381">
        <v>79</v>
      </c>
      <c r="V222" s="384">
        <v>348</v>
      </c>
      <c r="W222" s="427">
        <v>-259.32</v>
      </c>
      <c r="X222" s="433"/>
      <c r="Y222" s="433">
        <v>0</v>
      </c>
      <c r="Z222" s="438">
        <v>1</v>
      </c>
    </row>
    <row r="223" spans="1:26" x14ac:dyDescent="0.25">
      <c r="A223" s="329">
        <v>5755</v>
      </c>
      <c r="B223" s="447" t="s">
        <v>325</v>
      </c>
      <c r="C223" s="378">
        <v>696319.98</v>
      </c>
      <c r="D223" s="378">
        <v>75980.92</v>
      </c>
      <c r="E223" s="378"/>
      <c r="F223" s="497">
        <v>2230</v>
      </c>
      <c r="G223" s="378">
        <v>24644.6</v>
      </c>
      <c r="H223" s="378">
        <v>759.4</v>
      </c>
      <c r="I223" s="378"/>
      <c r="J223" s="378">
        <v>5448.27</v>
      </c>
      <c r="K223" s="378">
        <v>2533.1</v>
      </c>
      <c r="L223" s="378">
        <v>44649.7</v>
      </c>
      <c r="M223" s="323">
        <f t="shared" si="6"/>
        <v>852565.97</v>
      </c>
      <c r="N223" s="380">
        <v>53250.85</v>
      </c>
      <c r="O223" s="380">
        <v>12975</v>
      </c>
      <c r="P223" s="380">
        <v>21937.55</v>
      </c>
      <c r="Q223" s="380">
        <v>2102.0100000000002</v>
      </c>
      <c r="R223" s="380">
        <v>6450.15</v>
      </c>
      <c r="S223" s="368">
        <v>2877.31</v>
      </c>
      <c r="T223" s="430">
        <f t="shared" si="7"/>
        <v>952158.84000000008</v>
      </c>
      <c r="U223" s="381">
        <v>78.5</v>
      </c>
      <c r="V223" s="384">
        <v>409</v>
      </c>
      <c r="W223" s="427">
        <v>-33063.46</v>
      </c>
      <c r="X223" s="433"/>
      <c r="Y223" s="433">
        <v>-0.05</v>
      </c>
      <c r="Z223" s="438">
        <v>0.7</v>
      </c>
    </row>
    <row r="224" spans="1:26" x14ac:dyDescent="0.25">
      <c r="A224" s="329">
        <v>5756</v>
      </c>
      <c r="B224" s="447" t="s">
        <v>326</v>
      </c>
      <c r="C224" s="378">
        <v>961323.76</v>
      </c>
      <c r="D224" s="378">
        <v>198058.71</v>
      </c>
      <c r="E224" s="378"/>
      <c r="F224" s="497"/>
      <c r="G224" s="378">
        <v>30625.05</v>
      </c>
      <c r="H224" s="378">
        <v>295.75</v>
      </c>
      <c r="I224" s="378"/>
      <c r="J224" s="378">
        <v>14446.56</v>
      </c>
      <c r="K224" s="378">
        <v>-946.1</v>
      </c>
      <c r="L224" s="378">
        <v>87426.5</v>
      </c>
      <c r="M224" s="323">
        <f t="shared" si="6"/>
        <v>1291230.23</v>
      </c>
      <c r="N224" s="380">
        <v>20910.599999999999</v>
      </c>
      <c r="O224" s="380">
        <v>12210.2</v>
      </c>
      <c r="P224" s="380">
        <v>12655.5</v>
      </c>
      <c r="Q224" s="380"/>
      <c r="R224" s="380">
        <v>22526.1</v>
      </c>
      <c r="S224" s="368">
        <v>3502.16</v>
      </c>
      <c r="T224" s="430">
        <f t="shared" si="7"/>
        <v>1363034.79</v>
      </c>
      <c r="U224" s="381">
        <v>72</v>
      </c>
      <c r="V224" s="384">
        <v>502</v>
      </c>
      <c r="W224" s="427">
        <v>-15200.07</v>
      </c>
      <c r="X224" s="433"/>
      <c r="Y224" s="433">
        <v>-2286.56</v>
      </c>
      <c r="Z224" s="438">
        <v>1</v>
      </c>
    </row>
    <row r="225" spans="1:26" x14ac:dyDescent="0.25">
      <c r="A225" s="329">
        <v>5757</v>
      </c>
      <c r="B225" s="447" t="s">
        <v>327</v>
      </c>
      <c r="C225" s="378">
        <v>11869208.09</v>
      </c>
      <c r="D225" s="378">
        <v>1126902.78</v>
      </c>
      <c r="E225" s="378"/>
      <c r="F225" s="497"/>
      <c r="G225" s="378">
        <v>1251859.45</v>
      </c>
      <c r="H225" s="378">
        <v>97048.4</v>
      </c>
      <c r="I225" s="378"/>
      <c r="J225" s="378">
        <v>503885.29</v>
      </c>
      <c r="K225" s="378">
        <v>102434.65</v>
      </c>
      <c r="L225" s="378">
        <v>1415717.55</v>
      </c>
      <c r="M225" s="323">
        <f t="shared" si="6"/>
        <v>16367056.209999999</v>
      </c>
      <c r="N225" s="380">
        <v>3266196.25</v>
      </c>
      <c r="O225" s="380">
        <v>20485.099999999999</v>
      </c>
      <c r="P225" s="380">
        <v>971488.65</v>
      </c>
      <c r="Q225" s="380">
        <v>102711.97</v>
      </c>
      <c r="R225" s="380">
        <v>379666.35</v>
      </c>
      <c r="S225" s="368">
        <v>152780.17000000001</v>
      </c>
      <c r="T225" s="430">
        <f t="shared" si="7"/>
        <v>21260384.700000003</v>
      </c>
      <c r="U225" s="381">
        <v>75.5</v>
      </c>
      <c r="V225" s="384">
        <v>7570</v>
      </c>
      <c r="W225" s="427">
        <v>-298002.68</v>
      </c>
      <c r="X225" s="433"/>
      <c r="Y225" s="433">
        <v>-2591.52</v>
      </c>
      <c r="Z225" s="438">
        <v>1</v>
      </c>
    </row>
    <row r="226" spans="1:26" x14ac:dyDescent="0.25">
      <c r="A226" s="329">
        <v>5758</v>
      </c>
      <c r="B226" s="447" t="s">
        <v>211</v>
      </c>
      <c r="C226" s="378">
        <v>323160.71000000002</v>
      </c>
      <c r="D226" s="378">
        <v>35553.18</v>
      </c>
      <c r="E226" s="378"/>
      <c r="F226" s="497">
        <v>1100</v>
      </c>
      <c r="G226" s="378">
        <v>3847.05</v>
      </c>
      <c r="H226" s="378">
        <v>1002.6</v>
      </c>
      <c r="I226" s="378"/>
      <c r="J226" s="378">
        <v>6151.03</v>
      </c>
      <c r="K226" s="378"/>
      <c r="L226" s="378">
        <v>25473.15</v>
      </c>
      <c r="M226" s="323">
        <f t="shared" si="6"/>
        <v>396287.72000000003</v>
      </c>
      <c r="N226" s="380">
        <v>1860.55</v>
      </c>
      <c r="O226" s="380"/>
      <c r="P226" s="380">
        <v>12752.15</v>
      </c>
      <c r="Q226" s="380"/>
      <c r="R226" s="380">
        <v>29904.9</v>
      </c>
      <c r="S226" s="368">
        <v>549.28</v>
      </c>
      <c r="T226" s="430">
        <f t="shared" si="7"/>
        <v>441354.60000000009</v>
      </c>
      <c r="U226" s="381">
        <v>83</v>
      </c>
      <c r="V226" s="384">
        <v>182</v>
      </c>
      <c r="W226" s="427">
        <v>-3326.73</v>
      </c>
      <c r="X226" s="433"/>
      <c r="Y226" s="433">
        <v>-275.73</v>
      </c>
      <c r="Z226" s="438">
        <v>0.9</v>
      </c>
    </row>
    <row r="227" spans="1:26" x14ac:dyDescent="0.25">
      <c r="A227" s="329">
        <v>5759</v>
      </c>
      <c r="B227" s="447" t="s">
        <v>212</v>
      </c>
      <c r="C227" s="378">
        <v>389733.3</v>
      </c>
      <c r="D227" s="378">
        <v>42750.46</v>
      </c>
      <c r="E227" s="378"/>
      <c r="F227" s="497"/>
      <c r="G227" s="378">
        <v>1611.9</v>
      </c>
      <c r="H227" s="378">
        <v>230.8</v>
      </c>
      <c r="I227" s="378"/>
      <c r="J227" s="378">
        <v>3014.22</v>
      </c>
      <c r="K227" s="378">
        <v>242.95</v>
      </c>
      <c r="L227" s="378">
        <v>32043.7</v>
      </c>
      <c r="M227" s="323">
        <f t="shared" si="6"/>
        <v>469627.33</v>
      </c>
      <c r="N227" s="380">
        <v>4410.6499999999996</v>
      </c>
      <c r="O227" s="380"/>
      <c r="P227" s="380"/>
      <c r="Q227" s="380">
        <v>764.54</v>
      </c>
      <c r="R227" s="380"/>
      <c r="S227" s="368">
        <v>208.71</v>
      </c>
      <c r="T227" s="430">
        <f t="shared" si="7"/>
        <v>475011.23000000004</v>
      </c>
      <c r="U227" s="381">
        <v>79.5</v>
      </c>
      <c r="V227" s="384">
        <v>232</v>
      </c>
      <c r="W227" s="427">
        <v>-1373.78</v>
      </c>
      <c r="X227" s="433"/>
      <c r="Y227" s="433">
        <v>-172.25</v>
      </c>
      <c r="Z227" s="438">
        <v>1</v>
      </c>
    </row>
    <row r="228" spans="1:26" x14ac:dyDescent="0.25">
      <c r="A228" s="329">
        <v>5760</v>
      </c>
      <c r="B228" s="447" t="s">
        <v>213</v>
      </c>
      <c r="C228" s="378">
        <v>935916.11</v>
      </c>
      <c r="D228" s="378">
        <v>85725.41</v>
      </c>
      <c r="E228" s="378"/>
      <c r="F228" s="497"/>
      <c r="G228" s="378">
        <v>21548.95</v>
      </c>
      <c r="H228" s="378">
        <v>606.4</v>
      </c>
      <c r="I228" s="378"/>
      <c r="J228" s="378">
        <v>3150.73</v>
      </c>
      <c r="K228" s="378"/>
      <c r="L228" s="378">
        <v>123143</v>
      </c>
      <c r="M228" s="323">
        <f t="shared" si="6"/>
        <v>1170090.6000000001</v>
      </c>
      <c r="N228" s="380">
        <v>34603.35</v>
      </c>
      <c r="O228" s="380"/>
      <c r="P228" s="380">
        <v>53108</v>
      </c>
      <c r="Q228" s="380"/>
      <c r="R228" s="380">
        <v>38755.65</v>
      </c>
      <c r="S228" s="368">
        <v>2509.36</v>
      </c>
      <c r="T228" s="430">
        <f t="shared" si="7"/>
        <v>1299066.9600000002</v>
      </c>
      <c r="U228" s="381">
        <v>76.5</v>
      </c>
      <c r="V228" s="384">
        <v>512</v>
      </c>
      <c r="W228" s="427">
        <v>-21935.22</v>
      </c>
      <c r="X228" s="433"/>
      <c r="Y228" s="433">
        <v>-1752.3</v>
      </c>
      <c r="Z228" s="438">
        <v>1.5</v>
      </c>
    </row>
    <row r="229" spans="1:26" x14ac:dyDescent="0.25">
      <c r="A229" s="329">
        <v>5761</v>
      </c>
      <c r="B229" s="447" t="s">
        <v>133</v>
      </c>
      <c r="C229" s="378">
        <v>830262.44</v>
      </c>
      <c r="D229" s="378">
        <v>112378.57</v>
      </c>
      <c r="E229" s="378"/>
      <c r="F229" s="497"/>
      <c r="G229" s="378">
        <v>11935.25</v>
      </c>
      <c r="H229" s="378">
        <v>865.8</v>
      </c>
      <c r="I229" s="378"/>
      <c r="J229" s="378">
        <v>9440.07</v>
      </c>
      <c r="K229" s="378">
        <v>6593.8</v>
      </c>
      <c r="L229" s="378">
        <v>93252.3</v>
      </c>
      <c r="M229" s="323">
        <f t="shared" si="6"/>
        <v>1064728.23</v>
      </c>
      <c r="N229" s="380">
        <v>67027.600000000006</v>
      </c>
      <c r="O229" s="380"/>
      <c r="P229" s="380">
        <v>109791</v>
      </c>
      <c r="Q229" s="380">
        <v>2530.39</v>
      </c>
      <c r="R229" s="380">
        <v>40738.300000000003</v>
      </c>
      <c r="S229" s="368">
        <v>1449.87</v>
      </c>
      <c r="T229" s="430">
        <f t="shared" si="7"/>
        <v>1286265.3900000001</v>
      </c>
      <c r="U229" s="381">
        <v>81</v>
      </c>
      <c r="V229" s="384">
        <v>551</v>
      </c>
      <c r="W229" s="427">
        <v>-14114.64</v>
      </c>
      <c r="X229" s="433"/>
      <c r="Y229" s="433">
        <v>-83.6</v>
      </c>
      <c r="Z229" s="438">
        <v>1.1000000000000001</v>
      </c>
    </row>
    <row r="230" spans="1:26" x14ac:dyDescent="0.25">
      <c r="A230" s="329">
        <v>5762</v>
      </c>
      <c r="B230" s="447" t="s">
        <v>134</v>
      </c>
      <c r="C230" s="378">
        <v>251807.82</v>
      </c>
      <c r="D230" s="378">
        <v>24192.82</v>
      </c>
      <c r="E230" s="378"/>
      <c r="F230" s="497"/>
      <c r="G230" s="378">
        <v>2443.35</v>
      </c>
      <c r="H230" s="378">
        <v>96.4</v>
      </c>
      <c r="I230" s="378"/>
      <c r="J230" s="378"/>
      <c r="K230" s="378">
        <v>191.55</v>
      </c>
      <c r="L230" s="378">
        <v>21321.15</v>
      </c>
      <c r="M230" s="323">
        <f t="shared" si="6"/>
        <v>300053.09000000003</v>
      </c>
      <c r="N230" s="380">
        <v>12165.4</v>
      </c>
      <c r="O230" s="380"/>
      <c r="P230" s="380"/>
      <c r="Q230" s="380"/>
      <c r="R230" s="380"/>
      <c r="S230" s="368">
        <v>287.66000000000003</v>
      </c>
      <c r="T230" s="430">
        <f t="shared" si="7"/>
        <v>312506.15000000002</v>
      </c>
      <c r="U230" s="381">
        <v>78</v>
      </c>
      <c r="V230" s="384">
        <v>141</v>
      </c>
      <c r="W230" s="427">
        <v>-69.739999999999995</v>
      </c>
      <c r="X230" s="433"/>
      <c r="Y230" s="433">
        <v>0</v>
      </c>
      <c r="Z230" s="438">
        <v>1</v>
      </c>
    </row>
    <row r="231" spans="1:26" x14ac:dyDescent="0.25">
      <c r="A231" s="329">
        <v>5763</v>
      </c>
      <c r="B231" s="447" t="s">
        <v>135</v>
      </c>
      <c r="C231" s="378">
        <v>1243204.2</v>
      </c>
      <c r="D231" s="378">
        <v>155500.69</v>
      </c>
      <c r="E231" s="378"/>
      <c r="F231" s="497">
        <v>3270</v>
      </c>
      <c r="G231" s="378">
        <v>27123.25</v>
      </c>
      <c r="H231" s="378">
        <v>1277.25</v>
      </c>
      <c r="I231" s="378"/>
      <c r="J231" s="378">
        <v>17906.5</v>
      </c>
      <c r="K231" s="378">
        <v>4048.15</v>
      </c>
      <c r="L231" s="378">
        <v>90844.5</v>
      </c>
      <c r="M231" s="323">
        <f t="shared" si="6"/>
        <v>1543174.5399999998</v>
      </c>
      <c r="N231" s="380">
        <v>33568.9</v>
      </c>
      <c r="O231" s="380"/>
      <c r="P231" s="380">
        <v>16216.05</v>
      </c>
      <c r="Q231" s="380">
        <v>1584.64</v>
      </c>
      <c r="R231" s="380">
        <v>10651.8</v>
      </c>
      <c r="S231" s="368">
        <v>3216.7</v>
      </c>
      <c r="T231" s="430">
        <f t="shared" si="7"/>
        <v>1608412.6299999997</v>
      </c>
      <c r="U231" s="381">
        <v>68</v>
      </c>
      <c r="V231" s="384">
        <v>614</v>
      </c>
      <c r="W231" s="427">
        <v>-6356.74</v>
      </c>
      <c r="X231" s="433"/>
      <c r="Y231" s="433">
        <v>-468.94</v>
      </c>
      <c r="Z231" s="438">
        <v>1</v>
      </c>
    </row>
    <row r="232" spans="1:26" x14ac:dyDescent="0.25">
      <c r="A232" s="329">
        <v>5764</v>
      </c>
      <c r="B232" s="447" t="s">
        <v>328</v>
      </c>
      <c r="C232" s="378">
        <v>4620859.66</v>
      </c>
      <c r="D232" s="378">
        <v>504803.39</v>
      </c>
      <c r="E232" s="378"/>
      <c r="F232" s="497"/>
      <c r="G232" s="378">
        <v>154009.15</v>
      </c>
      <c r="H232" s="378">
        <v>69183.649999999994</v>
      </c>
      <c r="I232" s="378"/>
      <c r="J232" s="378">
        <v>225664.27</v>
      </c>
      <c r="K232" s="378">
        <v>36099.75</v>
      </c>
      <c r="L232" s="378">
        <v>473941.1</v>
      </c>
      <c r="M232" s="323">
        <f t="shared" si="6"/>
        <v>6084560.9699999997</v>
      </c>
      <c r="N232" s="380">
        <v>2206248.75</v>
      </c>
      <c r="O232" s="380">
        <v>14462</v>
      </c>
      <c r="P232" s="380">
        <v>264458.65000000002</v>
      </c>
      <c r="Q232" s="380">
        <v>93962.65</v>
      </c>
      <c r="R232" s="380">
        <v>180308.7</v>
      </c>
      <c r="S232" s="368">
        <v>25279.29</v>
      </c>
      <c r="T232" s="430">
        <f t="shared" si="7"/>
        <v>8869281.0099999979</v>
      </c>
      <c r="U232" s="381">
        <v>71.5</v>
      </c>
      <c r="V232" s="384">
        <v>3924</v>
      </c>
      <c r="W232" s="427">
        <v>-219535.31</v>
      </c>
      <c r="X232" s="433"/>
      <c r="Y232" s="433">
        <v>-977.23</v>
      </c>
      <c r="Z232" s="438">
        <v>1</v>
      </c>
    </row>
    <row r="233" spans="1:26" x14ac:dyDescent="0.25">
      <c r="A233" s="329">
        <v>5765</v>
      </c>
      <c r="B233" s="447" t="s">
        <v>329</v>
      </c>
      <c r="C233" s="378">
        <v>656390.6</v>
      </c>
      <c r="D233" s="378">
        <v>85574.49</v>
      </c>
      <c r="E233" s="378"/>
      <c r="F233" s="497"/>
      <c r="G233" s="378">
        <v>19373.099999999999</v>
      </c>
      <c r="H233" s="378">
        <v>859.7</v>
      </c>
      <c r="I233" s="378"/>
      <c r="J233" s="378">
        <v>9790.44</v>
      </c>
      <c r="K233" s="378"/>
      <c r="L233" s="378">
        <v>32613.9</v>
      </c>
      <c r="M233" s="323">
        <f t="shared" si="6"/>
        <v>804602.22999999986</v>
      </c>
      <c r="N233" s="380">
        <v>51234.400000000001</v>
      </c>
      <c r="O233" s="380">
        <v>1782</v>
      </c>
      <c r="P233" s="380">
        <v>42886.1</v>
      </c>
      <c r="Q233" s="380">
        <v>25491.74</v>
      </c>
      <c r="R233" s="380">
        <v>24421.15</v>
      </c>
      <c r="S233" s="368">
        <v>2291.61</v>
      </c>
      <c r="T233" s="430">
        <f t="shared" si="7"/>
        <v>952709.22999999986</v>
      </c>
      <c r="U233" s="381">
        <v>81</v>
      </c>
      <c r="V233" s="384">
        <v>492</v>
      </c>
      <c r="W233" s="427">
        <v>-32350.36</v>
      </c>
      <c r="X233" s="433"/>
      <c r="Y233" s="433">
        <v>-11.32</v>
      </c>
      <c r="Z233" s="438">
        <v>0.5</v>
      </c>
    </row>
    <row r="234" spans="1:26" x14ac:dyDescent="0.25">
      <c r="A234" s="329">
        <v>5766</v>
      </c>
      <c r="B234" s="447" t="s">
        <v>330</v>
      </c>
      <c r="C234" s="378">
        <v>915656.6</v>
      </c>
      <c r="D234" s="378">
        <v>130551.57</v>
      </c>
      <c r="E234" s="378"/>
      <c r="F234" s="497">
        <v>3770</v>
      </c>
      <c r="G234" s="378">
        <v>6922.1</v>
      </c>
      <c r="H234" s="378">
        <v>612.6</v>
      </c>
      <c r="I234" s="378"/>
      <c r="J234" s="378">
        <v>33734.78</v>
      </c>
      <c r="K234" s="378">
        <v>-3890.85</v>
      </c>
      <c r="L234" s="378">
        <v>59491</v>
      </c>
      <c r="M234" s="323">
        <f t="shared" si="6"/>
        <v>1146847.8</v>
      </c>
      <c r="N234" s="380">
        <v>29394.75</v>
      </c>
      <c r="O234" s="380"/>
      <c r="P234" s="380">
        <v>28165.7</v>
      </c>
      <c r="Q234" s="380">
        <v>638.48</v>
      </c>
      <c r="R234" s="380">
        <v>57992</v>
      </c>
      <c r="S234" s="368">
        <v>853.4</v>
      </c>
      <c r="T234" s="430">
        <f t="shared" si="7"/>
        <v>1263892.1299999999</v>
      </c>
      <c r="U234" s="381">
        <v>75</v>
      </c>
      <c r="V234" s="384">
        <v>591</v>
      </c>
      <c r="W234" s="427">
        <v>-7221.79</v>
      </c>
      <c r="X234" s="433"/>
      <c r="Y234" s="433">
        <v>-56.39</v>
      </c>
      <c r="Z234" s="438">
        <v>0.7</v>
      </c>
    </row>
    <row r="235" spans="1:26" x14ac:dyDescent="0.25">
      <c r="A235" s="329">
        <v>5785</v>
      </c>
      <c r="B235" s="447" t="s">
        <v>271</v>
      </c>
      <c r="C235" s="378">
        <f>852658.63-1832.25</f>
        <v>850826.38</v>
      </c>
      <c r="D235" s="378">
        <v>156949.79999999999</v>
      </c>
      <c r="E235" s="378"/>
      <c r="F235" s="497"/>
      <c r="G235" s="378">
        <v>19642.8</v>
      </c>
      <c r="H235" s="378">
        <v>605.25</v>
      </c>
      <c r="I235" s="378"/>
      <c r="J235" s="378">
        <v>30363.09</v>
      </c>
      <c r="K235" s="378">
        <v>1577.1</v>
      </c>
      <c r="L235" s="378">
        <v>75819.350000000006</v>
      </c>
      <c r="M235" s="323">
        <f t="shared" si="6"/>
        <v>1135783.7700000003</v>
      </c>
      <c r="N235" s="380"/>
      <c r="O235" s="380">
        <v>-2728.8</v>
      </c>
      <c r="P235" s="380">
        <v>39548.5</v>
      </c>
      <c r="Q235" s="380">
        <v>6050.33</v>
      </c>
      <c r="R235" s="380">
        <v>39085.1</v>
      </c>
      <c r="S235" s="368">
        <v>2293.34</v>
      </c>
      <c r="T235" s="430">
        <f t="shared" si="7"/>
        <v>1220032.2400000005</v>
      </c>
      <c r="U235" s="381">
        <v>77</v>
      </c>
      <c r="V235" s="384">
        <v>489</v>
      </c>
      <c r="W235" s="427">
        <v>-20850.54</v>
      </c>
      <c r="X235" s="433"/>
      <c r="Y235" s="433">
        <v>-621.45000000000005</v>
      </c>
      <c r="Z235" s="438">
        <v>1</v>
      </c>
    </row>
    <row r="236" spans="1:26" x14ac:dyDescent="0.25">
      <c r="A236" s="329">
        <v>5788</v>
      </c>
      <c r="B236" s="447" t="s">
        <v>272</v>
      </c>
      <c r="C236" s="378">
        <v>715101.85</v>
      </c>
      <c r="D236" s="378">
        <v>121089.84</v>
      </c>
      <c r="E236" s="378"/>
      <c r="F236" s="497"/>
      <c r="G236" s="378">
        <v>5481.15</v>
      </c>
      <c r="H236" s="378">
        <v>378.05</v>
      </c>
      <c r="I236" s="378"/>
      <c r="J236" s="378">
        <v>25625.35</v>
      </c>
      <c r="K236" s="378">
        <v>4569</v>
      </c>
      <c r="L236" s="378">
        <v>118834.55</v>
      </c>
      <c r="M236" s="323">
        <f t="shared" si="6"/>
        <v>991079.79</v>
      </c>
      <c r="N236" s="380"/>
      <c r="O236" s="380"/>
      <c r="P236" s="380">
        <v>16995</v>
      </c>
      <c r="Q236" s="380"/>
      <c r="R236" s="380">
        <v>12172.1</v>
      </c>
      <c r="S236" s="368">
        <v>663.63</v>
      </c>
      <c r="T236" s="430">
        <f t="shared" si="7"/>
        <v>1020910.52</v>
      </c>
      <c r="U236" s="381">
        <v>71.5</v>
      </c>
      <c r="V236" s="384">
        <v>397</v>
      </c>
      <c r="W236" s="427">
        <v>-15837.16</v>
      </c>
      <c r="X236" s="433"/>
      <c r="Y236" s="433">
        <v>-120.35</v>
      </c>
      <c r="Z236" s="438">
        <v>1.25</v>
      </c>
    </row>
    <row r="237" spans="1:26" x14ac:dyDescent="0.25">
      <c r="A237" s="329">
        <v>5790</v>
      </c>
      <c r="B237" s="447" t="s">
        <v>273</v>
      </c>
      <c r="C237" s="378">
        <v>909350.15</v>
      </c>
      <c r="D237" s="378">
        <v>100614.88</v>
      </c>
      <c r="E237" s="378"/>
      <c r="F237" s="497"/>
      <c r="G237" s="378">
        <v>7465.15</v>
      </c>
      <c r="H237" s="378">
        <v>481.15</v>
      </c>
      <c r="I237" s="378"/>
      <c r="J237" s="378">
        <v>13334.81</v>
      </c>
      <c r="K237" s="378">
        <v>3472</v>
      </c>
      <c r="L237" s="378">
        <v>97410.7</v>
      </c>
      <c r="M237" s="323">
        <f t="shared" si="6"/>
        <v>1132128.8400000001</v>
      </c>
      <c r="N237" s="380">
        <v>5741.85</v>
      </c>
      <c r="O237" s="380"/>
      <c r="P237" s="380">
        <v>62894.35</v>
      </c>
      <c r="Q237" s="380"/>
      <c r="R237" s="380"/>
      <c r="S237" s="368">
        <v>900.01</v>
      </c>
      <c r="T237" s="430">
        <f t="shared" si="7"/>
        <v>1201665.0500000003</v>
      </c>
      <c r="U237" s="381">
        <v>74.5</v>
      </c>
      <c r="V237" s="384">
        <v>547</v>
      </c>
      <c r="W237" s="427">
        <v>-2396.16</v>
      </c>
      <c r="X237" s="433"/>
      <c r="Y237" s="433">
        <v>-314.92</v>
      </c>
      <c r="Z237" s="438">
        <v>1</v>
      </c>
    </row>
    <row r="238" spans="1:26" x14ac:dyDescent="0.25">
      <c r="A238" s="329">
        <v>5792</v>
      </c>
      <c r="B238" s="447" t="s">
        <v>274</v>
      </c>
      <c r="C238" s="378">
        <v>1257925.3899999999</v>
      </c>
      <c r="D238" s="378">
        <v>122461.3</v>
      </c>
      <c r="E238" s="378"/>
      <c r="F238" s="497"/>
      <c r="G238" s="378">
        <v>-12748</v>
      </c>
      <c r="H238" s="378">
        <v>1814.8</v>
      </c>
      <c r="I238" s="378"/>
      <c r="J238" s="378">
        <v>26336.82</v>
      </c>
      <c r="K238" s="378">
        <v>2131.5</v>
      </c>
      <c r="L238" s="378">
        <v>121223.4</v>
      </c>
      <c r="M238" s="323">
        <f t="shared" si="6"/>
        <v>1519145.21</v>
      </c>
      <c r="N238" s="380">
        <v>681.3</v>
      </c>
      <c r="O238" s="380">
        <v>8751.4</v>
      </c>
      <c r="P238" s="380">
        <v>94919.1</v>
      </c>
      <c r="Q238" s="380">
        <v>5083.87</v>
      </c>
      <c r="R238" s="380">
        <v>70944.45</v>
      </c>
      <c r="S238" s="368">
        <v>-1238.32</v>
      </c>
      <c r="T238" s="430">
        <f t="shared" si="7"/>
        <v>1698287.01</v>
      </c>
      <c r="U238" s="381">
        <v>75.5</v>
      </c>
      <c r="V238" s="384">
        <v>662</v>
      </c>
      <c r="W238" s="427">
        <v>-1933.93</v>
      </c>
      <c r="X238" s="433"/>
      <c r="Y238" s="433">
        <v>-46.19</v>
      </c>
      <c r="Z238" s="438">
        <v>1</v>
      </c>
    </row>
    <row r="239" spans="1:26" x14ac:dyDescent="0.25">
      <c r="A239" s="329">
        <v>5798</v>
      </c>
      <c r="B239" s="447" t="s">
        <v>275</v>
      </c>
      <c r="C239" s="378">
        <v>1049617.8700000001</v>
      </c>
      <c r="D239" s="378">
        <v>114948.42</v>
      </c>
      <c r="E239" s="378"/>
      <c r="F239" s="497"/>
      <c r="G239" s="378">
        <v>50562.1</v>
      </c>
      <c r="H239" s="378">
        <v>2223.6</v>
      </c>
      <c r="I239" s="378"/>
      <c r="J239" s="378">
        <v>40765.65</v>
      </c>
      <c r="K239" s="378">
        <v>10881.05</v>
      </c>
      <c r="L239" s="378">
        <v>88918.1</v>
      </c>
      <c r="M239" s="323">
        <f t="shared" si="6"/>
        <v>1357916.7900000003</v>
      </c>
      <c r="N239" s="380">
        <v>19232.099999999999</v>
      </c>
      <c r="O239" s="380"/>
      <c r="P239" s="380">
        <v>45540</v>
      </c>
      <c r="Q239" s="380">
        <v>3820.21</v>
      </c>
      <c r="R239" s="380">
        <v>80957</v>
      </c>
      <c r="S239" s="368">
        <v>5978.62</v>
      </c>
      <c r="T239" s="430">
        <f t="shared" si="7"/>
        <v>1513444.7200000004</v>
      </c>
      <c r="U239" s="381">
        <v>77.5</v>
      </c>
      <c r="V239" s="384">
        <v>534</v>
      </c>
      <c r="W239" s="427">
        <v>-15733.32</v>
      </c>
      <c r="X239" s="433"/>
      <c r="Y239" s="433">
        <v>-9.9</v>
      </c>
      <c r="Z239" s="438">
        <v>1</v>
      </c>
    </row>
    <row r="240" spans="1:26" x14ac:dyDescent="0.25">
      <c r="A240" s="329">
        <v>5799</v>
      </c>
      <c r="B240" s="447" t="s">
        <v>276</v>
      </c>
      <c r="C240" s="378">
        <v>3879902.98</v>
      </c>
      <c r="D240" s="378">
        <v>569883.13</v>
      </c>
      <c r="E240" s="378"/>
      <c r="F240" s="497"/>
      <c r="G240" s="378">
        <v>46805.75</v>
      </c>
      <c r="H240" s="378">
        <v>2023.3</v>
      </c>
      <c r="I240" s="378"/>
      <c r="J240" s="378">
        <v>42510.8</v>
      </c>
      <c r="K240" s="378">
        <v>20358.650000000001</v>
      </c>
      <c r="L240" s="378">
        <v>416840.95</v>
      </c>
      <c r="M240" s="323">
        <f t="shared" si="6"/>
        <v>4978325.5600000005</v>
      </c>
      <c r="N240" s="380">
        <v>33537.599999999999</v>
      </c>
      <c r="O240" s="380">
        <v>55082.6</v>
      </c>
      <c r="P240" s="380">
        <v>185338.5</v>
      </c>
      <c r="Q240" s="380">
        <v>350.73</v>
      </c>
      <c r="R240" s="380">
        <v>237738.1</v>
      </c>
      <c r="S240" s="368">
        <v>5530.48</v>
      </c>
      <c r="T240" s="430">
        <f t="shared" si="7"/>
        <v>5495903.5700000003</v>
      </c>
      <c r="U240" s="381">
        <v>69</v>
      </c>
      <c r="V240" s="384">
        <v>2107</v>
      </c>
      <c r="W240" s="427">
        <v>-33285.89</v>
      </c>
      <c r="X240" s="433"/>
      <c r="Y240" s="433">
        <v>-566.70000000000005</v>
      </c>
      <c r="Z240" s="438">
        <v>1</v>
      </c>
    </row>
    <row r="241" spans="1:26" x14ac:dyDescent="0.25">
      <c r="A241" s="329">
        <v>5803</v>
      </c>
      <c r="B241" s="447" t="s">
        <v>372</v>
      </c>
      <c r="C241" s="378">
        <v>1098597.54</v>
      </c>
      <c r="D241" s="378">
        <v>167197.06</v>
      </c>
      <c r="E241" s="378"/>
      <c r="F241" s="497"/>
      <c r="G241" s="378">
        <v>2876.7</v>
      </c>
      <c r="H241" s="378">
        <v>368.1</v>
      </c>
      <c r="I241" s="378"/>
      <c r="J241" s="378">
        <v>22871.35</v>
      </c>
      <c r="K241" s="378"/>
      <c r="L241" s="378">
        <v>103408.85</v>
      </c>
      <c r="M241" s="323">
        <f t="shared" si="6"/>
        <v>1395319.6000000003</v>
      </c>
      <c r="N241" s="380">
        <v>898.7</v>
      </c>
      <c r="O241" s="380">
        <v>-3273.2</v>
      </c>
      <c r="P241" s="380">
        <v>71500</v>
      </c>
      <c r="Q241" s="380">
        <v>29.96</v>
      </c>
      <c r="R241" s="380">
        <v>39305.199999999997</v>
      </c>
      <c r="S241" s="368">
        <v>367.51</v>
      </c>
      <c r="T241" s="430">
        <f t="shared" si="7"/>
        <v>1504147.7700000003</v>
      </c>
      <c r="U241" s="381">
        <v>76</v>
      </c>
      <c r="V241" s="384">
        <v>631</v>
      </c>
      <c r="W241" s="427">
        <v>-27436.33</v>
      </c>
      <c r="X241" s="433"/>
      <c r="Y241" s="433">
        <v>-570.45000000000005</v>
      </c>
      <c r="Z241" s="438">
        <v>1</v>
      </c>
    </row>
    <row r="242" spans="1:26" x14ac:dyDescent="0.25">
      <c r="A242" s="329">
        <v>5804</v>
      </c>
      <c r="B242" s="447" t="s">
        <v>416</v>
      </c>
      <c r="C242" s="378">
        <v>2633702.9500000002</v>
      </c>
      <c r="D242" s="378">
        <v>400236.97</v>
      </c>
      <c r="E242" s="378"/>
      <c r="F242" s="497"/>
      <c r="G242" s="378">
        <v>26017.7</v>
      </c>
      <c r="H242" s="378">
        <v>1652.15</v>
      </c>
      <c r="I242" s="378"/>
      <c r="J242" s="378">
        <v>54059.41</v>
      </c>
      <c r="K242" s="378">
        <v>3278.5</v>
      </c>
      <c r="L242" s="378">
        <v>274777.40000000002</v>
      </c>
      <c r="M242" s="323">
        <f t="shared" si="6"/>
        <v>3393725.08</v>
      </c>
      <c r="N242" s="380">
        <v>15774.9</v>
      </c>
      <c r="O242" s="380">
        <v>40418.400000000001</v>
      </c>
      <c r="P242" s="380">
        <v>79980</v>
      </c>
      <c r="Q242" s="380">
        <v>6872.94</v>
      </c>
      <c r="R242" s="380">
        <v>41713.65</v>
      </c>
      <c r="S242" s="368">
        <v>3133.95</v>
      </c>
      <c r="T242" s="430">
        <f t="shared" si="7"/>
        <v>3581618.92</v>
      </c>
      <c r="U242" s="381">
        <v>70.5</v>
      </c>
      <c r="V242" s="384">
        <v>1603</v>
      </c>
      <c r="W242" s="427">
        <v>-99710.62</v>
      </c>
      <c r="X242" s="433"/>
      <c r="Y242" s="433">
        <v>-784.42</v>
      </c>
      <c r="Z242" s="438">
        <v>1</v>
      </c>
    </row>
    <row r="243" spans="1:26" x14ac:dyDescent="0.25">
      <c r="A243" s="329">
        <v>5805</v>
      </c>
      <c r="B243" s="447" t="s">
        <v>418</v>
      </c>
      <c r="C243" s="378">
        <v>8320868.4800000004</v>
      </c>
      <c r="D243" s="378">
        <v>1085448.57</v>
      </c>
      <c r="E243" s="378"/>
      <c r="F243" s="497"/>
      <c r="G243" s="378">
        <v>633145.9</v>
      </c>
      <c r="H243" s="378">
        <v>55774.75</v>
      </c>
      <c r="I243" s="378">
        <v>37768.199999999997</v>
      </c>
      <c r="J243" s="378">
        <v>171373.15</v>
      </c>
      <c r="K243" s="378">
        <v>82491.100000000006</v>
      </c>
      <c r="L243" s="378">
        <v>1051919.8999999999</v>
      </c>
      <c r="M243" s="323">
        <f t="shared" si="6"/>
        <v>11438790.050000001</v>
      </c>
      <c r="N243" s="380">
        <v>100890.6</v>
      </c>
      <c r="O243" s="380">
        <v>-81995.3</v>
      </c>
      <c r="P243" s="380">
        <v>412093.05</v>
      </c>
      <c r="Q243" s="380">
        <v>55475.61</v>
      </c>
      <c r="R243" s="380">
        <v>248779.65</v>
      </c>
      <c r="S243" s="368">
        <v>78028.62</v>
      </c>
      <c r="T243" s="430">
        <f t="shared" si="7"/>
        <v>12252062.279999999</v>
      </c>
      <c r="U243" s="381">
        <v>69</v>
      </c>
      <c r="V243" s="384">
        <v>5703</v>
      </c>
      <c r="W243" s="427">
        <v>-289366</v>
      </c>
      <c r="X243" s="433"/>
      <c r="Y243" s="433">
        <v>-1323.83</v>
      </c>
      <c r="Z243" s="438">
        <v>1.1000000000000001</v>
      </c>
    </row>
    <row r="244" spans="1:26" x14ac:dyDescent="0.25">
      <c r="A244" s="329">
        <v>5806</v>
      </c>
      <c r="B244" s="447" t="s">
        <v>493</v>
      </c>
      <c r="C244" s="378">
        <v>5886434.3899999997</v>
      </c>
      <c r="D244" s="378">
        <v>689127.9</v>
      </c>
      <c r="E244" s="378"/>
      <c r="F244" s="497"/>
      <c r="G244" s="378">
        <v>172289.5</v>
      </c>
      <c r="H244" s="378">
        <v>6521.75</v>
      </c>
      <c r="I244" s="378">
        <v>53357.25</v>
      </c>
      <c r="J244" s="378">
        <v>79955.679999999993</v>
      </c>
      <c r="K244" s="378">
        <v>25070.35</v>
      </c>
      <c r="L244" s="378">
        <v>530879.35</v>
      </c>
      <c r="M244" s="323">
        <f t="shared" si="6"/>
        <v>7443636.169999999</v>
      </c>
      <c r="N244" s="380">
        <v>31196.15</v>
      </c>
      <c r="O244" s="380">
        <v>130916.2</v>
      </c>
      <c r="P244" s="380">
        <v>484897.95</v>
      </c>
      <c r="Q244" s="380">
        <v>22479.03</v>
      </c>
      <c r="R244" s="380">
        <v>355717.5</v>
      </c>
      <c r="S244" s="368">
        <v>20252.54</v>
      </c>
      <c r="T244" s="430">
        <f t="shared" si="7"/>
        <v>8489095.5399999991</v>
      </c>
      <c r="U244" s="381">
        <v>73</v>
      </c>
      <c r="V244" s="384">
        <v>3095</v>
      </c>
      <c r="W244" s="427">
        <v>-33808.839999999997</v>
      </c>
      <c r="X244" s="433"/>
      <c r="Y244" s="433">
        <v>-883.54</v>
      </c>
      <c r="Z244" s="438">
        <v>1</v>
      </c>
    </row>
    <row r="245" spans="1:26" x14ac:dyDescent="0.25">
      <c r="A245" s="329">
        <v>5812</v>
      </c>
      <c r="B245" s="447" t="s">
        <v>373</v>
      </c>
      <c r="C245" s="378">
        <v>221083.5</v>
      </c>
      <c r="D245" s="378">
        <v>23548.09</v>
      </c>
      <c r="E245" s="378"/>
      <c r="F245" s="497"/>
      <c r="G245" s="378">
        <v>-2112.35</v>
      </c>
      <c r="H245" s="378">
        <v>628.4</v>
      </c>
      <c r="I245" s="378"/>
      <c r="J245" s="378">
        <v>526.65</v>
      </c>
      <c r="K245" s="378">
        <v>894.75</v>
      </c>
      <c r="L245" s="378">
        <v>14994.2</v>
      </c>
      <c r="M245" s="323">
        <f t="shared" si="6"/>
        <v>259563.24</v>
      </c>
      <c r="N245" s="380"/>
      <c r="O245" s="380">
        <v>926.3</v>
      </c>
      <c r="P245" s="380">
        <v>12760</v>
      </c>
      <c r="Q245" s="380">
        <v>381.99</v>
      </c>
      <c r="R245" s="380">
        <v>525</v>
      </c>
      <c r="S245" s="368">
        <v>-168.08</v>
      </c>
      <c r="T245" s="430">
        <f t="shared" si="7"/>
        <v>273988.44999999995</v>
      </c>
      <c r="U245" s="381">
        <v>77</v>
      </c>
      <c r="V245" s="384">
        <v>169</v>
      </c>
      <c r="W245" s="427">
        <v>-5587.26</v>
      </c>
      <c r="X245" s="433"/>
      <c r="Y245" s="433">
        <v>-53.85</v>
      </c>
      <c r="Z245" s="438">
        <v>0.8</v>
      </c>
    </row>
    <row r="246" spans="1:26" x14ac:dyDescent="0.25">
      <c r="A246" s="329">
        <v>5813</v>
      </c>
      <c r="B246" s="447" t="s">
        <v>374</v>
      </c>
      <c r="C246" s="378">
        <v>821563.15</v>
      </c>
      <c r="D246" s="378">
        <v>103004.27</v>
      </c>
      <c r="E246" s="378"/>
      <c r="F246" s="497">
        <v>3210</v>
      </c>
      <c r="G246" s="378">
        <v>31643.200000000001</v>
      </c>
      <c r="H246" s="378">
        <v>585</v>
      </c>
      <c r="I246" s="378"/>
      <c r="J246" s="378">
        <v>16389.599999999999</v>
      </c>
      <c r="K246" s="378"/>
      <c r="L246" s="378">
        <v>114106.05</v>
      </c>
      <c r="M246" s="323">
        <f t="shared" si="6"/>
        <v>1090501.27</v>
      </c>
      <c r="N246" s="380"/>
      <c r="O246" s="380">
        <v>3090.9</v>
      </c>
      <c r="P246" s="380">
        <v>79172.3</v>
      </c>
      <c r="Q246" s="380">
        <v>147.9</v>
      </c>
      <c r="R246" s="380">
        <v>70066.399999999994</v>
      </c>
      <c r="S246" s="368">
        <v>3650.23</v>
      </c>
      <c r="T246" s="430">
        <f t="shared" si="7"/>
        <v>1246628.9999999998</v>
      </c>
      <c r="U246" s="381">
        <v>68.5</v>
      </c>
      <c r="V246" s="384">
        <v>506</v>
      </c>
      <c r="W246" s="427">
        <v>-28813.71</v>
      </c>
      <c r="X246" s="433"/>
      <c r="Y246" s="433">
        <v>0</v>
      </c>
      <c r="Z246" s="438">
        <v>1.2</v>
      </c>
    </row>
    <row r="247" spans="1:26" x14ac:dyDescent="0.25">
      <c r="A247" s="329">
        <v>5816</v>
      </c>
      <c r="B247" s="447" t="s">
        <v>6</v>
      </c>
      <c r="C247" s="378">
        <v>3392362.82</v>
      </c>
      <c r="D247" s="378">
        <v>363823.59</v>
      </c>
      <c r="E247" s="378"/>
      <c r="F247" s="497"/>
      <c r="G247" s="378">
        <v>173750</v>
      </c>
      <c r="H247" s="378">
        <v>32729.7</v>
      </c>
      <c r="I247" s="378"/>
      <c r="J247" s="378">
        <v>169156.29</v>
      </c>
      <c r="K247" s="378">
        <v>27650.1</v>
      </c>
      <c r="L247" s="378">
        <v>270763.8</v>
      </c>
      <c r="M247" s="323">
        <f t="shared" si="6"/>
        <v>4430236.3</v>
      </c>
      <c r="N247" s="380">
        <v>25265.5</v>
      </c>
      <c r="O247" s="380">
        <v>1269.9000000000001</v>
      </c>
      <c r="P247" s="380">
        <v>157913.5</v>
      </c>
      <c r="Q247" s="380">
        <v>52136.26</v>
      </c>
      <c r="R247" s="380">
        <v>96820.05</v>
      </c>
      <c r="S247" s="368">
        <v>23386.33</v>
      </c>
      <c r="T247" s="430">
        <f t="shared" si="7"/>
        <v>4787027.84</v>
      </c>
      <c r="U247" s="381">
        <v>68.5</v>
      </c>
      <c r="V247" s="384">
        <v>2722</v>
      </c>
      <c r="W247" s="427">
        <v>-124649.64</v>
      </c>
      <c r="X247" s="433"/>
      <c r="Y247" s="433">
        <v>-39.9</v>
      </c>
      <c r="Z247" s="438">
        <v>0.7</v>
      </c>
    </row>
    <row r="248" spans="1:26" x14ac:dyDescent="0.25">
      <c r="A248" s="329">
        <v>5817</v>
      </c>
      <c r="B248" s="447" t="s">
        <v>7</v>
      </c>
      <c r="C248" s="378">
        <v>1480896.57</v>
      </c>
      <c r="D248" s="378">
        <v>152734.93</v>
      </c>
      <c r="E248" s="378"/>
      <c r="F248" s="497">
        <v>5910</v>
      </c>
      <c r="G248" s="378">
        <v>32065.35</v>
      </c>
      <c r="H248" s="378">
        <v>1897.5</v>
      </c>
      <c r="I248" s="378"/>
      <c r="J248" s="378">
        <v>34806.870000000003</v>
      </c>
      <c r="K248" s="378">
        <v>4344.6499999999996</v>
      </c>
      <c r="L248" s="378">
        <v>129917.15</v>
      </c>
      <c r="M248" s="323">
        <f t="shared" si="6"/>
        <v>1842573.02</v>
      </c>
      <c r="N248" s="380">
        <v>7672.05</v>
      </c>
      <c r="O248" s="380"/>
      <c r="P248" s="380">
        <v>30975.95</v>
      </c>
      <c r="Q248" s="380"/>
      <c r="R248" s="380">
        <v>10179.85</v>
      </c>
      <c r="S248" s="368">
        <v>3846.7</v>
      </c>
      <c r="T248" s="430">
        <f t="shared" si="7"/>
        <v>1895247.57</v>
      </c>
      <c r="U248" s="381">
        <v>73.5</v>
      </c>
      <c r="V248" s="384">
        <v>987</v>
      </c>
      <c r="W248" s="427">
        <v>-36557.29</v>
      </c>
      <c r="X248" s="433"/>
      <c r="Y248" s="433">
        <v>-64.3</v>
      </c>
      <c r="Z248" s="438">
        <v>1</v>
      </c>
    </row>
    <row r="249" spans="1:26" x14ac:dyDescent="0.25">
      <c r="A249" s="329">
        <v>5819</v>
      </c>
      <c r="B249" s="447" t="s">
        <v>8</v>
      </c>
      <c r="C249" s="378">
        <v>532187.02</v>
      </c>
      <c r="D249" s="378">
        <v>141364.38</v>
      </c>
      <c r="E249" s="378"/>
      <c r="F249" s="497"/>
      <c r="G249" s="378">
        <v>-29769.599999999999</v>
      </c>
      <c r="H249" s="378">
        <v>6808.6</v>
      </c>
      <c r="I249" s="378"/>
      <c r="J249" s="378">
        <v>21624.85</v>
      </c>
      <c r="K249" s="378">
        <v>1744.95</v>
      </c>
      <c r="L249" s="378">
        <v>92319.25</v>
      </c>
      <c r="M249" s="323">
        <f t="shared" si="6"/>
        <v>766279.45</v>
      </c>
      <c r="N249" s="380">
        <v>5222.3500000000004</v>
      </c>
      <c r="O249" s="380"/>
      <c r="P249" s="380">
        <v>44013.45</v>
      </c>
      <c r="Q249" s="380">
        <v>-733.37</v>
      </c>
      <c r="R249" s="380">
        <v>19216.5</v>
      </c>
      <c r="S249" s="368">
        <v>-2600.61</v>
      </c>
      <c r="T249" s="430">
        <f t="shared" si="7"/>
        <v>831397.7699999999</v>
      </c>
      <c r="U249" s="381">
        <v>69</v>
      </c>
      <c r="V249" s="384">
        <v>407</v>
      </c>
      <c r="W249" s="427">
        <v>-43903.92</v>
      </c>
      <c r="X249" s="433"/>
      <c r="Y249" s="433">
        <v>-24695.9</v>
      </c>
      <c r="Z249" s="438">
        <v>1</v>
      </c>
    </row>
    <row r="250" spans="1:26" x14ac:dyDescent="0.25">
      <c r="A250" s="329">
        <v>5821</v>
      </c>
      <c r="B250" s="447" t="s">
        <v>9</v>
      </c>
      <c r="C250" s="378">
        <v>440903.67</v>
      </c>
      <c r="D250" s="378">
        <v>67536.23</v>
      </c>
      <c r="E250" s="378"/>
      <c r="F250" s="497">
        <v>2230</v>
      </c>
      <c r="G250" s="378">
        <v>5654.7</v>
      </c>
      <c r="H250" s="378">
        <v>361.6</v>
      </c>
      <c r="I250" s="378"/>
      <c r="J250" s="378">
        <v>21347.9</v>
      </c>
      <c r="K250" s="378">
        <v>1305</v>
      </c>
      <c r="L250" s="378">
        <v>52743.7</v>
      </c>
      <c r="M250" s="323">
        <f t="shared" si="6"/>
        <v>592082.79999999993</v>
      </c>
      <c r="N250" s="380"/>
      <c r="O250" s="380"/>
      <c r="P250" s="380">
        <v>8421.75</v>
      </c>
      <c r="Q250" s="380">
        <v>514.79999999999995</v>
      </c>
      <c r="R250" s="380">
        <v>16164</v>
      </c>
      <c r="S250" s="368">
        <v>681.42</v>
      </c>
      <c r="T250" s="430">
        <f t="shared" si="7"/>
        <v>617864.77</v>
      </c>
      <c r="U250" s="381">
        <v>72</v>
      </c>
      <c r="V250" s="384">
        <v>366</v>
      </c>
      <c r="W250" s="427">
        <v>-14061.66</v>
      </c>
      <c r="X250" s="433"/>
      <c r="Y250" s="433">
        <v>0</v>
      </c>
      <c r="Z250" s="438">
        <v>1</v>
      </c>
    </row>
    <row r="251" spans="1:26" x14ac:dyDescent="0.25">
      <c r="A251" s="329">
        <v>5822</v>
      </c>
      <c r="B251" s="447" t="s">
        <v>10</v>
      </c>
      <c r="C251" s="378">
        <v>12829493.210000001</v>
      </c>
      <c r="D251" s="378">
        <v>1491509.8</v>
      </c>
      <c r="E251" s="378"/>
      <c r="F251" s="497"/>
      <c r="G251" s="378">
        <v>894146.35</v>
      </c>
      <c r="H251" s="378">
        <v>124496.95</v>
      </c>
      <c r="I251" s="378"/>
      <c r="J251" s="378">
        <v>684056.64</v>
      </c>
      <c r="K251" s="378">
        <v>209805.9</v>
      </c>
      <c r="L251" s="378">
        <v>1531986.75</v>
      </c>
      <c r="M251" s="323">
        <f t="shared" si="6"/>
        <v>17765495.600000001</v>
      </c>
      <c r="N251" s="380">
        <v>26658.9</v>
      </c>
      <c r="O251" s="380">
        <v>487838.2</v>
      </c>
      <c r="P251" s="380">
        <v>1137375.1000000001</v>
      </c>
      <c r="Q251" s="380">
        <v>169489.4</v>
      </c>
      <c r="R251" s="380">
        <v>639524.65</v>
      </c>
      <c r="S251" s="368">
        <v>115373.7</v>
      </c>
      <c r="T251" s="430">
        <f t="shared" si="7"/>
        <v>20341755.549999997</v>
      </c>
      <c r="U251" s="381">
        <v>73</v>
      </c>
      <c r="V251" s="384">
        <v>10258</v>
      </c>
      <c r="W251" s="427">
        <v>-528323.68999999994</v>
      </c>
      <c r="X251" s="433"/>
      <c r="Y251" s="433">
        <v>-3170.58</v>
      </c>
      <c r="Z251" s="438">
        <v>1</v>
      </c>
    </row>
    <row r="252" spans="1:26" x14ac:dyDescent="0.25">
      <c r="A252" s="329">
        <v>5827</v>
      </c>
      <c r="B252" s="447" t="s">
        <v>11</v>
      </c>
      <c r="C252" s="378">
        <v>476185.3</v>
      </c>
      <c r="D252" s="378">
        <v>50197.19</v>
      </c>
      <c r="E252" s="378"/>
      <c r="F252" s="497">
        <v>1600</v>
      </c>
      <c r="G252" s="378">
        <v>5849.15</v>
      </c>
      <c r="H252" s="378">
        <v>1630.5</v>
      </c>
      <c r="I252" s="378"/>
      <c r="J252" s="378">
        <v>19238.439999999999</v>
      </c>
      <c r="K252" s="378">
        <v>1796.35</v>
      </c>
      <c r="L252" s="378">
        <v>41462.35</v>
      </c>
      <c r="M252" s="323">
        <f t="shared" si="6"/>
        <v>597959.27999999991</v>
      </c>
      <c r="N252" s="380"/>
      <c r="O252" s="380"/>
      <c r="P252" s="380">
        <v>109292.4</v>
      </c>
      <c r="Q252" s="380">
        <v>18140.900000000001</v>
      </c>
      <c r="R252" s="380">
        <v>6090.35</v>
      </c>
      <c r="S252" s="368">
        <v>847.16</v>
      </c>
      <c r="T252" s="430">
        <f t="shared" si="7"/>
        <v>732330.09</v>
      </c>
      <c r="U252" s="381">
        <v>78</v>
      </c>
      <c r="V252" s="384">
        <v>321</v>
      </c>
      <c r="W252" s="427">
        <v>-12646.72</v>
      </c>
      <c r="X252" s="433"/>
      <c r="Y252" s="433">
        <v>0</v>
      </c>
      <c r="Z252" s="438">
        <v>1</v>
      </c>
    </row>
    <row r="253" spans="1:26" x14ac:dyDescent="0.25">
      <c r="A253" s="329">
        <v>5828</v>
      </c>
      <c r="B253" s="447" t="s">
        <v>489</v>
      </c>
      <c r="C253" s="378">
        <v>197929.51</v>
      </c>
      <c r="D253" s="378">
        <v>25262.55</v>
      </c>
      <c r="E253" s="378"/>
      <c r="F253" s="497"/>
      <c r="G253" s="378">
        <v>271.75</v>
      </c>
      <c r="H253" s="378">
        <v>-20.45</v>
      </c>
      <c r="I253" s="378"/>
      <c r="J253" s="378">
        <v>72.45</v>
      </c>
      <c r="K253" s="378"/>
      <c r="L253" s="378">
        <v>24795.55</v>
      </c>
      <c r="M253" s="323">
        <f t="shared" si="6"/>
        <v>248311.36</v>
      </c>
      <c r="N253" s="380"/>
      <c r="O253" s="380"/>
      <c r="P253" s="380">
        <v>9900</v>
      </c>
      <c r="Q253" s="380"/>
      <c r="R253" s="380">
        <v>3774.05</v>
      </c>
      <c r="S253" s="368">
        <v>28.46</v>
      </c>
      <c r="T253" s="430">
        <f t="shared" si="7"/>
        <v>262013.86999999997</v>
      </c>
      <c r="U253" s="381">
        <v>82.5</v>
      </c>
      <c r="V253" s="384">
        <v>110</v>
      </c>
      <c r="W253" s="427">
        <v>-888.96</v>
      </c>
      <c r="X253" s="433"/>
      <c r="Y253" s="433">
        <v>0</v>
      </c>
      <c r="Z253" s="438">
        <v>1.5</v>
      </c>
    </row>
    <row r="254" spans="1:26" x14ac:dyDescent="0.25">
      <c r="A254" s="329">
        <v>5830</v>
      </c>
      <c r="B254" s="447" t="s">
        <v>12</v>
      </c>
      <c r="C254" s="378">
        <v>770136.67</v>
      </c>
      <c r="D254" s="378">
        <v>70242.47</v>
      </c>
      <c r="E254" s="378"/>
      <c r="F254" s="497"/>
      <c r="G254" s="378">
        <v>10820.95</v>
      </c>
      <c r="H254" s="378">
        <v>447.9</v>
      </c>
      <c r="I254" s="378"/>
      <c r="J254" s="378">
        <v>12123.73</v>
      </c>
      <c r="K254" s="378">
        <v>441.2</v>
      </c>
      <c r="L254" s="378">
        <v>61174.8</v>
      </c>
      <c r="M254" s="323">
        <f t="shared" si="6"/>
        <v>925387.72</v>
      </c>
      <c r="N254" s="380">
        <v>8196.65</v>
      </c>
      <c r="O254" s="380">
        <v>19364.3</v>
      </c>
      <c r="P254" s="380">
        <v>50741.35</v>
      </c>
      <c r="Q254" s="380">
        <v>9204.1</v>
      </c>
      <c r="R254" s="380">
        <v>54388.3</v>
      </c>
      <c r="S254" s="368">
        <v>1276.33</v>
      </c>
      <c r="T254" s="430">
        <f t="shared" si="7"/>
        <v>1068558.75</v>
      </c>
      <c r="U254" s="381">
        <v>75</v>
      </c>
      <c r="V254" s="384">
        <v>500</v>
      </c>
      <c r="W254" s="427">
        <v>-5067.7700000000004</v>
      </c>
      <c r="X254" s="433"/>
      <c r="Y254" s="433">
        <v>-51.36</v>
      </c>
      <c r="Z254" s="438">
        <v>1</v>
      </c>
    </row>
    <row r="255" spans="1:26" x14ac:dyDescent="0.25">
      <c r="A255" s="329">
        <v>5831</v>
      </c>
      <c r="B255" s="447" t="s">
        <v>417</v>
      </c>
      <c r="C255" s="378">
        <v>4289158.5</v>
      </c>
      <c r="D255" s="378">
        <v>665433.98</v>
      </c>
      <c r="E255" s="378"/>
      <c r="F255" s="497"/>
      <c r="G255" s="378">
        <v>122619.45</v>
      </c>
      <c r="H255" s="378">
        <v>29475.9</v>
      </c>
      <c r="I255" s="378"/>
      <c r="J255" s="378">
        <v>163886.23000000001</v>
      </c>
      <c r="K255" s="378">
        <v>24539.599999999999</v>
      </c>
      <c r="L255" s="378">
        <v>299642.90000000002</v>
      </c>
      <c r="M255" s="323">
        <f t="shared" si="6"/>
        <v>5594756.5600000015</v>
      </c>
      <c r="N255" s="380">
        <v>21377.35</v>
      </c>
      <c r="O255" s="380">
        <v>190844.4</v>
      </c>
      <c r="P255" s="380">
        <v>278818.25</v>
      </c>
      <c r="Q255" s="380">
        <v>41332.51</v>
      </c>
      <c r="R255" s="380">
        <v>382124.95</v>
      </c>
      <c r="S255" s="368">
        <v>17226.64</v>
      </c>
      <c r="T255" s="430">
        <f t="shared" si="7"/>
        <v>6526480.6600000011</v>
      </c>
      <c r="U255" s="381">
        <v>70.5</v>
      </c>
      <c r="V255" s="384">
        <v>3349</v>
      </c>
      <c r="W255" s="427">
        <v>-137134.32</v>
      </c>
      <c r="X255" s="433"/>
      <c r="Y255" s="433">
        <v>-591.34</v>
      </c>
      <c r="Z255" s="438">
        <v>0.6</v>
      </c>
    </row>
    <row r="256" spans="1:26" x14ac:dyDescent="0.25">
      <c r="A256" s="329">
        <v>5841</v>
      </c>
      <c r="B256" s="447" t="s">
        <v>13</v>
      </c>
      <c r="C256" s="378">
        <v>5416937.2300000004</v>
      </c>
      <c r="D256" s="378">
        <v>1679946.55</v>
      </c>
      <c r="E256" s="378"/>
      <c r="F256" s="497"/>
      <c r="G256" s="378">
        <v>141500.65</v>
      </c>
      <c r="H256" s="378">
        <v>20399.7</v>
      </c>
      <c r="I256" s="378">
        <v>607555.07999999996</v>
      </c>
      <c r="J256" s="378">
        <v>395554.33</v>
      </c>
      <c r="K256" s="378">
        <v>23339.8</v>
      </c>
      <c r="L256" s="378">
        <v>1535980.65</v>
      </c>
      <c r="M256" s="323">
        <f t="shared" si="6"/>
        <v>9821213.9900000002</v>
      </c>
      <c r="N256" s="380">
        <v>4103.45</v>
      </c>
      <c r="O256" s="380">
        <v>443777</v>
      </c>
      <c r="P256" s="380">
        <v>796748.95</v>
      </c>
      <c r="Q256" s="380">
        <v>7461.84</v>
      </c>
      <c r="R256" s="380">
        <v>545825.94999999995</v>
      </c>
      <c r="S256" s="368">
        <v>18337.18</v>
      </c>
      <c r="T256" s="430">
        <f t="shared" si="7"/>
        <v>11637468.359999998</v>
      </c>
      <c r="U256" s="381">
        <v>81.5</v>
      </c>
      <c r="V256" s="384">
        <v>3549</v>
      </c>
      <c r="W256" s="427">
        <v>-292514.46000000002</v>
      </c>
      <c r="X256" s="433"/>
      <c r="Y256" s="433">
        <v>-7607.52</v>
      </c>
      <c r="Z256" s="438">
        <v>1.5</v>
      </c>
    </row>
    <row r="257" spans="1:26" x14ac:dyDescent="0.25">
      <c r="A257" s="329">
        <v>5842</v>
      </c>
      <c r="B257" s="447" t="s">
        <v>14</v>
      </c>
      <c r="C257" s="378">
        <v>799106.09</v>
      </c>
      <c r="D257" s="378">
        <v>203574.74</v>
      </c>
      <c r="E257" s="378"/>
      <c r="F257" s="497"/>
      <c r="G257" s="378">
        <v>72791.3</v>
      </c>
      <c r="H257" s="378">
        <v>3101.85</v>
      </c>
      <c r="I257" s="378">
        <v>20057.8</v>
      </c>
      <c r="J257" s="378">
        <v>10197.969999999999</v>
      </c>
      <c r="K257" s="378">
        <v>916.35</v>
      </c>
      <c r="L257" s="378">
        <v>143473.25</v>
      </c>
      <c r="M257" s="323">
        <f t="shared" si="6"/>
        <v>1253219.3500000001</v>
      </c>
      <c r="N257" s="380"/>
      <c r="O257" s="380">
        <v>27713.5</v>
      </c>
      <c r="P257" s="380">
        <v>26823.7</v>
      </c>
      <c r="Q257" s="380"/>
      <c r="R257" s="380">
        <v>32625.15</v>
      </c>
      <c r="S257" s="368">
        <v>8595.82</v>
      </c>
      <c r="T257" s="430">
        <f t="shared" si="7"/>
        <v>1348977.52</v>
      </c>
      <c r="U257" s="381">
        <v>81</v>
      </c>
      <c r="V257" s="384">
        <v>534</v>
      </c>
      <c r="W257" s="427">
        <v>-3160.77</v>
      </c>
      <c r="X257" s="433"/>
      <c r="Y257" s="433">
        <v>-310.87</v>
      </c>
      <c r="Z257" s="438">
        <v>1.5</v>
      </c>
    </row>
    <row r="258" spans="1:26" x14ac:dyDescent="0.25">
      <c r="A258" s="329">
        <v>5843</v>
      </c>
      <c r="B258" s="447" t="s">
        <v>15</v>
      </c>
      <c r="C258" s="378">
        <v>2530411.77</v>
      </c>
      <c r="D258" s="378">
        <v>2017292.41</v>
      </c>
      <c r="E258" s="378"/>
      <c r="F258" s="497"/>
      <c r="G258" s="378">
        <v>94731.85</v>
      </c>
      <c r="H258" s="378">
        <v>20258.849999999999</v>
      </c>
      <c r="I258" s="378">
        <v>1583236.52</v>
      </c>
      <c r="J258" s="378">
        <v>87280.53</v>
      </c>
      <c r="K258" s="378">
        <v>37320.050000000003</v>
      </c>
      <c r="L258" s="378">
        <v>1215783.6000000001</v>
      </c>
      <c r="M258" s="323">
        <f t="shared" si="6"/>
        <v>7586315.5799999982</v>
      </c>
      <c r="N258" s="380">
        <v>10483.35</v>
      </c>
      <c r="O258" s="380">
        <v>574714.4</v>
      </c>
      <c r="P258" s="380">
        <v>746902.4</v>
      </c>
      <c r="Q258" s="380">
        <v>22904.38</v>
      </c>
      <c r="R258" s="380">
        <v>995117.3</v>
      </c>
      <c r="S258" s="368">
        <v>13024.09</v>
      </c>
      <c r="T258" s="430">
        <f t="shared" si="7"/>
        <v>9949461.5</v>
      </c>
      <c r="U258" s="381">
        <v>74</v>
      </c>
      <c r="V258" s="384">
        <v>862</v>
      </c>
      <c r="W258" s="427">
        <v>-12741.46</v>
      </c>
      <c r="X258" s="433"/>
      <c r="Y258" s="433">
        <v>-19721.29</v>
      </c>
      <c r="Z258" s="438">
        <v>1.5</v>
      </c>
    </row>
    <row r="259" spans="1:26" x14ac:dyDescent="0.25">
      <c r="A259" s="329">
        <v>5851</v>
      </c>
      <c r="B259" s="447" t="s">
        <v>16</v>
      </c>
      <c r="C259" s="378">
        <v>930196.21</v>
      </c>
      <c r="D259" s="378">
        <v>183629.47</v>
      </c>
      <c r="E259" s="378"/>
      <c r="F259" s="497"/>
      <c r="G259" s="378">
        <v>69805.100000000006</v>
      </c>
      <c r="H259" s="378">
        <v>6883</v>
      </c>
      <c r="I259" s="378">
        <v>16716.099999999999</v>
      </c>
      <c r="J259" s="378">
        <v>43367.31</v>
      </c>
      <c r="K259" s="378">
        <v>23465</v>
      </c>
      <c r="L259" s="378">
        <v>243654.85</v>
      </c>
      <c r="M259" s="323">
        <f t="shared" si="6"/>
        <v>1517717.0400000003</v>
      </c>
      <c r="N259" s="380">
        <v>59074.75</v>
      </c>
      <c r="O259" s="380">
        <v>46126.7</v>
      </c>
      <c r="P259" s="380">
        <v>25826.55</v>
      </c>
      <c r="Q259" s="380">
        <v>1194.1500000000001</v>
      </c>
      <c r="R259" s="380"/>
      <c r="S259" s="368">
        <v>8685.86</v>
      </c>
      <c r="T259" s="430">
        <f t="shared" si="7"/>
        <v>1658625.0500000003</v>
      </c>
      <c r="U259" s="381">
        <v>60</v>
      </c>
      <c r="V259" s="384">
        <v>430</v>
      </c>
      <c r="W259" s="427">
        <v>-11973.54</v>
      </c>
      <c r="X259" s="433"/>
      <c r="Y259" s="433">
        <v>-916.92</v>
      </c>
      <c r="Z259" s="438">
        <v>1.1000000000000001</v>
      </c>
    </row>
    <row r="260" spans="1:26" x14ac:dyDescent="0.25">
      <c r="A260" s="329">
        <v>5852</v>
      </c>
      <c r="B260" s="447" t="s">
        <v>17</v>
      </c>
      <c r="C260" s="378">
        <v>1309627.01</v>
      </c>
      <c r="D260" s="378">
        <v>456448.24</v>
      </c>
      <c r="E260" s="378"/>
      <c r="F260" s="497"/>
      <c r="G260" s="378">
        <v>5749.5</v>
      </c>
      <c r="H260" s="378">
        <v>2868.1</v>
      </c>
      <c r="I260" s="378">
        <v>221080.95</v>
      </c>
      <c r="J260" s="378">
        <v>39511.160000000003</v>
      </c>
      <c r="K260" s="378">
        <v>7060.35</v>
      </c>
      <c r="L260" s="378">
        <v>143108.9</v>
      </c>
      <c r="M260" s="323">
        <f t="shared" si="6"/>
        <v>2185454.21</v>
      </c>
      <c r="N260" s="380">
        <v>9375.5499999999993</v>
      </c>
      <c r="O260" s="380">
        <v>-3500</v>
      </c>
      <c r="P260" s="380">
        <v>162199.95000000001</v>
      </c>
      <c r="Q260" s="380">
        <v>9680</v>
      </c>
      <c r="R260" s="380">
        <v>176858.35</v>
      </c>
      <c r="S260" s="368">
        <v>976.05</v>
      </c>
      <c r="T260" s="430">
        <f t="shared" si="7"/>
        <v>2541044.11</v>
      </c>
      <c r="U260" s="381">
        <v>62</v>
      </c>
      <c r="V260" s="384">
        <v>515</v>
      </c>
      <c r="W260" s="427">
        <v>-29844.94</v>
      </c>
      <c r="X260" s="433"/>
      <c r="Y260" s="433">
        <v>-66495.509999999995</v>
      </c>
      <c r="Z260" s="438">
        <v>0.75</v>
      </c>
    </row>
    <row r="261" spans="1:26" x14ac:dyDescent="0.25">
      <c r="A261" s="329">
        <v>5853</v>
      </c>
      <c r="B261" s="448" t="s">
        <v>18</v>
      </c>
      <c r="C261" s="378">
        <v>2154155.75</v>
      </c>
      <c r="D261" s="378">
        <v>427403.4</v>
      </c>
      <c r="E261" s="378"/>
      <c r="F261" s="497"/>
      <c r="G261" s="378">
        <v>36424.5</v>
      </c>
      <c r="H261" s="378">
        <v>5322</v>
      </c>
      <c r="I261" s="378">
        <v>305622.55</v>
      </c>
      <c r="J261" s="378">
        <v>22948.99</v>
      </c>
      <c r="K261" s="378">
        <v>12241.2</v>
      </c>
      <c r="L261" s="378">
        <v>216377.5</v>
      </c>
      <c r="M261" s="323">
        <f t="shared" si="6"/>
        <v>3180495.89</v>
      </c>
      <c r="N261" s="380">
        <v>82707.899999999994</v>
      </c>
      <c r="O261" s="380">
        <v>49723.4</v>
      </c>
      <c r="P261" s="380">
        <v>262434.90000000002</v>
      </c>
      <c r="Q261" s="380">
        <v>11620.92</v>
      </c>
      <c r="R261" s="380">
        <v>209867.1</v>
      </c>
      <c r="S261" s="368">
        <v>4728.3</v>
      </c>
      <c r="T261" s="430">
        <f t="shared" si="7"/>
        <v>3801578.4099999997</v>
      </c>
      <c r="U261" s="381">
        <v>71</v>
      </c>
      <c r="V261" s="384">
        <v>773</v>
      </c>
      <c r="W261" s="427">
        <v>-37360.03</v>
      </c>
      <c r="X261" s="433"/>
      <c r="Y261" s="433">
        <v>-956.95</v>
      </c>
      <c r="Z261" s="438">
        <v>1</v>
      </c>
    </row>
    <row r="262" spans="1:26" x14ac:dyDescent="0.25">
      <c r="A262" s="329">
        <v>5854</v>
      </c>
      <c r="B262" s="448" t="s">
        <v>19</v>
      </c>
      <c r="C262" s="378">
        <v>964213.34</v>
      </c>
      <c r="D262" s="378">
        <v>153504.89000000001</v>
      </c>
      <c r="E262" s="378"/>
      <c r="F262" s="497"/>
      <c r="G262" s="378">
        <v>6546.75</v>
      </c>
      <c r="H262" s="378">
        <v>1896.35</v>
      </c>
      <c r="I262" s="378"/>
      <c r="J262" s="378">
        <v>16366.43</v>
      </c>
      <c r="K262" s="378">
        <v>2158.9</v>
      </c>
      <c r="L262" s="378">
        <v>114438.55</v>
      </c>
      <c r="M262" s="323">
        <f t="shared" ref="M262:M314" si="8">SUM(C262:L262)</f>
        <v>1259125.21</v>
      </c>
      <c r="N262" s="380">
        <v>42212.55</v>
      </c>
      <c r="O262" s="380"/>
      <c r="P262" s="380">
        <v>8626.4</v>
      </c>
      <c r="Q262" s="380"/>
      <c r="R262" s="380">
        <v>36756.15</v>
      </c>
      <c r="S262" s="368">
        <v>956.28</v>
      </c>
      <c r="T262" s="430">
        <f t="shared" si="7"/>
        <v>1347676.5899999999</v>
      </c>
      <c r="U262" s="381">
        <v>80</v>
      </c>
      <c r="V262" s="384">
        <v>416</v>
      </c>
      <c r="W262" s="427">
        <v>-1105.19</v>
      </c>
      <c r="X262" s="433"/>
      <c r="Y262" s="433">
        <v>-352.74</v>
      </c>
      <c r="Z262" s="438">
        <v>1.5</v>
      </c>
    </row>
    <row r="263" spans="1:26" x14ac:dyDescent="0.25">
      <c r="A263" s="329">
        <v>5855</v>
      </c>
      <c r="B263" s="448" t="s">
        <v>20</v>
      </c>
      <c r="C263" s="378">
        <v>2549648.9</v>
      </c>
      <c r="D263" s="378">
        <v>779317.08</v>
      </c>
      <c r="E263" s="378"/>
      <c r="F263" s="497"/>
      <c r="G263" s="378">
        <v>58963.85</v>
      </c>
      <c r="H263" s="378">
        <v>30413</v>
      </c>
      <c r="I263" s="378">
        <v>758620.05</v>
      </c>
      <c r="J263" s="378">
        <v>41220.51</v>
      </c>
      <c r="K263" s="378">
        <v>16418.5</v>
      </c>
      <c r="L263" s="378">
        <v>370645.7</v>
      </c>
      <c r="M263" s="323">
        <f t="shared" si="8"/>
        <v>4605247.59</v>
      </c>
      <c r="N263" s="380">
        <v>1358.65</v>
      </c>
      <c r="O263" s="380"/>
      <c r="P263" s="380">
        <v>480920</v>
      </c>
      <c r="Q263" s="380"/>
      <c r="R263" s="380">
        <v>186622.65</v>
      </c>
      <c r="S263" s="368">
        <v>10123.01</v>
      </c>
      <c r="T263" s="430">
        <f t="shared" ref="T263:T315" si="9">SUM(M263:S263)</f>
        <v>5284271.9000000004</v>
      </c>
      <c r="U263" s="381">
        <v>49</v>
      </c>
      <c r="V263" s="384">
        <v>634</v>
      </c>
      <c r="W263" s="427">
        <v>-127.1</v>
      </c>
      <c r="X263" s="433"/>
      <c r="Y263" s="433">
        <v>-24720.01</v>
      </c>
      <c r="Z263" s="438">
        <v>1</v>
      </c>
    </row>
    <row r="264" spans="1:26" x14ac:dyDescent="0.25">
      <c r="A264" s="329">
        <v>5856</v>
      </c>
      <c r="B264" s="448" t="s">
        <v>21</v>
      </c>
      <c r="C264" s="378">
        <v>1970178.53</v>
      </c>
      <c r="D264" s="378">
        <v>311683.90000000002</v>
      </c>
      <c r="E264" s="378"/>
      <c r="F264" s="497"/>
      <c r="G264" s="378">
        <v>13507.15</v>
      </c>
      <c r="H264" s="378">
        <v>2463.85</v>
      </c>
      <c r="I264" s="378">
        <v>289067.8</v>
      </c>
      <c r="J264" s="378">
        <v>22811.4</v>
      </c>
      <c r="K264" s="378">
        <v>2840.1</v>
      </c>
      <c r="L264" s="378">
        <v>253354.75</v>
      </c>
      <c r="M264" s="323">
        <f t="shared" si="8"/>
        <v>2865907.48</v>
      </c>
      <c r="N264" s="380">
        <v>6571.75</v>
      </c>
      <c r="O264" s="380">
        <v>11110.6</v>
      </c>
      <c r="P264" s="380">
        <v>215233.5</v>
      </c>
      <c r="Q264" s="380">
        <v>221.8</v>
      </c>
      <c r="R264" s="380">
        <v>239416.85</v>
      </c>
      <c r="S264" s="368">
        <v>1808.91</v>
      </c>
      <c r="T264" s="430">
        <f t="shared" si="9"/>
        <v>3340270.89</v>
      </c>
      <c r="U264" s="381">
        <v>66.5</v>
      </c>
      <c r="V264" s="384">
        <v>753</v>
      </c>
      <c r="W264" s="427">
        <v>-11108.16</v>
      </c>
      <c r="X264" s="433"/>
      <c r="Y264" s="433">
        <v>-1328.98</v>
      </c>
      <c r="Z264" s="438">
        <v>1.3</v>
      </c>
    </row>
    <row r="265" spans="1:26" x14ac:dyDescent="0.25">
      <c r="A265" s="329">
        <v>5857</v>
      </c>
      <c r="B265" s="448" t="s">
        <v>22</v>
      </c>
      <c r="C265" s="378">
        <v>4569153.16</v>
      </c>
      <c r="D265" s="378">
        <v>690910.33</v>
      </c>
      <c r="E265" s="378"/>
      <c r="F265" s="497"/>
      <c r="G265" s="378">
        <v>19246.150000000001</v>
      </c>
      <c r="H265" s="378">
        <v>8907.1</v>
      </c>
      <c r="I265" s="378"/>
      <c r="J265" s="378">
        <v>35675.550000000003</v>
      </c>
      <c r="K265" s="378">
        <v>21221.55</v>
      </c>
      <c r="L265" s="378">
        <v>420306.65</v>
      </c>
      <c r="M265" s="323">
        <f t="shared" si="8"/>
        <v>5765420.4900000002</v>
      </c>
      <c r="N265" s="380">
        <v>86130.95</v>
      </c>
      <c r="O265" s="380"/>
      <c r="P265" s="380">
        <v>249526.39999999999</v>
      </c>
      <c r="Q265" s="380"/>
      <c r="R265" s="380">
        <v>190326.55</v>
      </c>
      <c r="S265" s="368">
        <v>3188.7</v>
      </c>
      <c r="T265" s="430">
        <f t="shared" si="9"/>
        <v>6294593.0900000008</v>
      </c>
      <c r="U265" s="381">
        <v>64.5</v>
      </c>
      <c r="V265" s="384">
        <v>1438</v>
      </c>
      <c r="W265" s="427">
        <v>-35827.82</v>
      </c>
      <c r="X265" s="433"/>
      <c r="Y265" s="433">
        <v>-888.64</v>
      </c>
      <c r="Z265" s="438">
        <v>1</v>
      </c>
    </row>
    <row r="266" spans="1:26" x14ac:dyDescent="0.25">
      <c r="A266" s="329">
        <v>5858</v>
      </c>
      <c r="B266" s="448" t="s">
        <v>23</v>
      </c>
      <c r="C266" s="378">
        <v>1586703.57</v>
      </c>
      <c r="D266" s="378">
        <v>337318.48</v>
      </c>
      <c r="E266" s="378"/>
      <c r="F266" s="497"/>
      <c r="G266" s="378">
        <v>14113.95</v>
      </c>
      <c r="H266" s="378">
        <v>271.5</v>
      </c>
      <c r="I266" s="378">
        <v>26062.26</v>
      </c>
      <c r="J266" s="378">
        <v>134330.93</v>
      </c>
      <c r="K266" s="378">
        <v>1653.9</v>
      </c>
      <c r="L266" s="378">
        <v>237176.05</v>
      </c>
      <c r="M266" s="323">
        <f t="shared" si="8"/>
        <v>2337630.6399999997</v>
      </c>
      <c r="N266" s="380">
        <v>3971.45</v>
      </c>
      <c r="O266" s="380">
        <v>370.8</v>
      </c>
      <c r="P266" s="380">
        <v>99996.4</v>
      </c>
      <c r="Q266" s="380">
        <v>1921.53</v>
      </c>
      <c r="R266" s="380">
        <v>5618.45</v>
      </c>
      <c r="S266" s="368">
        <v>1629.33</v>
      </c>
      <c r="T266" s="430">
        <f t="shared" si="9"/>
        <v>2451138.5999999996</v>
      </c>
      <c r="U266" s="381">
        <v>58.5</v>
      </c>
      <c r="V266" s="384">
        <v>630</v>
      </c>
      <c r="W266" s="427">
        <v>-20864.740000000002</v>
      </c>
      <c r="X266" s="433"/>
      <c r="Y266" s="433">
        <v>-3434.34</v>
      </c>
      <c r="Z266" s="438">
        <v>1.5</v>
      </c>
    </row>
    <row r="267" spans="1:26" x14ac:dyDescent="0.25">
      <c r="A267" s="329">
        <v>5859</v>
      </c>
      <c r="B267" s="448" t="s">
        <v>24</v>
      </c>
      <c r="C267" s="378">
        <v>7473642.4400000004</v>
      </c>
      <c r="D267" s="378">
        <v>1600183.12</v>
      </c>
      <c r="E267" s="378"/>
      <c r="F267" s="497"/>
      <c r="G267" s="378">
        <v>98135.45</v>
      </c>
      <c r="H267" s="378">
        <v>19883.7</v>
      </c>
      <c r="I267" s="378">
        <v>251427.3</v>
      </c>
      <c r="J267" s="378">
        <v>120596.17</v>
      </c>
      <c r="K267" s="378">
        <v>26616.5</v>
      </c>
      <c r="L267" s="378">
        <v>682773.4</v>
      </c>
      <c r="M267" s="323">
        <f t="shared" si="8"/>
        <v>10273258.08</v>
      </c>
      <c r="N267" s="380">
        <v>120212.6</v>
      </c>
      <c r="O267" s="380">
        <v>454080.9</v>
      </c>
      <c r="P267" s="380">
        <v>772469.4</v>
      </c>
      <c r="Q267" s="380">
        <v>1342.99</v>
      </c>
      <c r="R267" s="380">
        <v>444522.4</v>
      </c>
      <c r="S267" s="368">
        <v>13367.1</v>
      </c>
      <c r="T267" s="430">
        <f t="shared" si="9"/>
        <v>12079253.470000001</v>
      </c>
      <c r="U267" s="381">
        <v>63.5</v>
      </c>
      <c r="V267" s="384">
        <v>2739</v>
      </c>
      <c r="W267" s="427">
        <v>-44391.3</v>
      </c>
      <c r="X267" s="433"/>
      <c r="Y267" s="433">
        <v>-25732.32</v>
      </c>
      <c r="Z267" s="438">
        <v>1</v>
      </c>
    </row>
    <row r="268" spans="1:26" x14ac:dyDescent="0.25">
      <c r="A268" s="329">
        <v>5860</v>
      </c>
      <c r="B268" s="448" t="s">
        <v>25</v>
      </c>
      <c r="C268" s="378">
        <v>4573281.91</v>
      </c>
      <c r="D268" s="378">
        <v>1795041.99</v>
      </c>
      <c r="E268" s="378"/>
      <c r="F268" s="497"/>
      <c r="G268" s="378">
        <v>57279.35</v>
      </c>
      <c r="H268" s="378">
        <v>11037.7</v>
      </c>
      <c r="I268" s="378">
        <v>286540.95</v>
      </c>
      <c r="J268" s="378">
        <v>53145.32</v>
      </c>
      <c r="K268" s="378">
        <v>4677.8999999999996</v>
      </c>
      <c r="L268" s="378">
        <v>705030.6</v>
      </c>
      <c r="M268" s="323">
        <f t="shared" si="8"/>
        <v>7486035.7200000007</v>
      </c>
      <c r="N268" s="380">
        <v>19166.650000000001</v>
      </c>
      <c r="O268" s="380">
        <v>51341.3</v>
      </c>
      <c r="P268" s="380">
        <v>554801.80000000005</v>
      </c>
      <c r="Q268" s="380">
        <v>43239.91</v>
      </c>
      <c r="R268" s="380">
        <v>406854.35</v>
      </c>
      <c r="S268" s="368">
        <v>7737.73</v>
      </c>
      <c r="T268" s="430">
        <f t="shared" si="9"/>
        <v>8569177.4600000009</v>
      </c>
      <c r="U268" s="381">
        <v>58.5</v>
      </c>
      <c r="V268" s="384">
        <v>1514</v>
      </c>
      <c r="W268" s="427">
        <v>-57853.54</v>
      </c>
      <c r="X268" s="433"/>
      <c r="Y268" s="433">
        <v>-48297.53</v>
      </c>
      <c r="Z268" s="438">
        <v>1.3</v>
      </c>
    </row>
    <row r="269" spans="1:26" x14ac:dyDescent="0.25">
      <c r="A269" s="329">
        <v>5861</v>
      </c>
      <c r="B269" s="448" t="s">
        <v>26</v>
      </c>
      <c r="C269" s="378">
        <v>15157130.33</v>
      </c>
      <c r="D269" s="378">
        <v>3136421.01</v>
      </c>
      <c r="E269" s="378"/>
      <c r="F269" s="497"/>
      <c r="G269" s="378">
        <v>11997753.800000001</v>
      </c>
      <c r="H269" s="378">
        <v>2240010.5</v>
      </c>
      <c r="I269" s="378">
        <v>655911.5</v>
      </c>
      <c r="J269" s="378">
        <v>1326774.3799999999</v>
      </c>
      <c r="K269" s="378">
        <v>338690.9</v>
      </c>
      <c r="L269" s="378">
        <v>1864180.6</v>
      </c>
      <c r="M269" s="323">
        <f t="shared" si="8"/>
        <v>36716873.020000003</v>
      </c>
      <c r="N269" s="380">
        <v>223079.3</v>
      </c>
      <c r="O269" s="380">
        <v>1674898.2</v>
      </c>
      <c r="P269" s="380">
        <v>1019635.55</v>
      </c>
      <c r="Q269" s="380">
        <v>32554.28</v>
      </c>
      <c r="R269" s="380">
        <v>797224.8</v>
      </c>
      <c r="S269" s="368">
        <v>1612599.44</v>
      </c>
      <c r="T269" s="430">
        <f t="shared" si="9"/>
        <v>42076864.589999996</v>
      </c>
      <c r="U269" s="381">
        <v>59.5</v>
      </c>
      <c r="V269" s="384">
        <v>6291</v>
      </c>
      <c r="W269" s="427">
        <v>-332033.11</v>
      </c>
      <c r="X269" s="433"/>
      <c r="Y269" s="433">
        <v>-61342.879999999997</v>
      </c>
      <c r="Z269" s="438">
        <v>1</v>
      </c>
    </row>
    <row r="270" spans="1:26" x14ac:dyDescent="0.25">
      <c r="A270" s="329">
        <v>5862</v>
      </c>
      <c r="B270" s="448" t="s">
        <v>27</v>
      </c>
      <c r="C270" s="378">
        <v>506676.15</v>
      </c>
      <c r="D270" s="378">
        <v>81039.5</v>
      </c>
      <c r="E270" s="378"/>
      <c r="F270" s="497"/>
      <c r="G270" s="378">
        <v>716</v>
      </c>
      <c r="H270" s="378">
        <v>1356.9</v>
      </c>
      <c r="I270" s="378"/>
      <c r="J270" s="378">
        <v>6624.19</v>
      </c>
      <c r="K270" s="378"/>
      <c r="L270" s="378">
        <v>50239.5</v>
      </c>
      <c r="M270" s="323">
        <f t="shared" si="8"/>
        <v>646652.24</v>
      </c>
      <c r="N270" s="380">
        <v>5530.15</v>
      </c>
      <c r="O270" s="380">
        <v>246.6</v>
      </c>
      <c r="P270" s="380">
        <v>15240.15</v>
      </c>
      <c r="Q270" s="380">
        <v>3331.82</v>
      </c>
      <c r="R270" s="380">
        <v>17265.55</v>
      </c>
      <c r="S270" s="368">
        <v>234.78</v>
      </c>
      <c r="T270" s="430">
        <f t="shared" si="9"/>
        <v>688501.29</v>
      </c>
      <c r="U270" s="381">
        <v>79</v>
      </c>
      <c r="V270" s="384">
        <v>241</v>
      </c>
      <c r="W270" s="427">
        <v>-26753.33</v>
      </c>
      <c r="X270" s="433"/>
      <c r="Y270" s="433">
        <v>-74.75</v>
      </c>
      <c r="Z270" s="438">
        <v>1</v>
      </c>
    </row>
    <row r="271" spans="1:26" x14ac:dyDescent="0.25">
      <c r="A271" s="329">
        <v>5863</v>
      </c>
      <c r="B271" s="448" t="s">
        <v>28</v>
      </c>
      <c r="C271" s="378">
        <v>1012397.44</v>
      </c>
      <c r="D271" s="378">
        <v>236796.75</v>
      </c>
      <c r="E271" s="427"/>
      <c r="F271" s="497"/>
      <c r="G271" s="378">
        <v>15457.3</v>
      </c>
      <c r="H271" s="378">
        <v>6979.8</v>
      </c>
      <c r="I271" s="378">
        <v>42873.3</v>
      </c>
      <c r="J271" s="378">
        <v>46887.76</v>
      </c>
      <c r="K271" s="378">
        <v>2189.4</v>
      </c>
      <c r="L271" s="378">
        <v>84223.2</v>
      </c>
      <c r="M271" s="323">
        <f t="shared" si="8"/>
        <v>1447804.95</v>
      </c>
      <c r="N271" s="380">
        <v>18683.7</v>
      </c>
      <c r="O271" s="380"/>
      <c r="P271" s="380">
        <v>112519.5</v>
      </c>
      <c r="Q271" s="380"/>
      <c r="R271" s="380">
        <v>85563.15</v>
      </c>
      <c r="S271" s="368">
        <v>2541.27</v>
      </c>
      <c r="T271" s="430">
        <f t="shared" si="9"/>
        <v>1667112.5699999998</v>
      </c>
      <c r="U271" s="381">
        <v>67</v>
      </c>
      <c r="V271" s="384">
        <v>369</v>
      </c>
      <c r="W271" s="427">
        <v>-13258.33</v>
      </c>
      <c r="X271" s="433"/>
      <c r="Y271" s="433">
        <v>-1671.28</v>
      </c>
      <c r="Z271" s="438">
        <v>1</v>
      </c>
    </row>
    <row r="272" spans="1:26" x14ac:dyDescent="0.25">
      <c r="A272" s="329">
        <v>5871</v>
      </c>
      <c r="B272" s="448" t="s">
        <v>29</v>
      </c>
      <c r="C272" s="378">
        <v>2987127.62</v>
      </c>
      <c r="D272" s="378">
        <v>588826.38</v>
      </c>
      <c r="E272" s="427"/>
      <c r="F272" s="497"/>
      <c r="G272" s="378">
        <v>116776.55</v>
      </c>
      <c r="H272" s="427">
        <v>17985.849999999999</v>
      </c>
      <c r="I272" s="378"/>
      <c r="J272" s="378">
        <v>75243.06</v>
      </c>
      <c r="K272" s="378">
        <v>1864.6</v>
      </c>
      <c r="L272" s="378">
        <v>276305.8</v>
      </c>
      <c r="M272" s="323">
        <f>SUM(C272:L272)</f>
        <v>4064129.86</v>
      </c>
      <c r="N272" s="380">
        <v>774954</v>
      </c>
      <c r="O272" s="380">
        <v>156841.9</v>
      </c>
      <c r="P272" s="380">
        <v>171152.4</v>
      </c>
      <c r="Q272" s="380">
        <v>58010.5</v>
      </c>
      <c r="R272" s="380">
        <v>178978.75</v>
      </c>
      <c r="S272" s="368">
        <v>15263.48</v>
      </c>
      <c r="T272" s="430">
        <f t="shared" si="9"/>
        <v>5419330.8900000006</v>
      </c>
      <c r="U272" s="381">
        <v>77.650000000000006</v>
      </c>
      <c r="V272" s="384">
        <v>1521</v>
      </c>
      <c r="W272" s="427">
        <v>-88551.23</v>
      </c>
      <c r="X272" s="433"/>
      <c r="Y272" s="433">
        <v>-372.69</v>
      </c>
      <c r="Z272" s="438">
        <v>1</v>
      </c>
    </row>
    <row r="273" spans="1:26" x14ac:dyDescent="0.25">
      <c r="A273" s="329">
        <v>5872</v>
      </c>
      <c r="B273" s="448" t="s">
        <v>200</v>
      </c>
      <c r="C273" s="378">
        <v>6587271.8899999997</v>
      </c>
      <c r="D273" s="378">
        <v>1008099.83</v>
      </c>
      <c r="E273" s="427"/>
      <c r="F273" s="497"/>
      <c r="G273" s="378">
        <v>3722298.05</v>
      </c>
      <c r="H273" s="378">
        <v>309927</v>
      </c>
      <c r="I273" s="378"/>
      <c r="J273" s="378">
        <v>466676.81</v>
      </c>
      <c r="K273" s="378">
        <v>55805.05</v>
      </c>
      <c r="L273" s="378">
        <v>778011.3</v>
      </c>
      <c r="M273" s="323">
        <f t="shared" si="8"/>
        <v>12928089.930000002</v>
      </c>
      <c r="N273" s="380">
        <v>6657622.0499999998</v>
      </c>
      <c r="O273" s="380">
        <v>916450.5</v>
      </c>
      <c r="P273" s="380">
        <v>421204.85</v>
      </c>
      <c r="Q273" s="380">
        <v>68523.38</v>
      </c>
      <c r="R273" s="380">
        <v>395737.2</v>
      </c>
      <c r="S273" s="368">
        <v>456698.38</v>
      </c>
      <c r="T273" s="430">
        <f t="shared" si="9"/>
        <v>21844326.289999999</v>
      </c>
      <c r="U273" s="381">
        <v>66.989999999999995</v>
      </c>
      <c r="V273" s="384">
        <v>4569</v>
      </c>
      <c r="W273" s="427">
        <v>-106252.5</v>
      </c>
      <c r="X273" s="433"/>
      <c r="Y273" s="433">
        <v>-6231.42</v>
      </c>
      <c r="Z273" s="438">
        <v>1</v>
      </c>
    </row>
    <row r="274" spans="1:26" x14ac:dyDescent="0.25">
      <c r="A274" s="329">
        <v>5873</v>
      </c>
      <c r="B274" s="448" t="s">
        <v>201</v>
      </c>
      <c r="C274" s="378">
        <v>1401103.45</v>
      </c>
      <c r="D274" s="378">
        <v>332787.05</v>
      </c>
      <c r="E274" s="427"/>
      <c r="F274" s="497"/>
      <c r="G274" s="428">
        <v>236681.95</v>
      </c>
      <c r="H274" s="427">
        <v>6343.1</v>
      </c>
      <c r="I274" s="378"/>
      <c r="J274" s="378">
        <v>64565.08</v>
      </c>
      <c r="K274" s="378">
        <v>0</v>
      </c>
      <c r="L274" s="378">
        <v>118973.15</v>
      </c>
      <c r="M274" s="323">
        <f>SUM(C274:L274)</f>
        <v>2160453.7800000003</v>
      </c>
      <c r="N274" s="380">
        <v>899203.4</v>
      </c>
      <c r="O274" s="380">
        <v>107400</v>
      </c>
      <c r="P274" s="380">
        <v>36203.15</v>
      </c>
      <c r="Q274" s="380">
        <v>9158.26</v>
      </c>
      <c r="R274" s="380">
        <v>62741.8</v>
      </c>
      <c r="S274" s="368">
        <v>27525.53</v>
      </c>
      <c r="T274" s="430">
        <f t="shared" si="9"/>
        <v>3302685.9199999995</v>
      </c>
      <c r="U274" s="381">
        <v>70</v>
      </c>
      <c r="V274" s="384">
        <v>881</v>
      </c>
      <c r="W274" s="427">
        <v>-23219.39</v>
      </c>
      <c r="X274" s="433"/>
      <c r="Y274" s="433">
        <v>-402.41</v>
      </c>
      <c r="Z274" s="438">
        <v>0.8</v>
      </c>
    </row>
    <row r="275" spans="1:26" x14ac:dyDescent="0.25">
      <c r="A275" s="329">
        <v>5881</v>
      </c>
      <c r="B275" s="448" t="s">
        <v>202</v>
      </c>
      <c r="C275" s="378">
        <v>19016717.239999998</v>
      </c>
      <c r="D275" s="378">
        <v>4021893.29</v>
      </c>
      <c r="E275" s="427"/>
      <c r="F275" s="497"/>
      <c r="G275" s="378">
        <v>348403</v>
      </c>
      <c r="H275" s="378">
        <v>102548</v>
      </c>
      <c r="I275" s="378">
        <v>568839.22</v>
      </c>
      <c r="J275" s="378">
        <v>-99312.89</v>
      </c>
      <c r="K275" s="378">
        <v>68498.850000000006</v>
      </c>
      <c r="L275" s="378">
        <v>1742292.45</v>
      </c>
      <c r="M275" s="323">
        <f t="shared" si="8"/>
        <v>25769879.159999996</v>
      </c>
      <c r="N275" s="380">
        <v>69243.399999999994</v>
      </c>
      <c r="O275" s="380">
        <v>1948131.18</v>
      </c>
      <c r="P275" s="380">
        <v>1605703.7</v>
      </c>
      <c r="Q275" s="380">
        <v>134100.25</v>
      </c>
      <c r="R275" s="380">
        <v>1279249.55</v>
      </c>
      <c r="S275" s="368">
        <v>51075.67</v>
      </c>
      <c r="T275" s="430">
        <f t="shared" si="9"/>
        <v>30857382.909999996</v>
      </c>
      <c r="U275" s="381">
        <v>68.5</v>
      </c>
      <c r="V275" s="384">
        <v>6291</v>
      </c>
      <c r="W275" s="427">
        <v>-489682.34</v>
      </c>
      <c r="X275" s="433"/>
      <c r="Y275" s="433">
        <v>-24339.97</v>
      </c>
      <c r="Z275" s="438">
        <v>1</v>
      </c>
    </row>
    <row r="276" spans="1:26" x14ac:dyDescent="0.25">
      <c r="A276" s="329">
        <v>5882</v>
      </c>
      <c r="B276" s="448" t="s">
        <v>203</v>
      </c>
      <c r="C276" s="378">
        <v>8585962.7400000002</v>
      </c>
      <c r="D276" s="378">
        <v>2197702.2799999998</v>
      </c>
      <c r="E276" s="378"/>
      <c r="F276" s="497"/>
      <c r="G276" s="378">
        <v>160107.1</v>
      </c>
      <c r="H276" s="378">
        <v>22527.25</v>
      </c>
      <c r="I276" s="378">
        <v>577853.94999999995</v>
      </c>
      <c r="J276" s="378">
        <v>169623.76</v>
      </c>
      <c r="K276" s="378">
        <v>51194.35</v>
      </c>
      <c r="L276" s="378">
        <v>1005198.66</v>
      </c>
      <c r="M276" s="323">
        <f t="shared" si="8"/>
        <v>12770170.089999998</v>
      </c>
      <c r="N276" s="380">
        <v>7632.95</v>
      </c>
      <c r="O276" s="380">
        <v>429566.85</v>
      </c>
      <c r="P276" s="380">
        <v>619546.9</v>
      </c>
      <c r="Q276" s="380">
        <v>12390.21</v>
      </c>
      <c r="R276" s="380">
        <v>414741.65</v>
      </c>
      <c r="S276" s="368">
        <v>20685.55</v>
      </c>
      <c r="T276" s="430">
        <f t="shared" si="9"/>
        <v>14274734.199999999</v>
      </c>
      <c r="U276" s="381">
        <v>68</v>
      </c>
      <c r="V276" s="384">
        <v>3078</v>
      </c>
      <c r="W276" s="427">
        <v>-57817.440000000002</v>
      </c>
      <c r="X276" s="433"/>
      <c r="Y276" s="433">
        <v>-32860.769999999997</v>
      </c>
      <c r="Z276" s="438">
        <v>1</v>
      </c>
    </row>
    <row r="277" spans="1:26" x14ac:dyDescent="0.25">
      <c r="A277" s="329">
        <v>5883</v>
      </c>
      <c r="B277" s="448" t="s">
        <v>204</v>
      </c>
      <c r="C277" s="378">
        <v>9477308.0600000005</v>
      </c>
      <c r="D277" s="378">
        <v>2587935.6800000002</v>
      </c>
      <c r="E277" s="378"/>
      <c r="F277" s="497"/>
      <c r="G277" s="378">
        <v>35039.449999999997</v>
      </c>
      <c r="H277" s="378">
        <v>46022.6</v>
      </c>
      <c r="I277" s="378">
        <v>375246.94</v>
      </c>
      <c r="J277" s="378">
        <v>-158220.06</v>
      </c>
      <c r="K277" s="378">
        <v>16329.9</v>
      </c>
      <c r="L277" s="378">
        <v>685419.85</v>
      </c>
      <c r="M277" s="323">
        <f t="shared" si="8"/>
        <v>13065082.419999998</v>
      </c>
      <c r="N277" s="380"/>
      <c r="O277" s="380">
        <v>2110360.2999999998</v>
      </c>
      <c r="P277" s="380">
        <v>580616.25</v>
      </c>
      <c r="Q277" s="380">
        <v>2879.24</v>
      </c>
      <c r="R277" s="380">
        <v>413980.2</v>
      </c>
      <c r="S277" s="368">
        <v>9181.26</v>
      </c>
      <c r="T277" s="430">
        <f t="shared" si="9"/>
        <v>16182099.669999998</v>
      </c>
      <c r="U277" s="381">
        <v>67.5</v>
      </c>
      <c r="V277" s="384">
        <v>2330</v>
      </c>
      <c r="W277" s="427">
        <v>-25677.83</v>
      </c>
      <c r="X277" s="433"/>
      <c r="Y277" s="433">
        <v>-17532.259999999998</v>
      </c>
      <c r="Z277" s="438">
        <v>1</v>
      </c>
    </row>
    <row r="278" spans="1:26" x14ac:dyDescent="0.25">
      <c r="A278" s="329">
        <v>5884</v>
      </c>
      <c r="B278" s="448" t="s">
        <v>49</v>
      </c>
      <c r="C278" s="378">
        <v>5730524.7599999998</v>
      </c>
      <c r="D278" s="378">
        <v>965272.87</v>
      </c>
      <c r="E278" s="378"/>
      <c r="F278" s="497"/>
      <c r="G278" s="378">
        <v>1613212.65</v>
      </c>
      <c r="H278" s="378">
        <v>129294.65</v>
      </c>
      <c r="I278" s="378">
        <v>33220.85</v>
      </c>
      <c r="J278" s="378">
        <v>127959.97</v>
      </c>
      <c r="K278" s="378">
        <v>187082.9</v>
      </c>
      <c r="L278" s="378">
        <v>988510.6</v>
      </c>
      <c r="M278" s="323">
        <f t="shared" si="8"/>
        <v>9775079.25</v>
      </c>
      <c r="N278" s="380">
        <v>551964.19999999995</v>
      </c>
      <c r="O278" s="380">
        <v>315162.8</v>
      </c>
      <c r="P278" s="380">
        <v>224319.55</v>
      </c>
      <c r="Q278" s="380">
        <v>13811.13</v>
      </c>
      <c r="R278" s="380">
        <v>243783.1</v>
      </c>
      <c r="S278" s="368">
        <v>197360.08</v>
      </c>
      <c r="T278" s="430">
        <f t="shared" si="9"/>
        <v>11321480.110000001</v>
      </c>
      <c r="U278" s="381">
        <v>64.5</v>
      </c>
      <c r="V278" s="384">
        <v>3390</v>
      </c>
      <c r="W278" s="427">
        <v>-213574.81</v>
      </c>
      <c r="X278" s="433"/>
      <c r="Y278" s="433">
        <v>-4080.92</v>
      </c>
      <c r="Z278" s="438">
        <v>1.2</v>
      </c>
    </row>
    <row r="279" spans="1:26" x14ac:dyDescent="0.25">
      <c r="A279" s="329">
        <v>5885</v>
      </c>
      <c r="B279" s="448" t="s">
        <v>50</v>
      </c>
      <c r="C279" s="378">
        <v>5215869.18</v>
      </c>
      <c r="D279" s="378">
        <v>932821.89</v>
      </c>
      <c r="E279" s="378"/>
      <c r="F279" s="497"/>
      <c r="G279" s="378">
        <v>30172.05</v>
      </c>
      <c r="H279" s="378">
        <v>15234.15</v>
      </c>
      <c r="I279" s="378">
        <v>172503.95</v>
      </c>
      <c r="J279" s="378">
        <v>54698.69</v>
      </c>
      <c r="K279" s="378">
        <v>-12632.95</v>
      </c>
      <c r="L279" s="378">
        <v>535076</v>
      </c>
      <c r="M279" s="323">
        <f t="shared" si="8"/>
        <v>6943742.96</v>
      </c>
      <c r="N279" s="380">
        <v>2403.85</v>
      </c>
      <c r="O279" s="380">
        <v>49382.7</v>
      </c>
      <c r="P279" s="380">
        <v>893700.15</v>
      </c>
      <c r="Q279" s="380">
        <v>3480.39</v>
      </c>
      <c r="R279" s="380">
        <v>218072</v>
      </c>
      <c r="S279" s="368">
        <v>5142.8</v>
      </c>
      <c r="T279" s="430">
        <f t="shared" si="9"/>
        <v>8115924.8499999996</v>
      </c>
      <c r="U279" s="381">
        <v>69.5</v>
      </c>
      <c r="V279" s="384">
        <v>1805</v>
      </c>
      <c r="W279" s="427">
        <v>-106805.73</v>
      </c>
      <c r="X279" s="433"/>
      <c r="Y279" s="433">
        <v>-9533.7199999999993</v>
      </c>
      <c r="Z279" s="438">
        <v>1.2</v>
      </c>
    </row>
    <row r="280" spans="1:26" x14ac:dyDescent="0.25">
      <c r="A280" s="329">
        <v>5886</v>
      </c>
      <c r="B280" s="448" t="s">
        <v>51</v>
      </c>
      <c r="C280" s="378">
        <v>47650076.039999999</v>
      </c>
      <c r="D280" s="378">
        <v>14168306.529999999</v>
      </c>
      <c r="E280" s="378"/>
      <c r="F280" s="497"/>
      <c r="G280" s="378">
        <v>3300078.8</v>
      </c>
      <c r="H280" s="378">
        <v>619666.1</v>
      </c>
      <c r="I280" s="378">
        <v>4534589.04</v>
      </c>
      <c r="J280" s="378">
        <v>1980964.99</v>
      </c>
      <c r="K280" s="378">
        <v>627150.69999999995</v>
      </c>
      <c r="L280" s="378">
        <v>10288374.27</v>
      </c>
      <c r="M280" s="323">
        <f t="shared" si="8"/>
        <v>83169206.469999999</v>
      </c>
      <c r="N280" s="380">
        <v>1254691.7</v>
      </c>
      <c r="O280" s="380">
        <v>21229157.899999999</v>
      </c>
      <c r="P280" s="380">
        <v>5645048.4500000002</v>
      </c>
      <c r="Q280" s="380">
        <v>321489.27</v>
      </c>
      <c r="R280" s="380">
        <v>3438682.75</v>
      </c>
      <c r="S280" s="368">
        <v>443958.64</v>
      </c>
      <c r="T280" s="430">
        <f t="shared" si="9"/>
        <v>115502235.17999999</v>
      </c>
      <c r="U280" s="381">
        <v>65</v>
      </c>
      <c r="V280" s="384">
        <v>26012</v>
      </c>
      <c r="W280" s="427">
        <v>-886144.14</v>
      </c>
      <c r="X280" s="433"/>
      <c r="Y280" s="433">
        <v>-97724.35</v>
      </c>
      <c r="Z280" s="438">
        <v>1.5</v>
      </c>
    </row>
    <row r="281" spans="1:26" x14ac:dyDescent="0.25">
      <c r="A281" s="329">
        <v>5888</v>
      </c>
      <c r="B281" s="448" t="s">
        <v>490</v>
      </c>
      <c r="C281" s="378">
        <v>17161768.91</v>
      </c>
      <c r="D281" s="378">
        <v>3786487.65</v>
      </c>
      <c r="E281" s="378"/>
      <c r="F281" s="497"/>
      <c r="G281" s="378">
        <v>114568.95</v>
      </c>
      <c r="H281" s="378">
        <v>78497.399999999994</v>
      </c>
      <c r="I281" s="378">
        <v>114723</v>
      </c>
      <c r="J281" s="378">
        <v>-14478.04</v>
      </c>
      <c r="K281" s="378">
        <v>51595.199999999997</v>
      </c>
      <c r="L281" s="378">
        <v>2001238.9</v>
      </c>
      <c r="M281" s="323">
        <f t="shared" si="8"/>
        <v>23294401.969999995</v>
      </c>
      <c r="N281" s="380">
        <v>210894</v>
      </c>
      <c r="O281" s="380">
        <v>69723.199999999997</v>
      </c>
      <c r="P281" s="380">
        <v>1262564.25</v>
      </c>
      <c r="Q281" s="380">
        <v>13992.4</v>
      </c>
      <c r="R281" s="380">
        <v>1330306.7</v>
      </c>
      <c r="S281" s="368">
        <v>21867.11</v>
      </c>
      <c r="T281" s="430">
        <f t="shared" si="9"/>
        <v>26203749.629999992</v>
      </c>
      <c r="U281" s="381">
        <v>68.5</v>
      </c>
      <c r="V281" s="384">
        <v>5634</v>
      </c>
      <c r="W281" s="427">
        <v>-88256.45</v>
      </c>
      <c r="X281" s="433"/>
      <c r="Y281" s="433">
        <v>-28287.73</v>
      </c>
      <c r="Z281" s="438">
        <v>1.2</v>
      </c>
    </row>
    <row r="282" spans="1:26" x14ac:dyDescent="0.25">
      <c r="A282" s="329">
        <v>5889</v>
      </c>
      <c r="B282" s="448" t="s">
        <v>52</v>
      </c>
      <c r="C282" s="378">
        <v>27531361.809999999</v>
      </c>
      <c r="D282" s="378">
        <v>6636354.3600000003</v>
      </c>
      <c r="E282" s="378"/>
      <c r="F282" s="497"/>
      <c r="G282" s="378">
        <v>7157293.6500000004</v>
      </c>
      <c r="H282" s="378">
        <v>1180998.3500000001</v>
      </c>
      <c r="I282" s="378">
        <v>675203.69</v>
      </c>
      <c r="J282" s="378">
        <v>645786.52</v>
      </c>
      <c r="K282" s="378">
        <v>306717.05</v>
      </c>
      <c r="L282" s="378">
        <v>3102844.3</v>
      </c>
      <c r="M282" s="323">
        <f t="shared" si="8"/>
        <v>47236559.729999997</v>
      </c>
      <c r="N282" s="380">
        <v>259436.3</v>
      </c>
      <c r="O282" s="380">
        <v>237280.9</v>
      </c>
      <c r="P282" s="380">
        <v>1687943.05</v>
      </c>
      <c r="Q282" s="380">
        <v>146154.68</v>
      </c>
      <c r="R282" s="380">
        <v>1895537.55</v>
      </c>
      <c r="S282" s="368">
        <v>944412.67</v>
      </c>
      <c r="T282" s="430">
        <f t="shared" si="9"/>
        <v>52407324.879999988</v>
      </c>
      <c r="U282" s="381">
        <v>64</v>
      </c>
      <c r="V282" s="384">
        <v>12222</v>
      </c>
      <c r="W282" s="427">
        <v>-303506.06</v>
      </c>
      <c r="X282" s="433"/>
      <c r="Y282" s="433">
        <v>-112201.94</v>
      </c>
      <c r="Z282" s="438">
        <v>1.2</v>
      </c>
    </row>
    <row r="283" spans="1:26" x14ac:dyDescent="0.25">
      <c r="A283" s="329">
        <v>5890</v>
      </c>
      <c r="B283" s="447" t="s">
        <v>53</v>
      </c>
      <c r="C283" s="378">
        <v>37441781.060000002</v>
      </c>
      <c r="D283" s="378">
        <v>5609480.1299999999</v>
      </c>
      <c r="E283" s="378"/>
      <c r="F283" s="497"/>
      <c r="G283" s="378">
        <v>16808760.649999999</v>
      </c>
      <c r="H283" s="378">
        <v>2393610.9500000002</v>
      </c>
      <c r="I283" s="378">
        <v>388358.83</v>
      </c>
      <c r="J283" s="378">
        <v>3327671</v>
      </c>
      <c r="K283" s="378">
        <v>796821.45</v>
      </c>
      <c r="L283" s="378">
        <v>5778517.29</v>
      </c>
      <c r="M283" s="323">
        <f t="shared" si="8"/>
        <v>72545001.360000014</v>
      </c>
      <c r="N283" s="380">
        <v>1260005.1000000001</v>
      </c>
      <c r="O283" s="380">
        <v>1949287.4</v>
      </c>
      <c r="P283" s="380">
        <v>2434402.0499999998</v>
      </c>
      <c r="Q283" s="380">
        <v>191449.14</v>
      </c>
      <c r="R283" s="380">
        <v>1549727</v>
      </c>
      <c r="S283" s="368">
        <v>2174901.41</v>
      </c>
      <c r="T283" s="430">
        <f t="shared" si="9"/>
        <v>82104773.460000008</v>
      </c>
      <c r="U283" s="381">
        <v>74.5</v>
      </c>
      <c r="V283" s="384">
        <v>19721</v>
      </c>
      <c r="W283" s="427">
        <v>-698119.75</v>
      </c>
      <c r="X283" s="433"/>
      <c r="Y283" s="433">
        <v>-38688.300000000003</v>
      </c>
      <c r="Z283" s="438">
        <v>1.5</v>
      </c>
    </row>
    <row r="284" spans="1:26" x14ac:dyDescent="0.25">
      <c r="A284" s="329">
        <v>5891</v>
      </c>
      <c r="B284" s="448" t="s">
        <v>54</v>
      </c>
      <c r="C284" s="378">
        <v>1764304.9</v>
      </c>
      <c r="D284" s="378">
        <v>468885.77</v>
      </c>
      <c r="E284" s="378"/>
      <c r="F284" s="497"/>
      <c r="G284" s="378">
        <v>51815.5</v>
      </c>
      <c r="H284" s="378">
        <v>40143.25</v>
      </c>
      <c r="I284" s="378">
        <v>43104.95</v>
      </c>
      <c r="J284" s="378">
        <v>60495.839999999997</v>
      </c>
      <c r="K284" s="378">
        <v>15204.85</v>
      </c>
      <c r="L284" s="378">
        <v>442043.7</v>
      </c>
      <c r="M284" s="323">
        <f t="shared" si="8"/>
        <v>2885998.7600000002</v>
      </c>
      <c r="N284" s="380">
        <v>2689.3</v>
      </c>
      <c r="O284" s="380">
        <v>7716.2</v>
      </c>
      <c r="P284" s="380">
        <v>157602.6</v>
      </c>
      <c r="Q284" s="380">
        <v>9717.17</v>
      </c>
      <c r="R284" s="380">
        <v>94879.1</v>
      </c>
      <c r="S284" s="368">
        <v>10415.44</v>
      </c>
      <c r="T284" s="430">
        <f t="shared" si="9"/>
        <v>3169018.5700000003</v>
      </c>
      <c r="U284" s="381">
        <v>69.5</v>
      </c>
      <c r="V284" s="384">
        <v>952</v>
      </c>
      <c r="W284" s="427">
        <v>-38546.910000000003</v>
      </c>
      <c r="X284" s="433"/>
      <c r="Y284" s="433">
        <v>-1163.5</v>
      </c>
      <c r="Z284" s="438">
        <v>1.5</v>
      </c>
    </row>
    <row r="285" spans="1:26" x14ac:dyDescent="0.25">
      <c r="A285" s="329">
        <v>5902</v>
      </c>
      <c r="B285" s="447" t="s">
        <v>55</v>
      </c>
      <c r="C285" s="378">
        <v>704432.73</v>
      </c>
      <c r="D285" s="378">
        <v>78514.210000000006</v>
      </c>
      <c r="E285" s="378"/>
      <c r="F285" s="497"/>
      <c r="G285" s="378">
        <v>2078.9</v>
      </c>
      <c r="H285" s="378">
        <v>75.55</v>
      </c>
      <c r="I285" s="378"/>
      <c r="J285" s="378">
        <v>2692.1</v>
      </c>
      <c r="K285" s="378"/>
      <c r="L285" s="378">
        <v>59786.55</v>
      </c>
      <c r="M285" s="323">
        <f t="shared" si="8"/>
        <v>847580.04</v>
      </c>
      <c r="N285" s="380"/>
      <c r="O285" s="380">
        <v>360.6</v>
      </c>
      <c r="P285" s="380">
        <v>41136.35</v>
      </c>
      <c r="Q285" s="380"/>
      <c r="R285" s="380">
        <v>21279.599999999999</v>
      </c>
      <c r="S285" s="368">
        <v>244.02</v>
      </c>
      <c r="T285" s="430">
        <f t="shared" si="9"/>
        <v>910600.61</v>
      </c>
      <c r="U285" s="381">
        <v>70</v>
      </c>
      <c r="V285" s="384">
        <v>415</v>
      </c>
      <c r="W285" s="427">
        <v>-47.61</v>
      </c>
      <c r="X285" s="433"/>
      <c r="Y285" s="433">
        <v>-135.94999999999999</v>
      </c>
      <c r="Z285" s="438">
        <v>1</v>
      </c>
    </row>
    <row r="286" spans="1:26" x14ac:dyDescent="0.25">
      <c r="A286" s="329">
        <v>5903</v>
      </c>
      <c r="B286" s="447" t="s">
        <v>56</v>
      </c>
      <c r="C286" s="378">
        <v>359994.44</v>
      </c>
      <c r="D286" s="378">
        <v>41342.26</v>
      </c>
      <c r="E286" s="378"/>
      <c r="F286" s="497"/>
      <c r="G286" s="378">
        <v>-2390.1</v>
      </c>
      <c r="H286" s="378">
        <v>273</v>
      </c>
      <c r="I286" s="378"/>
      <c r="J286" s="378">
        <v>711.72</v>
      </c>
      <c r="K286" s="378"/>
      <c r="L286" s="378">
        <v>27100.35</v>
      </c>
      <c r="M286" s="323">
        <f t="shared" si="8"/>
        <v>427031.67</v>
      </c>
      <c r="N286" s="380">
        <v>35867.85</v>
      </c>
      <c r="O286" s="380"/>
      <c r="P286" s="380"/>
      <c r="Q286" s="380"/>
      <c r="R286" s="380"/>
      <c r="S286" s="368">
        <v>-239.79</v>
      </c>
      <c r="T286" s="430">
        <f t="shared" si="9"/>
        <v>462659.73</v>
      </c>
      <c r="U286" s="381">
        <v>72</v>
      </c>
      <c r="V286" s="384">
        <v>234</v>
      </c>
      <c r="W286" s="427">
        <v>-2000.24</v>
      </c>
      <c r="X286" s="433"/>
      <c r="Y286" s="433">
        <v>-143.72</v>
      </c>
      <c r="Z286" s="438">
        <v>0.7</v>
      </c>
    </row>
    <row r="287" spans="1:26" x14ac:dyDescent="0.25">
      <c r="A287" s="329">
        <v>5904</v>
      </c>
      <c r="B287" s="447" t="s">
        <v>57</v>
      </c>
      <c r="C287" s="378">
        <v>1155619.8999999999</v>
      </c>
      <c r="D287" s="378">
        <v>166690.88</v>
      </c>
      <c r="E287" s="378"/>
      <c r="F287" s="497"/>
      <c r="G287" s="378">
        <v>17248.7</v>
      </c>
      <c r="H287" s="378">
        <v>656.05</v>
      </c>
      <c r="I287" s="378"/>
      <c r="J287" s="378">
        <v>27953.1</v>
      </c>
      <c r="K287" s="378">
        <v>1431.65</v>
      </c>
      <c r="L287" s="378">
        <v>97989.1</v>
      </c>
      <c r="M287" s="323">
        <f t="shared" si="8"/>
        <v>1467589.38</v>
      </c>
      <c r="N287" s="380">
        <v>32442.95</v>
      </c>
      <c r="O287" s="380"/>
      <c r="P287" s="380">
        <v>34131.1</v>
      </c>
      <c r="Q287" s="380"/>
      <c r="R287" s="380">
        <v>12514</v>
      </c>
      <c r="S287" s="368">
        <v>2027.93</v>
      </c>
      <c r="T287" s="430">
        <f t="shared" si="9"/>
        <v>1548705.3599999999</v>
      </c>
      <c r="U287" s="381">
        <v>66</v>
      </c>
      <c r="V287" s="384">
        <v>561</v>
      </c>
      <c r="W287" s="427">
        <v>-5642.34</v>
      </c>
      <c r="X287" s="433"/>
      <c r="Y287" s="433">
        <v>-212.77</v>
      </c>
      <c r="Z287" s="438">
        <v>1</v>
      </c>
    </row>
    <row r="288" spans="1:26" x14ac:dyDescent="0.25">
      <c r="A288" s="329">
        <v>5905</v>
      </c>
      <c r="B288" s="447" t="s">
        <v>58</v>
      </c>
      <c r="C288" s="378">
        <v>1120660.1000000001</v>
      </c>
      <c r="D288" s="378">
        <v>196376.23</v>
      </c>
      <c r="E288" s="378"/>
      <c r="F288" s="497"/>
      <c r="G288" s="378">
        <v>153171.5</v>
      </c>
      <c r="H288" s="378">
        <v>7342.75</v>
      </c>
      <c r="I288" s="378"/>
      <c r="J288" s="378">
        <v>27902.33</v>
      </c>
      <c r="K288" s="378">
        <v>3104.55</v>
      </c>
      <c r="L288" s="497">
        <v>107781</v>
      </c>
      <c r="M288" s="323">
        <f t="shared" si="8"/>
        <v>1616338.4600000002</v>
      </c>
      <c r="N288" s="380">
        <v>273258</v>
      </c>
      <c r="O288" s="380"/>
      <c r="P288" s="380">
        <v>66973.7</v>
      </c>
      <c r="Q288" s="380">
        <v>465.13</v>
      </c>
      <c r="R288" s="380">
        <v>118583.65</v>
      </c>
      <c r="S288" s="368">
        <v>18180.189999999999</v>
      </c>
      <c r="T288" s="430">
        <f t="shared" si="9"/>
        <v>2093799.13</v>
      </c>
      <c r="U288" s="381">
        <v>70</v>
      </c>
      <c r="V288" s="384">
        <v>712</v>
      </c>
      <c r="W288" s="427">
        <v>-3492.36</v>
      </c>
      <c r="X288" s="433"/>
      <c r="Y288" s="433">
        <v>-614.89</v>
      </c>
      <c r="Z288" s="438">
        <v>1</v>
      </c>
    </row>
    <row r="289" spans="1:26" x14ac:dyDescent="0.25">
      <c r="A289" s="329">
        <v>5907</v>
      </c>
      <c r="B289" s="447" t="s">
        <v>59</v>
      </c>
      <c r="C289" s="378">
        <v>496341.2</v>
      </c>
      <c r="D289" s="378">
        <v>50665.05</v>
      </c>
      <c r="E289" s="378"/>
      <c r="F289" s="497">
        <v>2030</v>
      </c>
      <c r="G289" s="378">
        <v>1168.05</v>
      </c>
      <c r="H289" s="378">
        <v>-344</v>
      </c>
      <c r="I289" s="378"/>
      <c r="J289" s="378">
        <v>-9093.52</v>
      </c>
      <c r="K289" s="378">
        <v>520.70000000000005</v>
      </c>
      <c r="L289" s="378">
        <v>48075.75</v>
      </c>
      <c r="M289" s="323">
        <f t="shared" si="8"/>
        <v>589363.23</v>
      </c>
      <c r="N289" s="380">
        <v>8695.1</v>
      </c>
      <c r="O289" s="380"/>
      <c r="P289" s="380">
        <v>10435.35</v>
      </c>
      <c r="Q289" s="380"/>
      <c r="R289" s="380">
        <v>9770</v>
      </c>
      <c r="S289" s="368">
        <v>93.33</v>
      </c>
      <c r="T289" s="430">
        <f t="shared" si="9"/>
        <v>618357.00999999989</v>
      </c>
      <c r="U289" s="381">
        <v>75</v>
      </c>
      <c r="V289" s="384">
        <v>325</v>
      </c>
      <c r="W289" s="427">
        <v>-3075.95</v>
      </c>
      <c r="X289" s="433"/>
      <c r="Y289" s="433">
        <v>-4.53</v>
      </c>
      <c r="Z289" s="438">
        <v>1</v>
      </c>
    </row>
    <row r="290" spans="1:26" x14ac:dyDescent="0.25">
      <c r="A290" s="329">
        <v>5908</v>
      </c>
      <c r="B290" s="447" t="s">
        <v>60</v>
      </c>
      <c r="C290" s="378">
        <v>261879.2</v>
      </c>
      <c r="D290" s="378">
        <v>47070.62</v>
      </c>
      <c r="E290" s="378"/>
      <c r="F290" s="497"/>
      <c r="G290" s="378">
        <v>10549.75</v>
      </c>
      <c r="H290" s="378">
        <v>-162.94999999999999</v>
      </c>
      <c r="I290" s="378"/>
      <c r="J290" s="378">
        <v>11594.65</v>
      </c>
      <c r="K290" s="378">
        <v>662.95</v>
      </c>
      <c r="L290" s="378">
        <v>23047.35</v>
      </c>
      <c r="M290" s="323">
        <f t="shared" si="8"/>
        <v>354641.57</v>
      </c>
      <c r="N290" s="380">
        <v>436.2</v>
      </c>
      <c r="O290" s="380">
        <v>8555.2000000000007</v>
      </c>
      <c r="P290" s="380">
        <v>4400</v>
      </c>
      <c r="Q290" s="380"/>
      <c r="R290" s="380">
        <v>1651.25</v>
      </c>
      <c r="S290" s="368">
        <v>1176.43</v>
      </c>
      <c r="T290" s="430">
        <f t="shared" si="9"/>
        <v>370860.65</v>
      </c>
      <c r="U290" s="381">
        <v>79</v>
      </c>
      <c r="V290" s="384">
        <v>153</v>
      </c>
      <c r="W290" s="427">
        <v>-7072.3</v>
      </c>
      <c r="X290" s="433"/>
      <c r="Y290" s="433">
        <v>-49.33</v>
      </c>
      <c r="Z290" s="438">
        <v>1</v>
      </c>
    </row>
    <row r="291" spans="1:26" x14ac:dyDescent="0.25">
      <c r="A291" s="329">
        <v>5909</v>
      </c>
      <c r="B291" s="447" t="s">
        <v>61</v>
      </c>
      <c r="C291" s="378">
        <v>1906338.17</v>
      </c>
      <c r="D291" s="378">
        <v>386515.57</v>
      </c>
      <c r="E291" s="378"/>
      <c r="F291" s="497"/>
      <c r="G291" s="378">
        <v>-10397.5</v>
      </c>
      <c r="H291" s="378">
        <v>1923.55</v>
      </c>
      <c r="I291" s="378"/>
      <c r="J291" s="378">
        <v>25369.15</v>
      </c>
      <c r="K291" s="378">
        <v>768.05</v>
      </c>
      <c r="L291" s="378">
        <v>163216.22</v>
      </c>
      <c r="M291" s="323">
        <f t="shared" si="8"/>
        <v>2473733.2099999995</v>
      </c>
      <c r="N291" s="380">
        <v>7393.8</v>
      </c>
      <c r="O291" s="380">
        <v>15566.6</v>
      </c>
      <c r="P291" s="380">
        <v>112643.65</v>
      </c>
      <c r="Q291" s="380">
        <v>2108.14</v>
      </c>
      <c r="R291" s="380">
        <v>137179.85</v>
      </c>
      <c r="S291" s="368">
        <v>-959.78</v>
      </c>
      <c r="T291" s="430">
        <f t="shared" si="9"/>
        <v>2747665.4699999997</v>
      </c>
      <c r="U291" s="381">
        <v>67</v>
      </c>
      <c r="V291" s="384">
        <v>728</v>
      </c>
      <c r="W291" s="427">
        <v>-1915.8</v>
      </c>
      <c r="X291" s="433"/>
      <c r="Y291" s="433">
        <v>-761.37</v>
      </c>
      <c r="Z291" s="438">
        <v>1</v>
      </c>
    </row>
    <row r="292" spans="1:26" x14ac:dyDescent="0.25">
      <c r="A292" s="329">
        <v>5910</v>
      </c>
      <c r="B292" s="447" t="s">
        <v>62</v>
      </c>
      <c r="C292" s="378">
        <v>666922.73</v>
      </c>
      <c r="D292" s="378">
        <v>84650.86</v>
      </c>
      <c r="E292" s="378"/>
      <c r="F292" s="497">
        <v>2200</v>
      </c>
      <c r="G292" s="378">
        <v>9787.2000000000007</v>
      </c>
      <c r="H292" s="378">
        <v>127.8</v>
      </c>
      <c r="I292" s="378"/>
      <c r="J292" s="378">
        <v>8599.1200000000008</v>
      </c>
      <c r="K292" s="378"/>
      <c r="L292" s="378">
        <v>61018</v>
      </c>
      <c r="M292" s="323">
        <f t="shared" si="8"/>
        <v>833305.71</v>
      </c>
      <c r="N292" s="380"/>
      <c r="O292" s="380"/>
      <c r="P292" s="380">
        <v>44207.8</v>
      </c>
      <c r="Q292" s="380"/>
      <c r="R292" s="380">
        <v>13554.7</v>
      </c>
      <c r="S292" s="368">
        <v>1122.99</v>
      </c>
      <c r="T292" s="430">
        <f t="shared" si="9"/>
        <v>892191.2</v>
      </c>
      <c r="U292" s="381">
        <v>77</v>
      </c>
      <c r="V292" s="384">
        <v>403</v>
      </c>
      <c r="W292" s="427">
        <v>-18196.66</v>
      </c>
      <c r="X292" s="433"/>
      <c r="Y292" s="433">
        <v>0</v>
      </c>
      <c r="Z292" s="438">
        <v>1</v>
      </c>
    </row>
    <row r="293" spans="1:26" x14ac:dyDescent="0.25">
      <c r="A293" s="329">
        <v>5911</v>
      </c>
      <c r="B293" s="447" t="s">
        <v>63</v>
      </c>
      <c r="C293" s="378">
        <v>467737.02</v>
      </c>
      <c r="D293" s="378">
        <v>64690.2</v>
      </c>
      <c r="E293" s="378"/>
      <c r="F293" s="497">
        <v>1380</v>
      </c>
      <c r="G293" s="378">
        <v>7413.25</v>
      </c>
      <c r="H293" s="378">
        <v>-303.89999999999998</v>
      </c>
      <c r="I293" s="378"/>
      <c r="J293" s="378">
        <v>1364.8</v>
      </c>
      <c r="K293" s="378">
        <v>2738.5</v>
      </c>
      <c r="L293" s="378">
        <v>35287.1</v>
      </c>
      <c r="M293" s="323">
        <f t="shared" si="8"/>
        <v>580306.97</v>
      </c>
      <c r="N293" s="380">
        <v>1009.45</v>
      </c>
      <c r="O293" s="380">
        <v>1676.5</v>
      </c>
      <c r="P293" s="380">
        <v>18095.45</v>
      </c>
      <c r="Q293" s="380"/>
      <c r="R293" s="380">
        <v>28123.95</v>
      </c>
      <c r="S293" s="368">
        <v>805.22</v>
      </c>
      <c r="T293" s="430">
        <f t="shared" si="9"/>
        <v>630017.5399999998</v>
      </c>
      <c r="U293" s="381">
        <v>77</v>
      </c>
      <c r="V293" s="384">
        <v>245</v>
      </c>
      <c r="W293" s="427">
        <v>-2706.69</v>
      </c>
      <c r="X293" s="433"/>
      <c r="Y293" s="433">
        <v>-600.22</v>
      </c>
      <c r="Z293" s="438">
        <v>1</v>
      </c>
    </row>
    <row r="294" spans="1:26" x14ac:dyDescent="0.25">
      <c r="A294" s="329">
        <v>5912</v>
      </c>
      <c r="B294" s="447" t="s">
        <v>64</v>
      </c>
      <c r="C294" s="378">
        <v>328189.94</v>
      </c>
      <c r="D294" s="378">
        <v>22756.41</v>
      </c>
      <c r="E294" s="378"/>
      <c r="F294" s="497">
        <v>880</v>
      </c>
      <c r="G294" s="378">
        <v>3576.9</v>
      </c>
      <c r="H294" s="378">
        <v>379.75</v>
      </c>
      <c r="I294" s="378"/>
      <c r="J294" s="378">
        <v>6624.13</v>
      </c>
      <c r="K294" s="378"/>
      <c r="L294" s="378">
        <v>21877.3</v>
      </c>
      <c r="M294" s="323">
        <f t="shared" si="8"/>
        <v>384284.43</v>
      </c>
      <c r="N294" s="380">
        <v>3569.75</v>
      </c>
      <c r="O294" s="380"/>
      <c r="P294" s="380">
        <v>20262.2</v>
      </c>
      <c r="Q294" s="380"/>
      <c r="R294" s="380">
        <v>11314.3</v>
      </c>
      <c r="S294" s="368">
        <v>448.14</v>
      </c>
      <c r="T294" s="430">
        <f t="shared" si="9"/>
        <v>419878.82</v>
      </c>
      <c r="U294" s="381">
        <v>81</v>
      </c>
      <c r="V294" s="384">
        <v>164</v>
      </c>
      <c r="W294" s="427">
        <v>-2205.6</v>
      </c>
      <c r="X294" s="433"/>
      <c r="Y294" s="433">
        <v>0</v>
      </c>
      <c r="Z294" s="438">
        <v>1</v>
      </c>
    </row>
    <row r="295" spans="1:26" x14ac:dyDescent="0.25">
      <c r="A295" s="329">
        <v>5913</v>
      </c>
      <c r="B295" s="447" t="s">
        <v>65</v>
      </c>
      <c r="C295" s="378">
        <v>1421452.94</v>
      </c>
      <c r="D295" s="378">
        <v>191745.01</v>
      </c>
      <c r="E295" s="378"/>
      <c r="F295" s="497"/>
      <c r="G295" s="378">
        <v>3323.85</v>
      </c>
      <c r="H295" s="378">
        <v>171.85</v>
      </c>
      <c r="I295" s="378"/>
      <c r="J295" s="378">
        <v>21753.759999999998</v>
      </c>
      <c r="K295" s="378">
        <v>1585.35</v>
      </c>
      <c r="L295" s="378">
        <v>121723</v>
      </c>
      <c r="M295" s="323">
        <f t="shared" si="8"/>
        <v>1761755.7600000002</v>
      </c>
      <c r="N295" s="380">
        <v>29277.45</v>
      </c>
      <c r="O295" s="380">
        <v>4630.3</v>
      </c>
      <c r="P295" s="380">
        <v>91602.5</v>
      </c>
      <c r="Q295" s="380"/>
      <c r="R295" s="380">
        <v>47018.9</v>
      </c>
      <c r="S295" s="368">
        <v>395.93</v>
      </c>
      <c r="T295" s="430">
        <f t="shared" si="9"/>
        <v>1934680.84</v>
      </c>
      <c r="U295" s="381">
        <v>73</v>
      </c>
      <c r="V295" s="384">
        <v>891</v>
      </c>
      <c r="W295" s="427">
        <v>-17825.29</v>
      </c>
      <c r="X295" s="433"/>
      <c r="Y295" s="433">
        <v>-113.86</v>
      </c>
      <c r="Z295" s="438">
        <v>1</v>
      </c>
    </row>
    <row r="296" spans="1:26" x14ac:dyDescent="0.25">
      <c r="A296" s="329">
        <v>5914</v>
      </c>
      <c r="B296" s="447" t="s">
        <v>66</v>
      </c>
      <c r="C296" s="378">
        <v>562856.05000000005</v>
      </c>
      <c r="D296" s="378">
        <v>63058.61</v>
      </c>
      <c r="E296" s="378"/>
      <c r="F296" s="497">
        <v>2290</v>
      </c>
      <c r="G296" s="378">
        <v>14313.7</v>
      </c>
      <c r="H296" s="378">
        <v>6594.85</v>
      </c>
      <c r="I296" s="378"/>
      <c r="J296" s="378">
        <v>7438.26</v>
      </c>
      <c r="K296" s="378">
        <v>8081.45</v>
      </c>
      <c r="L296" s="378">
        <v>64880.15</v>
      </c>
      <c r="M296" s="323">
        <f t="shared" si="8"/>
        <v>729513.07</v>
      </c>
      <c r="N296" s="380">
        <v>11708.55</v>
      </c>
      <c r="O296" s="380">
        <v>44453.2</v>
      </c>
      <c r="P296" s="380">
        <v>42893</v>
      </c>
      <c r="Q296" s="380">
        <v>2446.0500000000002</v>
      </c>
      <c r="R296" s="380">
        <v>33599.1</v>
      </c>
      <c r="S296" s="368">
        <v>2368.15</v>
      </c>
      <c r="T296" s="430">
        <f t="shared" si="9"/>
        <v>866981.12</v>
      </c>
      <c r="U296" s="381">
        <v>73.5</v>
      </c>
      <c r="V296" s="384">
        <v>381</v>
      </c>
      <c r="W296" s="427">
        <v>-11855.03</v>
      </c>
      <c r="X296" s="433"/>
      <c r="Y296" s="433">
        <v>-3.01</v>
      </c>
      <c r="Z296" s="438">
        <v>1</v>
      </c>
    </row>
    <row r="297" spans="1:26" x14ac:dyDescent="0.25">
      <c r="A297" s="329">
        <v>5919</v>
      </c>
      <c r="B297" s="447" t="s">
        <v>380</v>
      </c>
      <c r="C297" s="378">
        <v>1068836.4099999999</v>
      </c>
      <c r="D297" s="378">
        <v>131687.44</v>
      </c>
      <c r="E297" s="378"/>
      <c r="F297" s="497">
        <v>3860</v>
      </c>
      <c r="G297" s="378">
        <v>13343.9</v>
      </c>
      <c r="H297" s="378">
        <v>412.75</v>
      </c>
      <c r="I297" s="378"/>
      <c r="J297" s="378">
        <v>23681.83</v>
      </c>
      <c r="K297" s="378">
        <v>9487.2999999999993</v>
      </c>
      <c r="L297" s="378">
        <v>140517.9</v>
      </c>
      <c r="M297" s="323">
        <f t="shared" si="8"/>
        <v>1391827.5299999998</v>
      </c>
      <c r="N297" s="380">
        <v>11130.05</v>
      </c>
      <c r="O297" s="380"/>
      <c r="P297" s="380">
        <v>59761.5</v>
      </c>
      <c r="Q297" s="380">
        <v>1659.81</v>
      </c>
      <c r="R297" s="380">
        <v>29137.5</v>
      </c>
      <c r="S297" s="368">
        <v>1558.11</v>
      </c>
      <c r="T297" s="430">
        <f t="shared" si="9"/>
        <v>1495074.5</v>
      </c>
      <c r="U297" s="381">
        <v>72</v>
      </c>
      <c r="V297" s="384">
        <v>655</v>
      </c>
      <c r="W297" s="427">
        <v>-26247.29</v>
      </c>
      <c r="X297" s="433"/>
      <c r="Y297" s="433">
        <v>-66.72</v>
      </c>
      <c r="Z297" s="438">
        <v>1.2</v>
      </c>
    </row>
    <row r="298" spans="1:26" x14ac:dyDescent="0.25">
      <c r="A298" s="329">
        <v>5921</v>
      </c>
      <c r="B298" s="447" t="s">
        <v>381</v>
      </c>
      <c r="C298" s="378">
        <v>397762.94</v>
      </c>
      <c r="D298" s="378">
        <v>36064.5</v>
      </c>
      <c r="E298" s="378"/>
      <c r="F298" s="497">
        <v>1420.9</v>
      </c>
      <c r="G298" s="378">
        <v>10495.15</v>
      </c>
      <c r="H298" s="378">
        <v>732.4</v>
      </c>
      <c r="I298" s="378"/>
      <c r="J298" s="378">
        <v>12004.38</v>
      </c>
      <c r="K298" s="378"/>
      <c r="L298" s="378">
        <v>34416.65</v>
      </c>
      <c r="M298" s="323">
        <f t="shared" si="8"/>
        <v>492896.9200000001</v>
      </c>
      <c r="N298" s="380">
        <v>8046.65</v>
      </c>
      <c r="O298" s="380">
        <v>3618.6</v>
      </c>
      <c r="P298" s="380">
        <v>653.25</v>
      </c>
      <c r="Q298" s="380"/>
      <c r="R298" s="380"/>
      <c r="S298" s="368">
        <v>1271.6600000000001</v>
      </c>
      <c r="T298" s="430">
        <f t="shared" si="9"/>
        <v>506487.08000000007</v>
      </c>
      <c r="U298" s="381">
        <v>81</v>
      </c>
      <c r="V298" s="384">
        <v>239</v>
      </c>
      <c r="W298" s="427">
        <v>-18273.919999999998</v>
      </c>
      <c r="X298" s="433"/>
      <c r="Y298" s="433">
        <v>-19.93</v>
      </c>
      <c r="Z298" s="438">
        <v>1</v>
      </c>
    </row>
    <row r="299" spans="1:26" x14ac:dyDescent="0.25">
      <c r="A299" s="329">
        <v>5922</v>
      </c>
      <c r="B299" s="447" t="s">
        <v>265</v>
      </c>
      <c r="C299" s="378">
        <v>1439702.84</v>
      </c>
      <c r="D299" s="378">
        <v>209115.82</v>
      </c>
      <c r="E299" s="378"/>
      <c r="F299" s="497"/>
      <c r="G299" s="378">
        <v>407369.8</v>
      </c>
      <c r="H299" s="378">
        <v>22594.35</v>
      </c>
      <c r="I299" s="378"/>
      <c r="J299" s="378">
        <v>91122.68</v>
      </c>
      <c r="K299" s="378">
        <v>29094.15</v>
      </c>
      <c r="L299" s="378">
        <v>263016.8</v>
      </c>
      <c r="M299" s="323">
        <f t="shared" si="8"/>
        <v>2462016.44</v>
      </c>
      <c r="N299" s="380">
        <v>373184.55</v>
      </c>
      <c r="O299" s="380"/>
      <c r="P299" s="380">
        <v>228232.2</v>
      </c>
      <c r="Q299" s="380">
        <v>8693.7900000000009</v>
      </c>
      <c r="R299" s="380">
        <v>100434.2</v>
      </c>
      <c r="S299" s="368">
        <v>48698.65</v>
      </c>
      <c r="T299" s="430">
        <f t="shared" si="9"/>
        <v>3221259.83</v>
      </c>
      <c r="U299" s="381">
        <v>64.5</v>
      </c>
      <c r="V299" s="384">
        <v>775</v>
      </c>
      <c r="W299" s="427">
        <v>-29613.51</v>
      </c>
      <c r="X299" s="433"/>
      <c r="Y299" s="433">
        <v>-444.96</v>
      </c>
      <c r="Z299" s="438">
        <v>0.8</v>
      </c>
    </row>
    <row r="300" spans="1:26" x14ac:dyDescent="0.25">
      <c r="A300" s="329">
        <v>5923</v>
      </c>
      <c r="B300" s="447" t="s">
        <v>266</v>
      </c>
      <c r="C300" s="378">
        <v>332713.40999999997</v>
      </c>
      <c r="D300" s="378">
        <v>44399.75</v>
      </c>
      <c r="E300" s="378"/>
      <c r="F300" s="497"/>
      <c r="G300" s="378">
        <v>-2117.5</v>
      </c>
      <c r="H300" s="378">
        <v>1264.5999999999999</v>
      </c>
      <c r="I300" s="378"/>
      <c r="J300" s="378">
        <v>15044.24</v>
      </c>
      <c r="K300" s="378"/>
      <c r="L300" s="378">
        <v>26403.4</v>
      </c>
      <c r="M300" s="323">
        <f t="shared" si="8"/>
        <v>417707.89999999997</v>
      </c>
      <c r="N300" s="380">
        <v>12323.55</v>
      </c>
      <c r="O300" s="380"/>
      <c r="P300" s="380">
        <v>34066.9</v>
      </c>
      <c r="Q300" s="380">
        <v>364.95</v>
      </c>
      <c r="R300" s="380">
        <v>27999.75</v>
      </c>
      <c r="S300" s="368">
        <v>-96.6</v>
      </c>
      <c r="T300" s="430">
        <f t="shared" si="9"/>
        <v>492366.45</v>
      </c>
      <c r="U300" s="381">
        <v>81</v>
      </c>
      <c r="V300" s="384">
        <v>201</v>
      </c>
      <c r="W300" s="427">
        <v>-5294.37</v>
      </c>
      <c r="X300" s="433"/>
      <c r="Y300" s="433">
        <v>-0.17</v>
      </c>
      <c r="Z300" s="438">
        <v>1</v>
      </c>
    </row>
    <row r="301" spans="1:26" x14ac:dyDescent="0.25">
      <c r="A301" s="329">
        <v>5924</v>
      </c>
      <c r="B301" s="447" t="s">
        <v>267</v>
      </c>
      <c r="C301" s="378">
        <v>694540.99</v>
      </c>
      <c r="D301" s="378">
        <v>183235.54</v>
      </c>
      <c r="E301" s="378"/>
      <c r="F301" s="497"/>
      <c r="G301" s="378">
        <v>18825.849999999999</v>
      </c>
      <c r="H301" s="378">
        <v>424.05</v>
      </c>
      <c r="I301" s="378"/>
      <c r="J301" s="378">
        <v>15442.3</v>
      </c>
      <c r="K301" s="378">
        <v>-179</v>
      </c>
      <c r="L301" s="378">
        <v>58334.75</v>
      </c>
      <c r="M301" s="323">
        <f t="shared" si="8"/>
        <v>970624.4800000001</v>
      </c>
      <c r="N301" s="380">
        <v>18896.3</v>
      </c>
      <c r="O301" s="380"/>
      <c r="P301" s="380">
        <v>50312.55</v>
      </c>
      <c r="Q301" s="380">
        <v>5.52</v>
      </c>
      <c r="R301" s="380">
        <v>31744.55</v>
      </c>
      <c r="S301" s="368">
        <v>2180.2800000000002</v>
      </c>
      <c r="T301" s="430">
        <f t="shared" si="9"/>
        <v>1073763.6800000002</v>
      </c>
      <c r="U301" s="381">
        <v>74</v>
      </c>
      <c r="V301" s="384">
        <v>367</v>
      </c>
      <c r="W301" s="427">
        <v>-1776.21</v>
      </c>
      <c r="X301" s="433"/>
      <c r="Y301" s="433">
        <v>-881.5</v>
      </c>
      <c r="Z301" s="438">
        <v>1</v>
      </c>
    </row>
    <row r="302" spans="1:26" x14ac:dyDescent="0.25">
      <c r="A302" s="329">
        <v>5925</v>
      </c>
      <c r="B302" s="447" t="s">
        <v>385</v>
      </c>
      <c r="C302" s="378">
        <v>323297.53999999998</v>
      </c>
      <c r="D302" s="378">
        <v>53896.800000000003</v>
      </c>
      <c r="E302" s="378"/>
      <c r="F302" s="497">
        <v>1240</v>
      </c>
      <c r="G302" s="378">
        <v>4295.95</v>
      </c>
      <c r="H302" s="378">
        <v>201.15</v>
      </c>
      <c r="I302" s="378"/>
      <c r="J302" s="378">
        <v>10860.24</v>
      </c>
      <c r="K302" s="378"/>
      <c r="L302" s="378">
        <v>31278.400000000001</v>
      </c>
      <c r="M302" s="323">
        <f t="shared" si="8"/>
        <v>425070.08000000002</v>
      </c>
      <c r="N302" s="380">
        <v>514.25</v>
      </c>
      <c r="O302" s="380">
        <v>112955.2</v>
      </c>
      <c r="P302" s="380">
        <v>10837.5</v>
      </c>
      <c r="Q302" s="380">
        <v>257.86</v>
      </c>
      <c r="R302" s="380">
        <v>13223.4</v>
      </c>
      <c r="S302" s="368">
        <v>509.35</v>
      </c>
      <c r="T302" s="430">
        <f t="shared" si="9"/>
        <v>563367.64</v>
      </c>
      <c r="U302" s="381">
        <v>79</v>
      </c>
      <c r="V302" s="384">
        <v>202</v>
      </c>
      <c r="W302" s="427">
        <v>-12375.55</v>
      </c>
      <c r="X302" s="433"/>
      <c r="Y302" s="433">
        <v>-245.38</v>
      </c>
      <c r="Z302" s="438">
        <v>1</v>
      </c>
    </row>
    <row r="303" spans="1:26" x14ac:dyDescent="0.25">
      <c r="A303" s="329">
        <v>5926</v>
      </c>
      <c r="B303" s="447" t="s">
        <v>386</v>
      </c>
      <c r="C303" s="378">
        <v>1579803.32</v>
      </c>
      <c r="D303" s="378">
        <v>307676.11</v>
      </c>
      <c r="E303" s="378"/>
      <c r="F303" s="497"/>
      <c r="G303" s="378">
        <v>18972.2</v>
      </c>
      <c r="H303" s="378">
        <v>926.05</v>
      </c>
      <c r="I303" s="378"/>
      <c r="J303" s="378">
        <v>19080.93</v>
      </c>
      <c r="K303" s="378"/>
      <c r="L303" s="435">
        <v>132240</v>
      </c>
      <c r="M303" s="323">
        <f t="shared" si="8"/>
        <v>2058698.61</v>
      </c>
      <c r="N303" s="380">
        <v>30239.599999999999</v>
      </c>
      <c r="O303" s="380">
        <v>2683.8</v>
      </c>
      <c r="P303" s="380">
        <v>139129.54999999999</v>
      </c>
      <c r="Q303" s="380">
        <v>118.75</v>
      </c>
      <c r="R303" s="380">
        <v>52958</v>
      </c>
      <c r="S303" s="368">
        <v>2253.7199999999998</v>
      </c>
      <c r="T303" s="430">
        <f t="shared" si="9"/>
        <v>2286082.0300000003</v>
      </c>
      <c r="U303" s="381">
        <v>71</v>
      </c>
      <c r="V303" s="384">
        <v>838</v>
      </c>
      <c r="W303" s="427">
        <v>-81744.06</v>
      </c>
      <c r="X303" s="433"/>
      <c r="Y303" s="433">
        <v>-194.64</v>
      </c>
      <c r="Z303" s="438">
        <v>1</v>
      </c>
    </row>
    <row r="304" spans="1:26" x14ac:dyDescent="0.25">
      <c r="A304" s="329">
        <v>5928</v>
      </c>
      <c r="B304" s="447" t="s">
        <v>387</v>
      </c>
      <c r="C304" s="378">
        <v>345536.41</v>
      </c>
      <c r="D304" s="378">
        <v>39368.06</v>
      </c>
      <c r="E304" s="378"/>
      <c r="F304" s="497"/>
      <c r="G304" s="378">
        <v>226</v>
      </c>
      <c r="H304" s="378">
        <v>81.3</v>
      </c>
      <c r="I304" s="378"/>
      <c r="J304" s="378">
        <v>-8779.6</v>
      </c>
      <c r="K304" s="378"/>
      <c r="L304" s="378">
        <v>23473.3</v>
      </c>
      <c r="M304" s="323">
        <f t="shared" si="8"/>
        <v>399905.47</v>
      </c>
      <c r="N304" s="380">
        <v>10979.85</v>
      </c>
      <c r="O304" s="380">
        <v>790.2</v>
      </c>
      <c r="P304" s="380">
        <v>451.35</v>
      </c>
      <c r="Q304" s="380"/>
      <c r="R304" s="380">
        <v>18200</v>
      </c>
      <c r="S304" s="368">
        <v>34.81</v>
      </c>
      <c r="T304" s="430">
        <f t="shared" si="9"/>
        <v>430361.67999999993</v>
      </c>
      <c r="U304" s="381">
        <v>71.5</v>
      </c>
      <c r="V304" s="384">
        <v>206</v>
      </c>
      <c r="W304" s="427">
        <v>-9588.84</v>
      </c>
      <c r="X304" s="433"/>
      <c r="Y304" s="433">
        <v>0</v>
      </c>
      <c r="Z304" s="438">
        <v>1</v>
      </c>
    </row>
    <row r="305" spans="1:26" x14ac:dyDescent="0.25">
      <c r="A305" s="329">
        <v>5929</v>
      </c>
      <c r="B305" s="447" t="s">
        <v>388</v>
      </c>
      <c r="C305" s="378">
        <v>1091618.5900000001</v>
      </c>
      <c r="D305" s="378">
        <v>125332.68</v>
      </c>
      <c r="E305" s="378"/>
      <c r="F305" s="497"/>
      <c r="G305" s="378">
        <v>48209.25</v>
      </c>
      <c r="H305" s="378">
        <v>-253.05</v>
      </c>
      <c r="I305" s="378">
        <v>41100.15</v>
      </c>
      <c r="J305" s="378">
        <v>3702.39</v>
      </c>
      <c r="K305" s="378"/>
      <c r="L305" s="378">
        <v>92886.15</v>
      </c>
      <c r="M305" s="323">
        <f t="shared" si="8"/>
        <v>1402596.1599999997</v>
      </c>
      <c r="N305" s="380">
        <v>6048.3</v>
      </c>
      <c r="O305" s="380"/>
      <c r="P305" s="380">
        <v>81326.3</v>
      </c>
      <c r="Q305" s="380"/>
      <c r="R305" s="380">
        <v>62114.8</v>
      </c>
      <c r="S305" s="368">
        <v>5431.62</v>
      </c>
      <c r="T305" s="430">
        <f t="shared" si="9"/>
        <v>1557517.18</v>
      </c>
      <c r="U305" s="381">
        <v>70</v>
      </c>
      <c r="V305" s="384">
        <v>656</v>
      </c>
      <c r="W305" s="427">
        <v>-12531.13</v>
      </c>
      <c r="X305" s="433"/>
      <c r="Y305" s="433">
        <v>-29</v>
      </c>
      <c r="Z305" s="438">
        <v>0.8</v>
      </c>
    </row>
    <row r="306" spans="1:26" x14ac:dyDescent="0.25">
      <c r="A306" s="329">
        <v>5930</v>
      </c>
      <c r="B306" s="447" t="s">
        <v>389</v>
      </c>
      <c r="C306" s="378">
        <v>390714.99</v>
      </c>
      <c r="D306" s="378">
        <v>60132.19</v>
      </c>
      <c r="E306" s="378"/>
      <c r="F306" s="497">
        <v>1170</v>
      </c>
      <c r="G306" s="378">
        <v>1265.0999999999999</v>
      </c>
      <c r="H306" s="378">
        <v>114.5</v>
      </c>
      <c r="I306" s="378"/>
      <c r="J306" s="378">
        <v>4628.62</v>
      </c>
      <c r="K306" s="378">
        <v>228.6</v>
      </c>
      <c r="L306" s="378">
        <v>30524.5</v>
      </c>
      <c r="M306" s="323">
        <f t="shared" si="8"/>
        <v>488778.49999999994</v>
      </c>
      <c r="N306" s="380"/>
      <c r="O306" s="380"/>
      <c r="P306" s="380">
        <v>55040</v>
      </c>
      <c r="Q306" s="380"/>
      <c r="R306" s="380">
        <v>24801.8</v>
      </c>
      <c r="S306" s="368">
        <v>156.26</v>
      </c>
      <c r="T306" s="430">
        <f t="shared" si="9"/>
        <v>568776.56000000006</v>
      </c>
      <c r="U306" s="381">
        <v>72</v>
      </c>
      <c r="V306" s="384">
        <v>215</v>
      </c>
      <c r="W306" s="427">
        <v>-9284.16</v>
      </c>
      <c r="X306" s="433"/>
      <c r="Y306" s="433">
        <v>0</v>
      </c>
      <c r="Z306" s="438">
        <v>1</v>
      </c>
    </row>
    <row r="307" spans="1:26" x14ac:dyDescent="0.25">
      <c r="A307" s="329">
        <v>5931</v>
      </c>
      <c r="B307" s="447" t="s">
        <v>390</v>
      </c>
      <c r="C307" s="378">
        <v>914805.55</v>
      </c>
      <c r="D307" s="378">
        <v>106606.66</v>
      </c>
      <c r="E307" s="378"/>
      <c r="F307" s="497"/>
      <c r="G307" s="378">
        <v>32168.05</v>
      </c>
      <c r="H307" s="378">
        <v>1066.5999999999999</v>
      </c>
      <c r="I307" s="378"/>
      <c r="J307" s="378">
        <v>10376.91</v>
      </c>
      <c r="K307" s="378">
        <v>781.4</v>
      </c>
      <c r="L307" s="378">
        <v>80371.8</v>
      </c>
      <c r="M307" s="323">
        <f t="shared" si="8"/>
        <v>1146176.97</v>
      </c>
      <c r="N307" s="380">
        <v>12375.15</v>
      </c>
      <c r="O307" s="380">
        <v>0</v>
      </c>
      <c r="P307" s="380">
        <v>98909.35</v>
      </c>
      <c r="Q307" s="380"/>
      <c r="R307" s="380">
        <v>56168.800000000003</v>
      </c>
      <c r="S307" s="368">
        <v>3764.23</v>
      </c>
      <c r="T307" s="430">
        <f t="shared" si="9"/>
        <v>1317394.5</v>
      </c>
      <c r="U307" s="381">
        <v>75</v>
      </c>
      <c r="V307" s="384">
        <v>490</v>
      </c>
      <c r="W307" s="427">
        <v>-4568.16</v>
      </c>
      <c r="X307" s="433"/>
      <c r="Y307" s="433">
        <v>-41.03</v>
      </c>
      <c r="Z307" s="438">
        <v>1</v>
      </c>
    </row>
    <row r="308" spans="1:26" x14ac:dyDescent="0.25">
      <c r="A308" s="329">
        <v>5932</v>
      </c>
      <c r="B308" s="447" t="s">
        <v>268</v>
      </c>
      <c r="C308" s="378">
        <v>446657.03</v>
      </c>
      <c r="D308" s="378">
        <v>62489.58</v>
      </c>
      <c r="E308" s="378"/>
      <c r="F308" s="497">
        <v>1410</v>
      </c>
      <c r="G308" s="378">
        <v>238.3</v>
      </c>
      <c r="H308" s="378">
        <v>397.65</v>
      </c>
      <c r="I308" s="378">
        <v>46204.7</v>
      </c>
      <c r="J308" s="378">
        <v>1744.92</v>
      </c>
      <c r="K308" s="378">
        <v>819.5</v>
      </c>
      <c r="L308" s="378">
        <v>32899.300000000003</v>
      </c>
      <c r="M308" s="323">
        <f t="shared" si="8"/>
        <v>592860.9800000001</v>
      </c>
      <c r="N308" s="380"/>
      <c r="O308" s="380"/>
      <c r="P308" s="380">
        <v>9848.7000000000007</v>
      </c>
      <c r="Q308" s="380">
        <v>2970.43</v>
      </c>
      <c r="R308" s="380"/>
      <c r="S308" s="368">
        <v>72.03</v>
      </c>
      <c r="T308" s="430">
        <f t="shared" si="9"/>
        <v>605752.14000000013</v>
      </c>
      <c r="U308" s="381">
        <v>75</v>
      </c>
      <c r="V308" s="384">
        <v>228</v>
      </c>
      <c r="W308" s="427">
        <v>-18154.11</v>
      </c>
      <c r="X308" s="433"/>
      <c r="Y308" s="433">
        <v>0</v>
      </c>
      <c r="Z308" s="438">
        <v>1</v>
      </c>
    </row>
    <row r="309" spans="1:26" x14ac:dyDescent="0.25">
      <c r="A309" s="329">
        <v>5933</v>
      </c>
      <c r="B309" s="447" t="s">
        <v>383</v>
      </c>
      <c r="C309" s="378">
        <v>1116497.8899999999</v>
      </c>
      <c r="D309" s="378">
        <v>151396.56</v>
      </c>
      <c r="E309" s="378"/>
      <c r="F309" s="497"/>
      <c r="G309" s="378">
        <v>11213.6</v>
      </c>
      <c r="H309" s="378">
        <v>1470</v>
      </c>
      <c r="I309" s="378"/>
      <c r="J309" s="378">
        <v>17395.04</v>
      </c>
      <c r="K309" s="378">
        <v>4918.05</v>
      </c>
      <c r="L309" s="378">
        <v>121538.15</v>
      </c>
      <c r="M309" s="323">
        <f t="shared" si="8"/>
        <v>1424429.29</v>
      </c>
      <c r="N309" s="380">
        <v>17443.900000000001</v>
      </c>
      <c r="O309" s="380"/>
      <c r="P309" s="380">
        <v>75840</v>
      </c>
      <c r="Q309" s="380">
        <v>2884.24</v>
      </c>
      <c r="R309" s="380">
        <v>56608.65</v>
      </c>
      <c r="S309" s="368">
        <v>1436.57</v>
      </c>
      <c r="T309" s="430">
        <f t="shared" si="9"/>
        <v>1578642.65</v>
      </c>
      <c r="U309" s="381">
        <v>70.5</v>
      </c>
      <c r="V309" s="384">
        <v>697</v>
      </c>
      <c r="W309" s="427">
        <v>-29548.06</v>
      </c>
      <c r="X309" s="433">
        <v>-14260.6</v>
      </c>
      <c r="Y309" s="433">
        <v>-2642.79</v>
      </c>
      <c r="Z309" s="438">
        <v>1</v>
      </c>
    </row>
    <row r="310" spans="1:26" x14ac:dyDescent="0.25">
      <c r="A310" s="329">
        <v>5934</v>
      </c>
      <c r="B310" s="447" t="s">
        <v>384</v>
      </c>
      <c r="C310" s="378">
        <v>439015.21</v>
      </c>
      <c r="D310" s="378">
        <v>56577.31</v>
      </c>
      <c r="E310" s="378"/>
      <c r="F310" s="497">
        <v>1490</v>
      </c>
      <c r="G310" s="378">
        <v>129.30000000000001</v>
      </c>
      <c r="H310" s="378">
        <v>30.7</v>
      </c>
      <c r="I310" s="378"/>
      <c r="J310" s="378">
        <v>18715.39</v>
      </c>
      <c r="K310" s="378">
        <v>34.700000000000003</v>
      </c>
      <c r="L310" s="378">
        <v>28588.35</v>
      </c>
      <c r="M310" s="323">
        <f t="shared" si="8"/>
        <v>544580.96000000008</v>
      </c>
      <c r="N310" s="380">
        <v>16396.150000000001</v>
      </c>
      <c r="O310" s="380"/>
      <c r="P310" s="380">
        <v>622</v>
      </c>
      <c r="Q310" s="380"/>
      <c r="R310" s="380">
        <v>1589.6</v>
      </c>
      <c r="S310" s="368">
        <v>18.12</v>
      </c>
      <c r="T310" s="430">
        <f t="shared" si="9"/>
        <v>563206.83000000007</v>
      </c>
      <c r="U310" s="381">
        <v>77</v>
      </c>
      <c r="V310" s="384">
        <v>247</v>
      </c>
      <c r="W310" s="427">
        <v>-4191.24</v>
      </c>
      <c r="X310" s="433"/>
      <c r="Y310" s="433">
        <v>0</v>
      </c>
      <c r="Z310" s="438">
        <v>1</v>
      </c>
    </row>
    <row r="311" spans="1:26" x14ac:dyDescent="0.25">
      <c r="A311" s="329">
        <v>5935</v>
      </c>
      <c r="B311" s="447" t="s">
        <v>291</v>
      </c>
      <c r="C311" s="378">
        <v>154585.74</v>
      </c>
      <c r="D311" s="378">
        <v>29075.13</v>
      </c>
      <c r="E311" s="378"/>
      <c r="F311" s="497"/>
      <c r="G311" s="378">
        <v>50.35</v>
      </c>
      <c r="H311" s="378">
        <v>386.45</v>
      </c>
      <c r="I311" s="378"/>
      <c r="J311" s="378">
        <v>2477.0700000000002</v>
      </c>
      <c r="K311" s="378"/>
      <c r="L311" s="378">
        <v>20549.55</v>
      </c>
      <c r="M311" s="323">
        <f t="shared" si="8"/>
        <v>207124.29</v>
      </c>
      <c r="N311" s="380"/>
      <c r="O311" s="380"/>
      <c r="P311" s="380">
        <v>10120</v>
      </c>
      <c r="Q311" s="380"/>
      <c r="R311" s="380"/>
      <c r="S311" s="368">
        <v>49.47</v>
      </c>
      <c r="T311" s="430">
        <f t="shared" si="9"/>
        <v>217293.76</v>
      </c>
      <c r="U311" s="381">
        <v>60</v>
      </c>
      <c r="V311" s="384">
        <v>95</v>
      </c>
      <c r="W311" s="427">
        <v>-24.25</v>
      </c>
      <c r="X311" s="433"/>
      <c r="Y311" s="433">
        <v>-255.68</v>
      </c>
      <c r="Z311" s="438">
        <v>1</v>
      </c>
    </row>
    <row r="312" spans="1:26" x14ac:dyDescent="0.25">
      <c r="A312" s="329">
        <v>5937</v>
      </c>
      <c r="B312" s="447" t="s">
        <v>269</v>
      </c>
      <c r="C312" s="378">
        <v>200814.57</v>
      </c>
      <c r="D312" s="378">
        <v>35528.080000000002</v>
      </c>
      <c r="E312" s="378"/>
      <c r="F312" s="497"/>
      <c r="G312" s="378">
        <v>4939.45</v>
      </c>
      <c r="H312" s="378">
        <v>765.85</v>
      </c>
      <c r="I312" s="378"/>
      <c r="J312" s="378">
        <v>4311.78</v>
      </c>
      <c r="K312" s="378"/>
      <c r="L312" s="378">
        <v>12164.72</v>
      </c>
      <c r="M312" s="323">
        <f t="shared" si="8"/>
        <v>258524.45000000004</v>
      </c>
      <c r="N312" s="380"/>
      <c r="O312" s="380"/>
      <c r="P312" s="380">
        <v>10230</v>
      </c>
      <c r="Q312" s="380">
        <v>1938.72</v>
      </c>
      <c r="R312" s="380"/>
      <c r="S312" s="368">
        <v>646.19000000000005</v>
      </c>
      <c r="T312" s="430">
        <f t="shared" si="9"/>
        <v>271339.36000000004</v>
      </c>
      <c r="U312" s="381">
        <v>70</v>
      </c>
      <c r="V312" s="384">
        <v>140</v>
      </c>
      <c r="W312" s="427">
        <v>-22710.7</v>
      </c>
      <c r="X312" s="433"/>
      <c r="Y312" s="433">
        <v>-27.91</v>
      </c>
      <c r="Z312" s="438">
        <v>0.7</v>
      </c>
    </row>
    <row r="313" spans="1:26" x14ac:dyDescent="0.25">
      <c r="A313" s="329">
        <v>5938</v>
      </c>
      <c r="B313" s="447" t="s">
        <v>146</v>
      </c>
      <c r="C313" s="378">
        <v>42709958.350000001</v>
      </c>
      <c r="D313" s="378">
        <v>4695884.83</v>
      </c>
      <c r="E313" s="378"/>
      <c r="F313" s="497"/>
      <c r="G313" s="378">
        <v>3132726.45</v>
      </c>
      <c r="H313" s="378">
        <v>719514.35</v>
      </c>
      <c r="I313" s="378">
        <v>-73350.05</v>
      </c>
      <c r="J313" s="378">
        <v>1527061.42</v>
      </c>
      <c r="K313" s="378">
        <v>700264</v>
      </c>
      <c r="L313" s="378">
        <v>4400574.8499999996</v>
      </c>
      <c r="M313" s="323">
        <f t="shared" si="8"/>
        <v>57812634.20000001</v>
      </c>
      <c r="N313" s="380">
        <v>4824763.5999999996</v>
      </c>
      <c r="O313" s="380">
        <v>1382582.8</v>
      </c>
      <c r="P313" s="380">
        <v>2434885.0499999998</v>
      </c>
      <c r="Q313" s="380">
        <v>592665.73</v>
      </c>
      <c r="R313" s="380">
        <v>2456221.9500000002</v>
      </c>
      <c r="S313" s="368">
        <v>436312.98</v>
      </c>
      <c r="T313" s="430">
        <f t="shared" si="9"/>
        <v>69940066.310000002</v>
      </c>
      <c r="U313" s="381">
        <v>75</v>
      </c>
      <c r="V313" s="384">
        <v>29710</v>
      </c>
      <c r="W313" s="427">
        <v>-1612544.18</v>
      </c>
      <c r="X313" s="433"/>
      <c r="Y313" s="433">
        <v>-21296.37</v>
      </c>
      <c r="Z313" s="438">
        <v>1</v>
      </c>
    </row>
    <row r="314" spans="1:26" x14ac:dyDescent="0.25">
      <c r="A314" s="329">
        <v>5939</v>
      </c>
      <c r="B314" s="447" t="s">
        <v>145</v>
      </c>
      <c r="C314" s="378">
        <v>6019715.6600000001</v>
      </c>
      <c r="D314" s="378">
        <v>652581.86</v>
      </c>
      <c r="E314" s="378"/>
      <c r="F314" s="497"/>
      <c r="G314" s="378">
        <v>230415.55</v>
      </c>
      <c r="H314" s="378">
        <v>13530.9</v>
      </c>
      <c r="I314" s="378"/>
      <c r="J314" s="378">
        <v>73635.88</v>
      </c>
      <c r="K314" s="378">
        <v>53811.65</v>
      </c>
      <c r="L314" s="378">
        <v>588836.15</v>
      </c>
      <c r="M314" s="323">
        <f t="shared" si="8"/>
        <v>7632527.6500000013</v>
      </c>
      <c r="N314" s="380">
        <v>167773.55</v>
      </c>
      <c r="O314" s="380">
        <v>282357.2</v>
      </c>
      <c r="P314" s="380">
        <v>177512.65</v>
      </c>
      <c r="Q314" s="380">
        <v>21836.2</v>
      </c>
      <c r="R314" s="380">
        <v>146553.65</v>
      </c>
      <c r="S314" s="368">
        <v>27629.89</v>
      </c>
      <c r="T314" s="430">
        <f t="shared" si="9"/>
        <v>8456190.7900000028</v>
      </c>
      <c r="U314" s="383">
        <v>71.5</v>
      </c>
      <c r="V314" s="386">
        <v>3512</v>
      </c>
      <c r="W314" s="427">
        <v>-149908.45000000001</v>
      </c>
      <c r="X314" s="433"/>
      <c r="Y314" s="436">
        <v>-499.18</v>
      </c>
      <c r="Z314" s="439">
        <v>1</v>
      </c>
    </row>
    <row r="315" spans="1:26" x14ac:dyDescent="0.25">
      <c r="A315" s="331"/>
      <c r="B315" s="348">
        <f>COUNTA(B7:B314)</f>
        <v>308</v>
      </c>
      <c r="C315" s="376">
        <f t="shared" ref="C315:S315" si="10">SUM(C7:C314)</f>
        <v>1719015560.9900007</v>
      </c>
      <c r="D315" s="376">
        <f t="shared" si="10"/>
        <v>341402557.17000008</v>
      </c>
      <c r="E315" s="376">
        <f t="shared" si="10"/>
        <v>0</v>
      </c>
      <c r="F315" s="376">
        <f t="shared" si="10"/>
        <v>120769.35</v>
      </c>
      <c r="G315" s="377">
        <f t="shared" si="10"/>
        <v>277880162.35000008</v>
      </c>
      <c r="H315" s="377">
        <f t="shared" si="10"/>
        <v>39013179.349999987</v>
      </c>
      <c r="I315" s="377">
        <f t="shared" si="10"/>
        <v>40618993.310000017</v>
      </c>
      <c r="J315" s="377">
        <f t="shared" si="10"/>
        <v>64886069.479999989</v>
      </c>
      <c r="K315" s="377">
        <f t="shared" si="10"/>
        <v>20497665.900000002</v>
      </c>
      <c r="L315" s="377">
        <f t="shared" si="10"/>
        <v>223481668.66000006</v>
      </c>
      <c r="M315" s="379">
        <f t="shared" si="10"/>
        <v>2726916626.5599995</v>
      </c>
      <c r="N315" s="377">
        <f t="shared" si="10"/>
        <v>82182598.849999994</v>
      </c>
      <c r="O315" s="19">
        <f t="shared" si="10"/>
        <v>105599505.13000003</v>
      </c>
      <c r="P315" s="19">
        <f t="shared" si="10"/>
        <v>122904238.90000004</v>
      </c>
      <c r="Q315" s="19">
        <f t="shared" si="10"/>
        <v>8990129.9899999984</v>
      </c>
      <c r="R315" s="19">
        <f t="shared" si="10"/>
        <v>94654101.150000006</v>
      </c>
      <c r="S315" s="426">
        <f t="shared" si="10"/>
        <v>34666818.119999997</v>
      </c>
      <c r="T315" s="379">
        <f t="shared" si="9"/>
        <v>3175914018.6999993</v>
      </c>
      <c r="U315" s="432"/>
      <c r="V315" s="18">
        <f>SUM(V7:V314)</f>
        <v>823879</v>
      </c>
      <c r="W315" s="19">
        <f t="shared" ref="W315:Y315" si="11">SUM(W7:W314)</f>
        <v>-33089303.57999998</v>
      </c>
      <c r="X315" s="19">
        <f t="shared" si="11"/>
        <v>-22747.050000000003</v>
      </c>
      <c r="Y315" s="429">
        <f t="shared" si="11"/>
        <v>-5414014.9799999995</v>
      </c>
      <c r="Z315" s="429"/>
    </row>
    <row r="316" spans="1:26" x14ac:dyDescent="0.25">
      <c r="A316" s="328"/>
      <c r="I316" s="359"/>
      <c r="J316" s="359"/>
      <c r="K316" s="359"/>
      <c r="L316" s="359"/>
      <c r="M316" s="359"/>
      <c r="N316" s="359"/>
      <c r="O316" s="359"/>
      <c r="P316" s="359"/>
      <c r="Q316" s="359"/>
      <c r="R316" s="359"/>
      <c r="S316" s="435"/>
    </row>
    <row r="317" spans="1:26" s="427" customFormat="1" x14ac:dyDescent="0.25">
      <c r="A317" s="328"/>
      <c r="C317" s="431"/>
      <c r="D317" s="431"/>
      <c r="E317" s="431"/>
      <c r="F317" s="431"/>
      <c r="G317" s="431"/>
      <c r="H317" s="431"/>
      <c r="I317" s="431"/>
      <c r="J317" s="431"/>
      <c r="K317" s="431"/>
      <c r="S317" s="435"/>
    </row>
  </sheetData>
  <protectedRanges>
    <protectedRange sqref="C315:M315 A7:B314 U7:Y314 N7:R314" name="Plage1"/>
    <protectedRange sqref="E33:E169 S316:S317 E171:E270 I33:L302 G33:H271 E276:E314 C33:D314 G272:G273 H273 G275:H314 I304:L314 I303:K303 S7:S314 C7:L7 C8:E32 G8:L32 F8:F314" name="Plage1_1"/>
    <protectedRange sqref="E170" name="Plage1_3"/>
    <protectedRange sqref="L303" name="Plage1_1_1"/>
  </protectedRanges>
  <mergeCells count="26">
    <mergeCell ref="Z4:Z6"/>
    <mergeCell ref="V4:V5"/>
    <mergeCell ref="W4:W6"/>
    <mergeCell ref="Y4:Y6"/>
    <mergeCell ref="X4:X6"/>
    <mergeCell ref="U4:U5"/>
    <mergeCell ref="A4:A6"/>
    <mergeCell ref="B4:B6"/>
    <mergeCell ref="Q4:Q6"/>
    <mergeCell ref="L4:L5"/>
    <mergeCell ref="G4:G5"/>
    <mergeCell ref="H4:H5"/>
    <mergeCell ref="I4:I5"/>
    <mergeCell ref="J4:J5"/>
    <mergeCell ref="C4:C5"/>
    <mergeCell ref="D4:D5"/>
    <mergeCell ref="E4:E5"/>
    <mergeCell ref="N4:N5"/>
    <mergeCell ref="T4:T5"/>
    <mergeCell ref="O4:O5"/>
    <mergeCell ref="F4:F5"/>
    <mergeCell ref="K4:K5"/>
    <mergeCell ref="M4:M5"/>
    <mergeCell ref="P4:P5"/>
    <mergeCell ref="R4:R5"/>
    <mergeCell ref="S4:S5"/>
  </mergeCells>
  <phoneticPr fontId="21" type="noConversion"/>
  <pageMargins left="0.19685039370078741" right="0.39370078740157483" top="0.98425196850393704" bottom="0.98425196850393704"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rgb="FF00B050"/>
  </sheetPr>
  <dimension ref="A1:AA324"/>
  <sheetViews>
    <sheetView zoomScaleNormal="100" workbookViewId="0">
      <pane ySplit="6" topLeftCell="A7" activePane="bottomLeft" state="frozen"/>
      <selection activeCell="X73" sqref="X73"/>
      <selection pane="bottomLeft"/>
    </sheetView>
  </sheetViews>
  <sheetFormatPr baseColWidth="10" defaultColWidth="8.625" defaultRowHeight="15" x14ac:dyDescent="0.25"/>
  <cols>
    <col min="1" max="1" width="7.625" style="4" customWidth="1"/>
    <col min="2" max="2" width="20.375" style="13" bestFit="1" customWidth="1"/>
    <col min="3" max="3" width="15.875" style="13" bestFit="1" customWidth="1"/>
    <col min="4" max="4" width="12.125" style="6" bestFit="1" customWidth="1"/>
    <col min="5" max="5" width="9.125" style="13" bestFit="1" customWidth="1"/>
    <col min="6" max="6" width="13.375" style="6" bestFit="1" customWidth="1"/>
    <col min="7" max="7" width="18.375" style="13" bestFit="1" customWidth="1"/>
    <col min="8" max="8" width="10" style="6" bestFit="1" customWidth="1"/>
    <col min="9" max="9" width="10.125" style="13" bestFit="1" customWidth="1"/>
    <col min="10" max="10" width="16" style="13" bestFit="1" customWidth="1"/>
    <col min="11" max="12" width="12.25" style="13" bestFit="1" customWidth="1"/>
    <col min="13" max="13" width="13.375" style="13" bestFit="1" customWidth="1"/>
    <col min="14" max="14" width="15.875" style="13" bestFit="1" customWidth="1"/>
    <col min="15" max="15" width="13" style="13" bestFit="1" customWidth="1"/>
    <col min="16" max="16" width="13.125" style="13" bestFit="1" customWidth="1"/>
    <col min="17" max="17" width="8.625" style="13" customWidth="1"/>
    <col min="18" max="18" width="14.375" style="13" bestFit="1" customWidth="1"/>
    <col min="19" max="19" width="12.25" style="15" bestFit="1" customWidth="1"/>
    <col min="20" max="20" width="14.375" style="15" bestFit="1" customWidth="1"/>
    <col min="21" max="21" width="12.125" style="13" customWidth="1"/>
    <col min="22" max="22" width="13.5" style="13" bestFit="1" customWidth="1"/>
    <col min="23" max="24" width="12.25" style="13" bestFit="1" customWidth="1"/>
    <col min="25" max="25" width="15.5" style="13" customWidth="1"/>
    <col min="26" max="26" width="12.5" style="13" bestFit="1" customWidth="1"/>
    <col min="27" max="27" width="8.625" style="13" customWidth="1"/>
    <col min="28" max="16384" width="8.625" style="13"/>
  </cols>
  <sheetData>
    <row r="1" spans="1:27" ht="21" x14ac:dyDescent="0.35">
      <c r="A1" s="25" t="s">
        <v>432</v>
      </c>
      <c r="B1" s="26"/>
      <c r="C1" s="26"/>
      <c r="E1" s="28"/>
      <c r="G1" s="4"/>
      <c r="H1" s="5"/>
      <c r="I1" s="4"/>
      <c r="J1" s="4"/>
      <c r="K1" s="4"/>
      <c r="L1" s="4"/>
    </row>
    <row r="2" spans="1:27" ht="21" x14ac:dyDescent="0.35">
      <c r="A2" s="25">
        <f>Paramètres!B5</f>
        <v>2021</v>
      </c>
      <c r="C2" s="25"/>
      <c r="E2" s="28"/>
      <c r="G2" s="29"/>
      <c r="H2" s="5"/>
      <c r="I2" s="4"/>
      <c r="J2" s="4"/>
      <c r="K2" s="4"/>
      <c r="L2" s="4"/>
    </row>
    <row r="3" spans="1:27" x14ac:dyDescent="0.25">
      <c r="A3" s="3"/>
      <c r="B3" s="4"/>
      <c r="C3" s="4"/>
      <c r="E3" s="28"/>
      <c r="G3" s="4"/>
      <c r="H3" s="5"/>
      <c r="I3" s="4"/>
      <c r="J3" s="4"/>
      <c r="K3" s="4"/>
      <c r="L3" s="4"/>
      <c r="O3" s="27"/>
    </row>
    <row r="4" spans="1:27" s="16" customFormat="1" ht="38.1" customHeight="1" x14ac:dyDescent="0.2">
      <c r="A4" s="575" t="s">
        <v>46</v>
      </c>
      <c r="B4" s="578" t="s">
        <v>94</v>
      </c>
      <c r="C4" s="584" t="s">
        <v>243</v>
      </c>
      <c r="D4" s="581" t="s">
        <v>238</v>
      </c>
      <c r="E4" s="586" t="s">
        <v>239</v>
      </c>
      <c r="F4" s="581" t="s">
        <v>240</v>
      </c>
      <c r="G4" s="584" t="s">
        <v>241</v>
      </c>
      <c r="H4" s="581" t="s">
        <v>250</v>
      </c>
      <c r="I4" s="584" t="s">
        <v>251</v>
      </c>
      <c r="J4" s="584" t="s">
        <v>252</v>
      </c>
      <c r="K4" s="584" t="s">
        <v>368</v>
      </c>
      <c r="L4" s="584" t="s">
        <v>369</v>
      </c>
      <c r="M4" s="584" t="s">
        <v>370</v>
      </c>
      <c r="N4" s="581" t="s">
        <v>399</v>
      </c>
      <c r="O4" s="584" t="s">
        <v>48</v>
      </c>
      <c r="P4" s="584" t="s">
        <v>371</v>
      </c>
      <c r="Q4" s="586" t="s">
        <v>477</v>
      </c>
      <c r="R4" s="592" t="s">
        <v>453</v>
      </c>
      <c r="S4" s="558" t="s">
        <v>77</v>
      </c>
      <c r="T4" s="592" t="s">
        <v>331</v>
      </c>
      <c r="U4" s="592" t="s">
        <v>434</v>
      </c>
      <c r="V4" s="584" t="s">
        <v>191</v>
      </c>
      <c r="W4" s="584" t="s">
        <v>192</v>
      </c>
      <c r="X4" s="584" t="s">
        <v>193</v>
      </c>
      <c r="Y4" s="589" t="s">
        <v>408</v>
      </c>
      <c r="Z4" s="584" t="s">
        <v>190</v>
      </c>
      <c r="AA4" s="584" t="s">
        <v>296</v>
      </c>
    </row>
    <row r="5" spans="1:27" s="16" customFormat="1" ht="41.25" customHeight="1" x14ac:dyDescent="0.2">
      <c r="A5" s="576"/>
      <c r="B5" s="579"/>
      <c r="C5" s="585"/>
      <c r="D5" s="582"/>
      <c r="E5" s="587"/>
      <c r="F5" s="582"/>
      <c r="G5" s="585"/>
      <c r="H5" s="583"/>
      <c r="I5" s="585"/>
      <c r="J5" s="585"/>
      <c r="K5" s="585"/>
      <c r="L5" s="585"/>
      <c r="M5" s="585"/>
      <c r="N5" s="582"/>
      <c r="O5" s="595"/>
      <c r="P5" s="585"/>
      <c r="Q5" s="587"/>
      <c r="R5" s="593"/>
      <c r="S5" s="559"/>
      <c r="T5" s="593"/>
      <c r="U5" s="594"/>
      <c r="V5" s="585"/>
      <c r="W5" s="585"/>
      <c r="X5" s="585"/>
      <c r="Y5" s="590"/>
      <c r="Z5" s="585"/>
      <c r="AA5" s="585"/>
    </row>
    <row r="6" spans="1:27" ht="14.25" customHeight="1" x14ac:dyDescent="0.25">
      <c r="A6" s="577"/>
      <c r="B6" s="580"/>
      <c r="C6" s="39" t="s">
        <v>244</v>
      </c>
      <c r="D6" s="583"/>
      <c r="E6" s="588"/>
      <c r="F6" s="583"/>
      <c r="G6" s="39" t="s">
        <v>242</v>
      </c>
      <c r="H6" s="20" t="s">
        <v>78</v>
      </c>
      <c r="I6" s="21" t="s">
        <v>79</v>
      </c>
      <c r="J6" s="21" t="s">
        <v>80</v>
      </c>
      <c r="K6" s="39" t="s">
        <v>81</v>
      </c>
      <c r="L6" s="21" t="s">
        <v>82</v>
      </c>
      <c r="M6" s="21" t="s">
        <v>83</v>
      </c>
      <c r="N6" s="583"/>
      <c r="O6" s="585"/>
      <c r="P6" s="21" t="s">
        <v>84</v>
      </c>
      <c r="Q6" s="588"/>
      <c r="R6" s="594"/>
      <c r="S6" s="40">
        <f>Paramètres!B8</f>
        <v>2021</v>
      </c>
      <c r="T6" s="594"/>
      <c r="U6" s="197">
        <f>Paramètres!B5</f>
        <v>2021</v>
      </c>
      <c r="V6" s="21" t="s">
        <v>87</v>
      </c>
      <c r="W6" s="21" t="s">
        <v>88</v>
      </c>
      <c r="X6" s="21" t="s">
        <v>89</v>
      </c>
      <c r="Y6" s="591"/>
      <c r="Z6" s="39" t="s">
        <v>86</v>
      </c>
      <c r="AA6" s="23">
        <f>Paramètres!B7</f>
        <v>43099</v>
      </c>
    </row>
    <row r="7" spans="1:27" x14ac:dyDescent="0.25">
      <c r="A7" s="8">
        <f>'A) Base RI'!A7</f>
        <v>5401</v>
      </c>
      <c r="B7" s="32" t="str">
        <f>'A) Base RI'!B7</f>
        <v>Aigle</v>
      </c>
      <c r="C7" s="10">
        <f>'A) Base RI'!C7+'A) Base RI'!D7</f>
        <v>14436685.949999999</v>
      </c>
      <c r="D7" s="10">
        <f>'A) Base RI'!W7</f>
        <v>-301234.81</v>
      </c>
      <c r="E7" s="31">
        <f>'A) Base RI'!X7</f>
        <v>0</v>
      </c>
      <c r="F7" s="31">
        <f>'A) Base RI'!Y7</f>
        <v>-9568.57</v>
      </c>
      <c r="G7" s="2">
        <f>SUM(C7:F7)</f>
        <v>14125882.569999998</v>
      </c>
      <c r="H7" s="10">
        <f>+'A) Base RI'!E7</f>
        <v>0</v>
      </c>
      <c r="I7" s="10">
        <f>+'A) Base RI'!F7</f>
        <v>0</v>
      </c>
      <c r="J7" s="10">
        <f>+'A) Base RI'!G7+'A) Base RI'!H7+'A) Base RI'!S7</f>
        <v>1605417.5</v>
      </c>
      <c r="K7" s="10">
        <f>+'A) Base RI'!I7</f>
        <v>55943.199999999997</v>
      </c>
      <c r="L7" s="10">
        <f>+'A) Base RI'!J7</f>
        <v>596061.34</v>
      </c>
      <c r="M7" s="10">
        <f>+'A) Base RI'!K7</f>
        <v>242822.05</v>
      </c>
      <c r="N7" s="10">
        <f>+'A) Base RI'!Q7</f>
        <v>78593.5</v>
      </c>
      <c r="O7" s="10">
        <f>(P7/Q7)*1</f>
        <v>1840716.5416666667</v>
      </c>
      <c r="P7" s="10">
        <f>+'A) Base RI'!L7</f>
        <v>2208859.85</v>
      </c>
      <c r="Q7" s="34">
        <f>'A) Base RI'!Z7</f>
        <v>1.2</v>
      </c>
      <c r="R7" s="2">
        <f>SUM(G7:O7)</f>
        <v>18545436.701666664</v>
      </c>
      <c r="S7" s="33">
        <f>+'A) Base RI'!U7</f>
        <v>66</v>
      </c>
      <c r="T7" s="2">
        <f>(G7+H7+J7+K7+L7+N7)</f>
        <v>16461898.109999998</v>
      </c>
      <c r="U7" s="2">
        <f>R7/S7</f>
        <v>280991.46517676767</v>
      </c>
      <c r="V7" s="10">
        <f>+'A) Base RI'!O7</f>
        <v>410971.7</v>
      </c>
      <c r="W7" s="10">
        <f>+'A) Base RI'!P7</f>
        <v>1358488.4</v>
      </c>
      <c r="X7" s="10">
        <f>+'A) Base RI'!R7</f>
        <v>428650.15</v>
      </c>
      <c r="Y7" s="2">
        <f>SUM(V7:X7)</f>
        <v>2198110.25</v>
      </c>
      <c r="Z7" s="10">
        <f>+'A) Base RI'!N7</f>
        <v>1208164.8999999999</v>
      </c>
      <c r="AA7" s="10">
        <f>'A) Base RI'!V7</f>
        <v>10828</v>
      </c>
    </row>
    <row r="8" spans="1:27" x14ac:dyDescent="0.25">
      <c r="A8" s="8">
        <f>'A) Base RI'!A8</f>
        <v>5402</v>
      </c>
      <c r="B8" s="32" t="str">
        <f>'A) Base RI'!B8</f>
        <v>Bex</v>
      </c>
      <c r="C8" s="10">
        <f>'A) Base RI'!C8+'A) Base RI'!D8</f>
        <v>11061775.07</v>
      </c>
      <c r="D8" s="10">
        <f>'A) Base RI'!W8</f>
        <v>-291750.38</v>
      </c>
      <c r="E8" s="384">
        <f>'A) Base RI'!X8</f>
        <v>0</v>
      </c>
      <c r="F8" s="384">
        <f>'A) Base RI'!Y8</f>
        <v>-3880.84</v>
      </c>
      <c r="G8" s="387">
        <f t="shared" ref="G8:G71" si="0">SUM(C8:F8)</f>
        <v>10766143.85</v>
      </c>
      <c r="H8" s="10">
        <f>+'A) Base RI'!E8</f>
        <v>0</v>
      </c>
      <c r="I8" s="10">
        <f>+'A) Base RI'!F8</f>
        <v>0</v>
      </c>
      <c r="J8" s="10">
        <f>+'A) Base RI'!G8+'A) Base RI'!H8+'A) Base RI'!S8</f>
        <v>929238.67</v>
      </c>
      <c r="K8" s="10">
        <f>+'A) Base RI'!I8</f>
        <v>117061.85</v>
      </c>
      <c r="L8" s="10">
        <f>+'A) Base RI'!J8</f>
        <v>311170.89</v>
      </c>
      <c r="M8" s="10">
        <f>+'A) Base RI'!K8</f>
        <v>109103.9</v>
      </c>
      <c r="N8" s="10">
        <f>+'A) Base RI'!Q8</f>
        <v>76761.88</v>
      </c>
      <c r="O8" s="10">
        <f t="shared" ref="O8:O71" si="1">(P8/Q8)*1</f>
        <v>1372714.6</v>
      </c>
      <c r="P8" s="10">
        <f>+'A) Base RI'!L8</f>
        <v>1715893.25</v>
      </c>
      <c r="Q8" s="395">
        <f>'A) Base RI'!Z8</f>
        <v>1.25</v>
      </c>
      <c r="R8" s="387">
        <f t="shared" ref="R8:R71" si="2">SUM(G8:O8)</f>
        <v>13682195.640000001</v>
      </c>
      <c r="S8" s="428">
        <f>+'A) Base RI'!U8</f>
        <v>71</v>
      </c>
      <c r="T8" s="387">
        <f t="shared" ref="T8:T71" si="3">(G8+H8+J8+K8+L8+N8)</f>
        <v>12200377.140000001</v>
      </c>
      <c r="U8" s="387">
        <f t="shared" ref="U8:U71" si="4">R8/S8</f>
        <v>192706.98084507044</v>
      </c>
      <c r="V8" s="10">
        <f>+'A) Base RI'!O8</f>
        <v>9093.9</v>
      </c>
      <c r="W8" s="10">
        <f>+'A) Base RI'!P8</f>
        <v>1061413.8500000001</v>
      </c>
      <c r="X8" s="10">
        <f>+'A) Base RI'!R8</f>
        <v>515474.3</v>
      </c>
      <c r="Y8" s="387">
        <f t="shared" ref="Y8:Y71" si="5">SUM(V8:X8)</f>
        <v>1585982.05</v>
      </c>
      <c r="Z8" s="10">
        <f>+'A) Base RI'!N8</f>
        <v>360746.15</v>
      </c>
      <c r="AA8" s="10">
        <f>'A) Base RI'!V8</f>
        <v>8063</v>
      </c>
    </row>
    <row r="9" spans="1:27" x14ac:dyDescent="0.25">
      <c r="A9" s="8">
        <f>'A) Base RI'!A9</f>
        <v>5403</v>
      </c>
      <c r="B9" s="32" t="str">
        <f>'A) Base RI'!B9</f>
        <v>Chessel</v>
      </c>
      <c r="C9" s="10">
        <f>'A) Base RI'!C9+'A) Base RI'!D9</f>
        <v>654078.91</v>
      </c>
      <c r="D9" s="10">
        <f>'A) Base RI'!W9</f>
        <v>-13826.16</v>
      </c>
      <c r="E9" s="384">
        <f>'A) Base RI'!X9</f>
        <v>0</v>
      </c>
      <c r="F9" s="384">
        <f>'A) Base RI'!Y9</f>
        <v>0</v>
      </c>
      <c r="G9" s="387">
        <f t="shared" si="0"/>
        <v>640252.75</v>
      </c>
      <c r="H9" s="10">
        <f>+'A) Base RI'!E9</f>
        <v>0</v>
      </c>
      <c r="I9" s="10">
        <f>+'A) Base RI'!F9</f>
        <v>0</v>
      </c>
      <c r="J9" s="10">
        <f>+'A) Base RI'!G9+'A) Base RI'!H9+'A) Base RI'!S9</f>
        <v>119295.44</v>
      </c>
      <c r="K9" s="10">
        <f>+'A) Base RI'!I9</f>
        <v>0</v>
      </c>
      <c r="L9" s="10">
        <f>+'A) Base RI'!J9</f>
        <v>38914.879999999997</v>
      </c>
      <c r="M9" s="10">
        <f>+'A) Base RI'!K9</f>
        <v>7613.8</v>
      </c>
      <c r="N9" s="10">
        <f>+'A) Base RI'!Q9</f>
        <v>-631.95000000000005</v>
      </c>
      <c r="O9" s="10">
        <f t="shared" si="1"/>
        <v>89239.7</v>
      </c>
      <c r="P9" s="10">
        <f>+'A) Base RI'!L9</f>
        <v>89239.7</v>
      </c>
      <c r="Q9" s="395">
        <f>'A) Base RI'!Z9</f>
        <v>1</v>
      </c>
      <c r="R9" s="387">
        <f t="shared" si="2"/>
        <v>894684.62</v>
      </c>
      <c r="S9" s="428">
        <f>+'A) Base RI'!U9</f>
        <v>74</v>
      </c>
      <c r="T9" s="387">
        <f t="shared" si="3"/>
        <v>797831.12</v>
      </c>
      <c r="U9" s="387">
        <f t="shared" si="4"/>
        <v>12090.332702702703</v>
      </c>
      <c r="V9" s="10">
        <f>+'A) Base RI'!O9</f>
        <v>9021</v>
      </c>
      <c r="W9" s="10">
        <f>+'A) Base RI'!P9</f>
        <v>69123.399999999994</v>
      </c>
      <c r="X9" s="10">
        <f>+'A) Base RI'!R9</f>
        <v>-305.2</v>
      </c>
      <c r="Y9" s="387">
        <f t="shared" si="5"/>
        <v>77839.199999999997</v>
      </c>
      <c r="Z9" s="10">
        <f>+'A) Base RI'!N9</f>
        <v>5448.25</v>
      </c>
      <c r="AA9" s="10">
        <f>'A) Base RI'!V9</f>
        <v>497</v>
      </c>
    </row>
    <row r="10" spans="1:27" x14ac:dyDescent="0.25">
      <c r="A10" s="8">
        <f>'A) Base RI'!A10</f>
        <v>5404</v>
      </c>
      <c r="B10" s="32" t="str">
        <f>'A) Base RI'!B10</f>
        <v>Corbeyrier</v>
      </c>
      <c r="C10" s="10">
        <f>'A) Base RI'!C10+'A) Base RI'!D10</f>
        <v>760354.83</v>
      </c>
      <c r="D10" s="10">
        <f>'A) Base RI'!W10</f>
        <v>-3920.21</v>
      </c>
      <c r="E10" s="384">
        <f>'A) Base RI'!X10</f>
        <v>0</v>
      </c>
      <c r="F10" s="384">
        <f>'A) Base RI'!Y10</f>
        <v>-110.6</v>
      </c>
      <c r="G10" s="387">
        <f t="shared" si="0"/>
        <v>756324.02</v>
      </c>
      <c r="H10" s="10">
        <f>+'A) Base RI'!E10</f>
        <v>0</v>
      </c>
      <c r="I10" s="10">
        <f>+'A) Base RI'!F10</f>
        <v>0</v>
      </c>
      <c r="J10" s="10">
        <f>+'A) Base RI'!G10+'A) Base RI'!H10+'A) Base RI'!S10</f>
        <v>7675.61</v>
      </c>
      <c r="K10" s="10">
        <f>+'A) Base RI'!I10</f>
        <v>0</v>
      </c>
      <c r="L10" s="10">
        <f>+'A) Base RI'!J10</f>
        <v>2548.21</v>
      </c>
      <c r="M10" s="10">
        <f>+'A) Base RI'!K10</f>
        <v>1699.05</v>
      </c>
      <c r="N10" s="10">
        <f>+'A) Base RI'!Q10</f>
        <v>0</v>
      </c>
      <c r="O10" s="10">
        <f t="shared" si="1"/>
        <v>88755.900000000009</v>
      </c>
      <c r="P10" s="10">
        <f>+'A) Base RI'!L10</f>
        <v>133133.85</v>
      </c>
      <c r="Q10" s="395">
        <f>'A) Base RI'!Z10</f>
        <v>1.5</v>
      </c>
      <c r="R10" s="387">
        <f t="shared" si="2"/>
        <v>857002.79</v>
      </c>
      <c r="S10" s="428">
        <f>+'A) Base RI'!U10</f>
        <v>74</v>
      </c>
      <c r="T10" s="387">
        <f t="shared" si="3"/>
        <v>766547.84</v>
      </c>
      <c r="U10" s="387">
        <f t="shared" si="4"/>
        <v>11581.118783783784</v>
      </c>
      <c r="V10" s="10">
        <f>+'A) Base RI'!O10</f>
        <v>49601.3</v>
      </c>
      <c r="W10" s="10">
        <f>+'A) Base RI'!P10</f>
        <v>22659.1</v>
      </c>
      <c r="X10" s="10">
        <f>+'A) Base RI'!R10</f>
        <v>24811.85</v>
      </c>
      <c r="Y10" s="387">
        <f t="shared" si="5"/>
        <v>97072.25</v>
      </c>
      <c r="Z10" s="10">
        <f>+'A) Base RI'!N10</f>
        <v>20708.849999999999</v>
      </c>
      <c r="AA10" s="10">
        <f>'A) Base RI'!V10</f>
        <v>439</v>
      </c>
    </row>
    <row r="11" spans="1:27" x14ac:dyDescent="0.25">
      <c r="A11" s="8">
        <f>'A) Base RI'!A11</f>
        <v>5405</v>
      </c>
      <c r="B11" s="32" t="str">
        <f>'A) Base RI'!B11</f>
        <v>Gryon</v>
      </c>
      <c r="C11" s="10">
        <f>'A) Base RI'!C11+'A) Base RI'!D11</f>
        <v>4356706.59</v>
      </c>
      <c r="D11" s="10">
        <f>'A) Base RI'!W11</f>
        <v>-44847.199999999997</v>
      </c>
      <c r="E11" s="384">
        <f>'A) Base RI'!X11</f>
        <v>0</v>
      </c>
      <c r="F11" s="384">
        <f>'A) Base RI'!Y11</f>
        <v>-2520.9</v>
      </c>
      <c r="G11" s="387">
        <f t="shared" si="0"/>
        <v>4309338.4899999993</v>
      </c>
      <c r="H11" s="10">
        <f>+'A) Base RI'!E11</f>
        <v>0</v>
      </c>
      <c r="I11" s="10">
        <f>+'A) Base RI'!F11</f>
        <v>0</v>
      </c>
      <c r="J11" s="10">
        <f>+'A) Base RI'!G11+'A) Base RI'!H11+'A) Base RI'!S11</f>
        <v>106066.15999999999</v>
      </c>
      <c r="K11" s="10">
        <f>+'A) Base RI'!I11</f>
        <v>386758.04</v>
      </c>
      <c r="L11" s="10">
        <f>+'A) Base RI'!J11</f>
        <v>112374.65</v>
      </c>
      <c r="M11" s="10">
        <f>+'A) Base RI'!K11</f>
        <v>-747.3</v>
      </c>
      <c r="N11" s="10">
        <f>+'A) Base RI'!Q11</f>
        <v>23617.99</v>
      </c>
      <c r="O11" s="10">
        <f t="shared" si="1"/>
        <v>803760.4</v>
      </c>
      <c r="P11" s="10">
        <f>+'A) Base RI'!L11</f>
        <v>1205640.6000000001</v>
      </c>
      <c r="Q11" s="395">
        <f>'A) Base RI'!Z11</f>
        <v>1.5</v>
      </c>
      <c r="R11" s="387">
        <f t="shared" si="2"/>
        <v>5741168.4300000006</v>
      </c>
      <c r="S11" s="428">
        <f>+'A) Base RI'!U11</f>
        <v>73.5</v>
      </c>
      <c r="T11" s="387">
        <f t="shared" si="3"/>
        <v>4938155.33</v>
      </c>
      <c r="U11" s="387">
        <f t="shared" si="4"/>
        <v>78111.135102040818</v>
      </c>
      <c r="V11" s="10">
        <f>+'A) Base RI'!O11</f>
        <v>51326.7</v>
      </c>
      <c r="W11" s="10">
        <f>+'A) Base RI'!P11</f>
        <v>756851.5</v>
      </c>
      <c r="X11" s="10">
        <f>+'A) Base RI'!R11</f>
        <v>645085.5</v>
      </c>
      <c r="Y11" s="387">
        <f t="shared" si="5"/>
        <v>1453263.7</v>
      </c>
      <c r="Z11" s="10">
        <f>+'A) Base RI'!N11</f>
        <v>4448.5</v>
      </c>
      <c r="AA11" s="10">
        <f>'A) Base RI'!V11</f>
        <v>1382</v>
      </c>
    </row>
    <row r="12" spans="1:27" x14ac:dyDescent="0.25">
      <c r="A12" s="8">
        <f>'A) Base RI'!A12</f>
        <v>5406</v>
      </c>
      <c r="B12" s="32" t="str">
        <f>'A) Base RI'!B12</f>
        <v>Lavey-Morcles</v>
      </c>
      <c r="C12" s="10">
        <f>'A) Base RI'!C12+'A) Base RI'!D12</f>
        <v>1303939.47</v>
      </c>
      <c r="D12" s="10">
        <f>'A) Base RI'!W12</f>
        <v>-32622.91</v>
      </c>
      <c r="E12" s="384">
        <f>'A) Base RI'!X12</f>
        <v>0</v>
      </c>
      <c r="F12" s="384">
        <f>'A) Base RI'!Y12</f>
        <v>-5.0599999999999996</v>
      </c>
      <c r="G12" s="387">
        <f t="shared" si="0"/>
        <v>1271311.5</v>
      </c>
      <c r="H12" s="10">
        <f>+'A) Base RI'!E12</f>
        <v>0</v>
      </c>
      <c r="I12" s="10">
        <f>+'A) Base RI'!F12</f>
        <v>0</v>
      </c>
      <c r="J12" s="10">
        <f>+'A) Base RI'!G12+'A) Base RI'!H12+'A) Base RI'!S12</f>
        <v>46274.47</v>
      </c>
      <c r="K12" s="10">
        <f>+'A) Base RI'!I12</f>
        <v>0</v>
      </c>
      <c r="L12" s="10">
        <f>+'A) Base RI'!J12</f>
        <v>53070.03</v>
      </c>
      <c r="M12" s="10">
        <f>+'A) Base RI'!K12</f>
        <v>10325.5</v>
      </c>
      <c r="N12" s="10">
        <f>+'A) Base RI'!Q12</f>
        <v>528.94000000000005</v>
      </c>
      <c r="O12" s="10">
        <f t="shared" si="1"/>
        <v>156727.84615384616</v>
      </c>
      <c r="P12" s="10">
        <f>+'A) Base RI'!L12</f>
        <v>203746.2</v>
      </c>
      <c r="Q12" s="395">
        <f>'A) Base RI'!Z12</f>
        <v>1.3</v>
      </c>
      <c r="R12" s="387">
        <f t="shared" si="2"/>
        <v>1538238.2861538462</v>
      </c>
      <c r="S12" s="428">
        <f>+'A) Base RI'!U12</f>
        <v>71.5</v>
      </c>
      <c r="T12" s="387">
        <f t="shared" si="3"/>
        <v>1371184.94</v>
      </c>
      <c r="U12" s="387">
        <f t="shared" si="4"/>
        <v>21513.822183969878</v>
      </c>
      <c r="V12" s="10">
        <f>+'A) Base RI'!O12</f>
        <v>11382</v>
      </c>
      <c r="W12" s="10">
        <f>+'A) Base RI'!P12</f>
        <v>81126.600000000006</v>
      </c>
      <c r="X12" s="10">
        <f>+'A) Base RI'!R12</f>
        <v>7487.45</v>
      </c>
      <c r="Y12" s="387">
        <f t="shared" si="5"/>
        <v>99996.05</v>
      </c>
      <c r="Z12" s="10">
        <f>+'A) Base RI'!N12</f>
        <v>1948.95</v>
      </c>
      <c r="AA12" s="10">
        <f>'A) Base RI'!V12</f>
        <v>966</v>
      </c>
    </row>
    <row r="13" spans="1:27" x14ac:dyDescent="0.25">
      <c r="A13" s="8">
        <f>'A) Base RI'!A13</f>
        <v>5407</v>
      </c>
      <c r="B13" s="32" t="str">
        <f>'A) Base RI'!B13</f>
        <v>Leysin</v>
      </c>
      <c r="C13" s="10">
        <f>'A) Base RI'!C13+'A) Base RI'!D13</f>
        <v>5334478.7399999993</v>
      </c>
      <c r="D13" s="10">
        <f>'A) Base RI'!W13</f>
        <v>-89906.13</v>
      </c>
      <c r="E13" s="384">
        <f>'A) Base RI'!X13</f>
        <v>0</v>
      </c>
      <c r="F13" s="384">
        <f>'A) Base RI'!Y13</f>
        <v>-4230.0200000000004</v>
      </c>
      <c r="G13" s="387">
        <f t="shared" si="0"/>
        <v>5240342.59</v>
      </c>
      <c r="H13" s="10">
        <f>+'A) Base RI'!E13</f>
        <v>0</v>
      </c>
      <c r="I13" s="10">
        <f>+'A) Base RI'!F13</f>
        <v>0</v>
      </c>
      <c r="J13" s="10">
        <f>+'A) Base RI'!G13+'A) Base RI'!H13+'A) Base RI'!S13</f>
        <v>248943.72</v>
      </c>
      <c r="K13" s="10">
        <f>+'A) Base RI'!I13</f>
        <v>211498.75</v>
      </c>
      <c r="L13" s="10">
        <f>+'A) Base RI'!J13</f>
        <v>456345.87</v>
      </c>
      <c r="M13" s="10">
        <f>+'A) Base RI'!K13</f>
        <v>56260.45</v>
      </c>
      <c r="N13" s="10">
        <f>+'A) Base RI'!Q13</f>
        <v>11033.17</v>
      </c>
      <c r="O13" s="10">
        <f t="shared" si="1"/>
        <v>849196.06666666677</v>
      </c>
      <c r="P13" s="10">
        <f>+'A) Base RI'!L13</f>
        <v>1273794.1000000001</v>
      </c>
      <c r="Q13" s="395">
        <f>'A) Base RI'!Z13</f>
        <v>1.5</v>
      </c>
      <c r="R13" s="387">
        <f t="shared" si="2"/>
        <v>7073620.6166666662</v>
      </c>
      <c r="S13" s="428">
        <f>+'A) Base RI'!U13</f>
        <v>78</v>
      </c>
      <c r="T13" s="387">
        <f t="shared" si="3"/>
        <v>6168164.0999999996</v>
      </c>
      <c r="U13" s="387">
        <f t="shared" si="4"/>
        <v>90687.443803418792</v>
      </c>
      <c r="V13" s="10">
        <f>+'A) Base RI'!O13</f>
        <v>260687.7</v>
      </c>
      <c r="W13" s="10">
        <f>+'A) Base RI'!P13</f>
        <v>500748.79999999999</v>
      </c>
      <c r="X13" s="10">
        <f>+'A) Base RI'!R13</f>
        <v>341066.9</v>
      </c>
      <c r="Y13" s="387">
        <f t="shared" si="5"/>
        <v>1102503.3999999999</v>
      </c>
      <c r="Z13" s="10">
        <f>+'A) Base RI'!N13</f>
        <v>85323.25</v>
      </c>
      <c r="AA13" s="10">
        <f>'A) Base RI'!V13</f>
        <v>3637</v>
      </c>
    </row>
    <row r="14" spans="1:27" x14ac:dyDescent="0.25">
      <c r="A14" s="8">
        <f>'A) Base RI'!A14</f>
        <v>5408</v>
      </c>
      <c r="B14" s="32" t="str">
        <f>'A) Base RI'!B14</f>
        <v>Noville</v>
      </c>
      <c r="C14" s="10">
        <f>'A) Base RI'!C14+'A) Base RI'!D14</f>
        <v>2583504.9500000002</v>
      </c>
      <c r="D14" s="10">
        <f>'A) Base RI'!W14</f>
        <v>-33424.71</v>
      </c>
      <c r="E14" s="384">
        <f>'A) Base RI'!X14</f>
        <v>0</v>
      </c>
      <c r="F14" s="384">
        <f>'A) Base RI'!Y14</f>
        <v>-123.9</v>
      </c>
      <c r="G14" s="387">
        <f t="shared" si="0"/>
        <v>2549956.3400000003</v>
      </c>
      <c r="H14" s="10">
        <f>+'A) Base RI'!E14</f>
        <v>0</v>
      </c>
      <c r="I14" s="10">
        <f>+'A) Base RI'!F14</f>
        <v>0</v>
      </c>
      <c r="J14" s="10">
        <f>+'A) Base RI'!G14+'A) Base RI'!H14+'A) Base RI'!S14</f>
        <v>268863.99</v>
      </c>
      <c r="K14" s="10">
        <f>+'A) Base RI'!I14</f>
        <v>0</v>
      </c>
      <c r="L14" s="10">
        <f>+'A) Base RI'!J14</f>
        <v>58629.81</v>
      </c>
      <c r="M14" s="10">
        <f>+'A) Base RI'!K14</f>
        <v>25719.3</v>
      </c>
      <c r="N14" s="10">
        <f>+'A) Base RI'!Q14</f>
        <v>548.74</v>
      </c>
      <c r="O14" s="10">
        <f t="shared" si="1"/>
        <v>345353.06666666665</v>
      </c>
      <c r="P14" s="10">
        <f>+'A) Base RI'!L14</f>
        <v>518029.6</v>
      </c>
      <c r="Q14" s="395">
        <f>'A) Base RI'!Z14</f>
        <v>1.5</v>
      </c>
      <c r="R14" s="387">
        <f t="shared" si="2"/>
        <v>3249071.2466666671</v>
      </c>
      <c r="S14" s="428">
        <f>+'A) Base RI'!U14</f>
        <v>78.5</v>
      </c>
      <c r="T14" s="387">
        <f t="shared" si="3"/>
        <v>2877998.8800000004</v>
      </c>
      <c r="U14" s="387">
        <f t="shared" si="4"/>
        <v>41389.442632696395</v>
      </c>
      <c r="V14" s="10">
        <f>+'A) Base RI'!O14</f>
        <v>0</v>
      </c>
      <c r="W14" s="10">
        <f>+'A) Base RI'!P14</f>
        <v>378889</v>
      </c>
      <c r="X14" s="10">
        <f>+'A) Base RI'!R14</f>
        <v>65793.05</v>
      </c>
      <c r="Y14" s="387">
        <f t="shared" si="5"/>
        <v>444682.05</v>
      </c>
      <c r="Z14" s="10">
        <f>+'A) Base RI'!N14</f>
        <v>139810.25</v>
      </c>
      <c r="AA14" s="10">
        <f>'A) Base RI'!V14</f>
        <v>1169</v>
      </c>
    </row>
    <row r="15" spans="1:27" x14ac:dyDescent="0.25">
      <c r="A15" s="8">
        <f>'A) Base RI'!A15</f>
        <v>5409</v>
      </c>
      <c r="B15" s="32" t="str">
        <f>'A) Base RI'!B15</f>
        <v>Ollon</v>
      </c>
      <c r="C15" s="10">
        <f>'A) Base RI'!C15+'A) Base RI'!D15</f>
        <v>22007860.940000001</v>
      </c>
      <c r="D15" s="10">
        <f>'A) Base RI'!W15</f>
        <v>-491179.55</v>
      </c>
      <c r="E15" s="384">
        <f>'A) Base RI'!X15</f>
        <v>0</v>
      </c>
      <c r="F15" s="384">
        <f>'A) Base RI'!Y15</f>
        <v>-35458.14</v>
      </c>
      <c r="G15" s="387">
        <f t="shared" si="0"/>
        <v>21481223.25</v>
      </c>
      <c r="H15" s="10">
        <f>+'A) Base RI'!E15</f>
        <v>0</v>
      </c>
      <c r="I15" s="10">
        <f>+'A) Base RI'!F15</f>
        <v>0</v>
      </c>
      <c r="J15" s="10">
        <f>+'A) Base RI'!G15+'A) Base RI'!H15+'A) Base RI'!S15</f>
        <v>863792.5</v>
      </c>
      <c r="K15" s="10">
        <f>+'A) Base RI'!I15</f>
        <v>2580549.39</v>
      </c>
      <c r="L15" s="10">
        <f>+'A) Base RI'!J15</f>
        <v>665284.18000000005</v>
      </c>
      <c r="M15" s="10">
        <f>+'A) Base RI'!K15</f>
        <v>76424.5</v>
      </c>
      <c r="N15" s="10">
        <f>+'A) Base RI'!Q15</f>
        <v>258393.78</v>
      </c>
      <c r="O15" s="10">
        <f t="shared" si="1"/>
        <v>3196213.7307692305</v>
      </c>
      <c r="P15" s="10">
        <f>+'A) Base RI'!L15</f>
        <v>4155077.85</v>
      </c>
      <c r="Q15" s="395">
        <f>'A) Base RI'!Z15</f>
        <v>1.3</v>
      </c>
      <c r="R15" s="387">
        <f t="shared" si="2"/>
        <v>29121881.330769233</v>
      </c>
      <c r="S15" s="428">
        <f>+'A) Base RI'!U15</f>
        <v>68</v>
      </c>
      <c r="T15" s="387">
        <f t="shared" si="3"/>
        <v>25849243.100000001</v>
      </c>
      <c r="U15" s="387">
        <f t="shared" si="4"/>
        <v>428262.96074660635</v>
      </c>
      <c r="V15" s="10">
        <f>+'A) Base RI'!O15</f>
        <v>3308119.65</v>
      </c>
      <c r="W15" s="10">
        <f>+'A) Base RI'!P15</f>
        <v>2981009.85</v>
      </c>
      <c r="X15" s="10">
        <f>+'A) Base RI'!R15</f>
        <v>1526736</v>
      </c>
      <c r="Y15" s="387">
        <f t="shared" si="5"/>
        <v>7815865.5</v>
      </c>
      <c r="Z15" s="10">
        <f>+'A) Base RI'!N15</f>
        <v>83657.55</v>
      </c>
      <c r="AA15" s="10">
        <f>'A) Base RI'!V15</f>
        <v>7904</v>
      </c>
    </row>
    <row r="16" spans="1:27" x14ac:dyDescent="0.25">
      <c r="A16" s="8">
        <f>'A) Base RI'!A16</f>
        <v>5410</v>
      </c>
      <c r="B16" s="32" t="str">
        <f>'A) Base RI'!B16</f>
        <v>Ormont-Dessous</v>
      </c>
      <c r="C16" s="10">
        <f>'A) Base RI'!C16+'A) Base RI'!D16</f>
        <v>2424061.21</v>
      </c>
      <c r="D16" s="10">
        <f>'A) Base RI'!W16</f>
        <v>-18212.55</v>
      </c>
      <c r="E16" s="384">
        <f>'A) Base RI'!X16</f>
        <v>0</v>
      </c>
      <c r="F16" s="384">
        <f>'A) Base RI'!Y16</f>
        <v>-228.16</v>
      </c>
      <c r="G16" s="387">
        <f t="shared" si="0"/>
        <v>2405620.5</v>
      </c>
      <c r="H16" s="10">
        <f>+'A) Base RI'!E16</f>
        <v>0</v>
      </c>
      <c r="I16" s="10">
        <f>+'A) Base RI'!F16</f>
        <v>0</v>
      </c>
      <c r="J16" s="10">
        <f>+'A) Base RI'!G16+'A) Base RI'!H16+'A) Base RI'!S16</f>
        <v>36244.92</v>
      </c>
      <c r="K16" s="10">
        <f>+'A) Base RI'!I16</f>
        <v>0</v>
      </c>
      <c r="L16" s="10">
        <f>+'A) Base RI'!J16</f>
        <v>57273.55</v>
      </c>
      <c r="M16" s="10">
        <f>+'A) Base RI'!K16</f>
        <v>12013.85</v>
      </c>
      <c r="N16" s="10">
        <f>+'A) Base RI'!Q16</f>
        <v>68947.58</v>
      </c>
      <c r="O16" s="10">
        <f t="shared" si="1"/>
        <v>393204.39999999997</v>
      </c>
      <c r="P16" s="10">
        <f>+'A) Base RI'!L16</f>
        <v>589806.6</v>
      </c>
      <c r="Q16" s="395">
        <f>'A) Base RI'!Z16</f>
        <v>1.5</v>
      </c>
      <c r="R16" s="387">
        <f t="shared" si="2"/>
        <v>2973304.8</v>
      </c>
      <c r="S16" s="428">
        <f>+'A) Base RI'!U16</f>
        <v>77</v>
      </c>
      <c r="T16" s="387">
        <f t="shared" si="3"/>
        <v>2568086.5499999998</v>
      </c>
      <c r="U16" s="387">
        <f t="shared" si="4"/>
        <v>38614.348051948051</v>
      </c>
      <c r="V16" s="10">
        <f>+'A) Base RI'!O16</f>
        <v>209907.6</v>
      </c>
      <c r="W16" s="10">
        <f>+'A) Base RI'!P16</f>
        <v>222863.15</v>
      </c>
      <c r="X16" s="10">
        <f>+'A) Base RI'!R16</f>
        <v>217531.4</v>
      </c>
      <c r="Y16" s="387">
        <f t="shared" si="5"/>
        <v>650302.15</v>
      </c>
      <c r="Z16" s="10">
        <f>+'A) Base RI'!N16</f>
        <v>13127.75</v>
      </c>
      <c r="AA16" s="10">
        <f>'A) Base RI'!V16</f>
        <v>1162</v>
      </c>
    </row>
    <row r="17" spans="1:27" x14ac:dyDescent="0.25">
      <c r="A17" s="8">
        <f>'A) Base RI'!A17</f>
        <v>5411</v>
      </c>
      <c r="B17" s="32" t="str">
        <f>'A) Base RI'!B17</f>
        <v>Ormont-Dessus</v>
      </c>
      <c r="C17" s="10">
        <f>'A) Base RI'!C17+'A) Base RI'!D17</f>
        <v>4694834.21</v>
      </c>
      <c r="D17" s="10">
        <f>'A) Base RI'!W17</f>
        <v>-53846.27</v>
      </c>
      <c r="E17" s="384">
        <f>'A) Base RI'!X17</f>
        <v>0</v>
      </c>
      <c r="F17" s="384">
        <f>'A) Base RI'!Y17</f>
        <v>-3427.92</v>
      </c>
      <c r="G17" s="387">
        <f t="shared" si="0"/>
        <v>4637560.0200000005</v>
      </c>
      <c r="H17" s="10">
        <f>+'A) Base RI'!E17</f>
        <v>0</v>
      </c>
      <c r="I17" s="10">
        <f>+'A) Base RI'!F17</f>
        <v>0</v>
      </c>
      <c r="J17" s="10">
        <f>+'A) Base RI'!G17+'A) Base RI'!H17+'A) Base RI'!S17</f>
        <v>116380.76000000001</v>
      </c>
      <c r="K17" s="10">
        <f>+'A) Base RI'!I17</f>
        <v>118306.4</v>
      </c>
      <c r="L17" s="10">
        <f>+'A) Base RI'!J17</f>
        <v>142093.76999999999</v>
      </c>
      <c r="M17" s="10">
        <f>+'A) Base RI'!K17</f>
        <v>14419.25</v>
      </c>
      <c r="N17" s="10">
        <f>+'A) Base RI'!Q17</f>
        <v>5781.12</v>
      </c>
      <c r="O17" s="10">
        <f t="shared" si="1"/>
        <v>848725.93333333323</v>
      </c>
      <c r="P17" s="10">
        <f>+'A) Base RI'!L17</f>
        <v>1273088.8999999999</v>
      </c>
      <c r="Q17" s="395">
        <f>'A) Base RI'!Z17</f>
        <v>1.5</v>
      </c>
      <c r="R17" s="387">
        <f t="shared" si="2"/>
        <v>5883267.2533333339</v>
      </c>
      <c r="S17" s="428">
        <f>+'A) Base RI'!U17</f>
        <v>76</v>
      </c>
      <c r="T17" s="387">
        <f t="shared" si="3"/>
        <v>5020122.07</v>
      </c>
      <c r="U17" s="387">
        <f t="shared" si="4"/>
        <v>77411.411228070181</v>
      </c>
      <c r="V17" s="10">
        <f>+'A) Base RI'!O17</f>
        <v>46659.6</v>
      </c>
      <c r="W17" s="10">
        <f>+'A) Base RI'!P17</f>
        <v>527910.9</v>
      </c>
      <c r="X17" s="10">
        <f>+'A) Base RI'!R17</f>
        <v>451099.35</v>
      </c>
      <c r="Y17" s="387">
        <f t="shared" si="5"/>
        <v>1025669.85</v>
      </c>
      <c r="Z17" s="10">
        <f>+'A) Base RI'!N17</f>
        <v>8538.2000000000007</v>
      </c>
      <c r="AA17" s="10">
        <f>'A) Base RI'!V17</f>
        <v>1451</v>
      </c>
    </row>
    <row r="18" spans="1:27" x14ac:dyDescent="0.25">
      <c r="A18" s="8">
        <f>'A) Base RI'!A18</f>
        <v>5412</v>
      </c>
      <c r="B18" s="32" t="str">
        <f>'A) Base RI'!B18</f>
        <v>Rennaz</v>
      </c>
      <c r="C18" s="10">
        <f>'A) Base RI'!C18+'A) Base RI'!D18</f>
        <v>1322753.28</v>
      </c>
      <c r="D18" s="10">
        <f>'A) Base RI'!W18</f>
        <v>-27629.17</v>
      </c>
      <c r="E18" s="384">
        <f>'A) Base RI'!X18</f>
        <v>0</v>
      </c>
      <c r="F18" s="384">
        <f>'A) Base RI'!Y18</f>
        <v>-71.84</v>
      </c>
      <c r="G18" s="387">
        <f t="shared" si="0"/>
        <v>1295052.27</v>
      </c>
      <c r="H18" s="10">
        <f>+'A) Base RI'!E18</f>
        <v>0</v>
      </c>
      <c r="I18" s="10">
        <f>+'A) Base RI'!F18</f>
        <v>0</v>
      </c>
      <c r="J18" s="10">
        <f>+'A) Base RI'!G18+'A) Base RI'!H18+'A) Base RI'!S18</f>
        <v>203783.86000000002</v>
      </c>
      <c r="K18" s="10">
        <f>+'A) Base RI'!I18</f>
        <v>0</v>
      </c>
      <c r="L18" s="10">
        <f>+'A) Base RI'!J18</f>
        <v>92707.5</v>
      </c>
      <c r="M18" s="10">
        <f>+'A) Base RI'!K18</f>
        <v>48156.45</v>
      </c>
      <c r="N18" s="10">
        <f>+'A) Base RI'!Q18</f>
        <v>266.27999999999997</v>
      </c>
      <c r="O18" s="10">
        <f t="shared" si="1"/>
        <v>352477.6</v>
      </c>
      <c r="P18" s="10">
        <f>+'A) Base RI'!L18</f>
        <v>352477.6</v>
      </c>
      <c r="Q18" s="395">
        <f>'A) Base RI'!Z18</f>
        <v>1</v>
      </c>
      <c r="R18" s="387">
        <f t="shared" si="2"/>
        <v>1992443.96</v>
      </c>
      <c r="S18" s="428">
        <f>+'A) Base RI'!U18</f>
        <v>69</v>
      </c>
      <c r="T18" s="387">
        <f t="shared" si="3"/>
        <v>1591809.9100000001</v>
      </c>
      <c r="U18" s="387">
        <f t="shared" si="4"/>
        <v>28875.999420289856</v>
      </c>
      <c r="V18" s="10">
        <f>+'A) Base RI'!O18</f>
        <v>0</v>
      </c>
      <c r="W18" s="10">
        <f>+'A) Base RI'!P18</f>
        <v>72356.100000000006</v>
      </c>
      <c r="X18" s="10">
        <f>+'A) Base RI'!R18</f>
        <v>50258.15</v>
      </c>
      <c r="Y18" s="387">
        <f t="shared" si="5"/>
        <v>122614.25</v>
      </c>
      <c r="Z18" s="10">
        <f>+'A) Base RI'!N18</f>
        <v>939726.85</v>
      </c>
      <c r="AA18" s="10">
        <f>'A) Base RI'!V18</f>
        <v>883</v>
      </c>
    </row>
    <row r="19" spans="1:27" x14ac:dyDescent="0.25">
      <c r="A19" s="8">
        <f>'A) Base RI'!A19</f>
        <v>5413</v>
      </c>
      <c r="B19" s="32" t="str">
        <f>'A) Base RI'!B19</f>
        <v>Roche</v>
      </c>
      <c r="C19" s="10">
        <f>'A) Base RI'!C19+'A) Base RI'!D19</f>
        <v>2442908.2199999997</v>
      </c>
      <c r="D19" s="10">
        <f>'A) Base RI'!W19</f>
        <v>-72050.83</v>
      </c>
      <c r="E19" s="384">
        <f>'A) Base RI'!X19</f>
        <v>0</v>
      </c>
      <c r="F19" s="384">
        <f>'A) Base RI'!Y19</f>
        <v>-270.43</v>
      </c>
      <c r="G19" s="387">
        <f t="shared" si="0"/>
        <v>2370586.9599999995</v>
      </c>
      <c r="H19" s="10">
        <f>+'A) Base RI'!E19</f>
        <v>0</v>
      </c>
      <c r="I19" s="10">
        <f>+'A) Base RI'!F19</f>
        <v>0</v>
      </c>
      <c r="J19" s="10">
        <f>+'A) Base RI'!G19+'A) Base RI'!H19+'A) Base RI'!S19</f>
        <v>151215.4</v>
      </c>
      <c r="K19" s="10">
        <f>+'A) Base RI'!I19</f>
        <v>0</v>
      </c>
      <c r="L19" s="10">
        <f>+'A) Base RI'!J19</f>
        <v>79364.179999999993</v>
      </c>
      <c r="M19" s="10">
        <f>+'A) Base RI'!K19</f>
        <v>33412.050000000003</v>
      </c>
      <c r="N19" s="10">
        <f>+'A) Base RI'!Q19</f>
        <v>14864.84</v>
      </c>
      <c r="O19" s="10">
        <f t="shared" si="1"/>
        <v>284657.375</v>
      </c>
      <c r="P19" s="10">
        <f>+'A) Base RI'!L19</f>
        <v>341588.85</v>
      </c>
      <c r="Q19" s="395">
        <f>'A) Base RI'!Z19</f>
        <v>1.2</v>
      </c>
      <c r="R19" s="387">
        <f t="shared" si="2"/>
        <v>2934100.8049999992</v>
      </c>
      <c r="S19" s="428">
        <f>+'A) Base RI'!U19</f>
        <v>68</v>
      </c>
      <c r="T19" s="387">
        <f t="shared" si="3"/>
        <v>2616031.3799999994</v>
      </c>
      <c r="U19" s="387">
        <f t="shared" si="4"/>
        <v>43148.541249999987</v>
      </c>
      <c r="V19" s="10">
        <f>+'A) Base RI'!O19</f>
        <v>675121.8</v>
      </c>
      <c r="W19" s="10">
        <f>+'A) Base RI'!P19</f>
        <v>130658.45</v>
      </c>
      <c r="X19" s="10">
        <f>+'A) Base RI'!R19</f>
        <v>59414.85</v>
      </c>
      <c r="Y19" s="387">
        <f t="shared" si="5"/>
        <v>865195.1</v>
      </c>
      <c r="Z19" s="10">
        <f>+'A) Base RI'!N19</f>
        <v>228687.95</v>
      </c>
      <c r="AA19" s="10">
        <f>'A) Base RI'!V19</f>
        <v>1874</v>
      </c>
    </row>
    <row r="20" spans="1:27" x14ac:dyDescent="0.25">
      <c r="A20" s="8">
        <f>'A) Base RI'!A20</f>
        <v>5414</v>
      </c>
      <c r="B20" s="32" t="str">
        <f>'A) Base RI'!B20</f>
        <v>Villeneuve</v>
      </c>
      <c r="C20" s="10">
        <f>'A) Base RI'!C20+'A) Base RI'!D20</f>
        <v>8975500.3699999992</v>
      </c>
      <c r="D20" s="10">
        <f>'A) Base RI'!W20</f>
        <v>-256999.15</v>
      </c>
      <c r="E20" s="384">
        <f>'A) Base RI'!X20</f>
        <v>0</v>
      </c>
      <c r="F20" s="384">
        <f>'A) Base RI'!Y20</f>
        <v>-4067.22</v>
      </c>
      <c r="G20" s="387">
        <f t="shared" si="0"/>
        <v>8714433.9999999981</v>
      </c>
      <c r="H20" s="10">
        <f>+'A) Base RI'!E20</f>
        <v>0</v>
      </c>
      <c r="I20" s="10">
        <f>+'A) Base RI'!F20</f>
        <v>0</v>
      </c>
      <c r="J20" s="10">
        <f>+'A) Base RI'!G20+'A) Base RI'!H20+'A) Base RI'!S20</f>
        <v>1933195.27</v>
      </c>
      <c r="K20" s="10">
        <f>+'A) Base RI'!I20</f>
        <v>105516.83</v>
      </c>
      <c r="L20" s="10">
        <f>+'A) Base RI'!J20</f>
        <v>287772.21000000002</v>
      </c>
      <c r="M20" s="10">
        <f>+'A) Base RI'!K20</f>
        <v>166580.79999999999</v>
      </c>
      <c r="N20" s="10">
        <f>+'A) Base RI'!Q20</f>
        <v>48284.82</v>
      </c>
      <c r="O20" s="10">
        <f t="shared" si="1"/>
        <v>1279790.05</v>
      </c>
      <c r="P20" s="10">
        <f>+'A) Base RI'!L20</f>
        <v>1279790.05</v>
      </c>
      <c r="Q20" s="395">
        <f>'A) Base RI'!Z20</f>
        <v>1</v>
      </c>
      <c r="R20" s="387">
        <f t="shared" si="2"/>
        <v>12535573.98</v>
      </c>
      <c r="S20" s="428">
        <f>+'A) Base RI'!U20</f>
        <v>67.5</v>
      </c>
      <c r="T20" s="387">
        <f t="shared" si="3"/>
        <v>11089203.129999999</v>
      </c>
      <c r="U20" s="387">
        <f t="shared" si="4"/>
        <v>185712.20711111111</v>
      </c>
      <c r="V20" s="10">
        <f>+'A) Base RI'!O20</f>
        <v>383509.6</v>
      </c>
      <c r="W20" s="10">
        <f>+'A) Base RI'!P20</f>
        <v>790753.4</v>
      </c>
      <c r="X20" s="10">
        <f>+'A) Base RI'!R20</f>
        <v>513080.9</v>
      </c>
      <c r="Y20" s="387">
        <f t="shared" si="5"/>
        <v>1687343.9</v>
      </c>
      <c r="Z20" s="10">
        <f>+'A) Base RI'!N20</f>
        <v>1493353.75</v>
      </c>
      <c r="AA20" s="10">
        <f>'A) Base RI'!V20</f>
        <v>5921</v>
      </c>
    </row>
    <row r="21" spans="1:27" x14ac:dyDescent="0.25">
      <c r="A21" s="8">
        <f>'A) Base RI'!A21</f>
        <v>5415</v>
      </c>
      <c r="B21" s="32" t="str">
        <f>'A) Base RI'!B21</f>
        <v>Yvorne</v>
      </c>
      <c r="C21" s="10">
        <f>'A) Base RI'!C21+'A) Base RI'!D21</f>
        <v>2138137.63</v>
      </c>
      <c r="D21" s="10">
        <f>'A) Base RI'!W21</f>
        <v>-15188.45</v>
      </c>
      <c r="E21" s="384">
        <f>'A) Base RI'!X21</f>
        <v>0</v>
      </c>
      <c r="F21" s="384">
        <f>'A) Base RI'!Y21</f>
        <v>-15.43</v>
      </c>
      <c r="G21" s="387">
        <f t="shared" si="0"/>
        <v>2122933.7499999995</v>
      </c>
      <c r="H21" s="10">
        <f>+'A) Base RI'!E21</f>
        <v>0</v>
      </c>
      <c r="I21" s="10">
        <f>+'A) Base RI'!F21</f>
        <v>0</v>
      </c>
      <c r="J21" s="10">
        <f>+'A) Base RI'!G21+'A) Base RI'!H21+'A) Base RI'!S21</f>
        <v>130066.64</v>
      </c>
      <c r="K21" s="10">
        <f>+'A) Base RI'!I21</f>
        <v>2064.5</v>
      </c>
      <c r="L21" s="10">
        <f>+'A) Base RI'!J21</f>
        <v>54660.11</v>
      </c>
      <c r="M21" s="10">
        <f>+'A) Base RI'!K21</f>
        <v>12842.7</v>
      </c>
      <c r="N21" s="10">
        <f>+'A) Base RI'!Q21</f>
        <v>7899.57</v>
      </c>
      <c r="O21" s="10">
        <f t="shared" si="1"/>
        <v>237117.36666666667</v>
      </c>
      <c r="P21" s="10">
        <f>+'A) Base RI'!L21</f>
        <v>355676.05</v>
      </c>
      <c r="Q21" s="395">
        <f>'A) Base RI'!Z21</f>
        <v>1.5</v>
      </c>
      <c r="R21" s="387">
        <f t="shared" si="2"/>
        <v>2567584.6366666663</v>
      </c>
      <c r="S21" s="428">
        <f>+'A) Base RI'!U21</f>
        <v>71.5</v>
      </c>
      <c r="T21" s="387">
        <f t="shared" si="3"/>
        <v>2317624.5699999994</v>
      </c>
      <c r="U21" s="387">
        <f t="shared" si="4"/>
        <v>35910.274638694631</v>
      </c>
      <c r="V21" s="10">
        <f>+'A) Base RI'!O21</f>
        <v>187794.7</v>
      </c>
      <c r="W21" s="10">
        <f>+'A) Base RI'!P21</f>
        <v>171774.5</v>
      </c>
      <c r="X21" s="10">
        <f>+'A) Base RI'!R21</f>
        <v>187309.7</v>
      </c>
      <c r="Y21" s="387">
        <f t="shared" si="5"/>
        <v>546878.9</v>
      </c>
      <c r="Z21" s="10">
        <f>+'A) Base RI'!N21</f>
        <v>34692.85</v>
      </c>
      <c r="AA21" s="10">
        <f>'A) Base RI'!V21</f>
        <v>1038</v>
      </c>
    </row>
    <row r="22" spans="1:27" x14ac:dyDescent="0.25">
      <c r="A22" s="8">
        <f>'A) Base RI'!A22</f>
        <v>5421</v>
      </c>
      <c r="B22" s="32" t="str">
        <f>'A) Base RI'!B22</f>
        <v>Apples</v>
      </c>
      <c r="C22" s="10">
        <f>'A) Base RI'!C22+'A) Base RI'!D22</f>
        <v>4415012.53</v>
      </c>
      <c r="D22" s="10">
        <f>'A) Base RI'!W22</f>
        <v>-47532.639999999999</v>
      </c>
      <c r="E22" s="384">
        <f>'A) Base RI'!X22</f>
        <v>0</v>
      </c>
      <c r="F22" s="384">
        <f>'A) Base RI'!Y22</f>
        <v>-5534.6</v>
      </c>
      <c r="G22" s="387">
        <f t="shared" si="0"/>
        <v>4361945.290000001</v>
      </c>
      <c r="H22" s="10">
        <f>+'A) Base RI'!E22</f>
        <v>0</v>
      </c>
      <c r="I22" s="10">
        <f>+'A) Base RI'!F22</f>
        <v>0</v>
      </c>
      <c r="J22" s="10">
        <f>+'A) Base RI'!G22+'A) Base RI'!H22+'A) Base RI'!S22</f>
        <v>75919.8</v>
      </c>
      <c r="K22" s="10">
        <f>+'A) Base RI'!I22</f>
        <v>67515.199999999997</v>
      </c>
      <c r="L22" s="10">
        <f>+'A) Base RI'!J22</f>
        <v>248770.09</v>
      </c>
      <c r="M22" s="10">
        <f>+'A) Base RI'!K22</f>
        <v>12159.5</v>
      </c>
      <c r="N22" s="10">
        <f>+'A) Base RI'!Q22</f>
        <v>481.99</v>
      </c>
      <c r="O22" s="10">
        <f t="shared" si="1"/>
        <v>304550.09999999998</v>
      </c>
      <c r="P22" s="10">
        <f>+'A) Base RI'!L22</f>
        <v>304550.09999999998</v>
      </c>
      <c r="Q22" s="395">
        <f>'A) Base RI'!Z22</f>
        <v>1</v>
      </c>
      <c r="R22" s="387">
        <f t="shared" si="2"/>
        <v>5071341.9700000007</v>
      </c>
      <c r="S22" s="428">
        <f>+'A) Base RI'!U22</f>
        <v>74</v>
      </c>
      <c r="T22" s="387">
        <f t="shared" si="3"/>
        <v>4754632.370000001</v>
      </c>
      <c r="U22" s="387">
        <f t="shared" si="4"/>
        <v>68531.648243243253</v>
      </c>
      <c r="V22" s="10">
        <f>+'A) Base RI'!O22</f>
        <v>327824</v>
      </c>
      <c r="W22" s="10">
        <f>+'A) Base RI'!P22</f>
        <v>277414.15000000002</v>
      </c>
      <c r="X22" s="10">
        <f>+'A) Base RI'!R22</f>
        <v>220334.4</v>
      </c>
      <c r="Y22" s="387">
        <f t="shared" si="5"/>
        <v>825572.55</v>
      </c>
      <c r="Z22" s="10">
        <f>+'A) Base RI'!N22</f>
        <v>45116.9</v>
      </c>
      <c r="AA22" s="10">
        <f>'A) Base RI'!V22</f>
        <v>1469</v>
      </c>
    </row>
    <row r="23" spans="1:27" x14ac:dyDescent="0.25">
      <c r="A23" s="8">
        <f>'A) Base RI'!A23</f>
        <v>5422</v>
      </c>
      <c r="B23" s="32" t="str">
        <f>'A) Base RI'!B23</f>
        <v>Aubonne</v>
      </c>
      <c r="C23" s="10">
        <f>'A) Base RI'!C23+'A) Base RI'!D23</f>
        <v>11849758.98</v>
      </c>
      <c r="D23" s="10">
        <f>'A) Base RI'!W23</f>
        <v>-311685.46999999997</v>
      </c>
      <c r="E23" s="384">
        <f>'A) Base RI'!X23</f>
        <v>0</v>
      </c>
      <c r="F23" s="384">
        <f>'A) Base RI'!Y23</f>
        <v>-8304.34</v>
      </c>
      <c r="G23" s="387">
        <f t="shared" si="0"/>
        <v>11529769.17</v>
      </c>
      <c r="H23" s="10">
        <f>+'A) Base RI'!E23</f>
        <v>0</v>
      </c>
      <c r="I23" s="10">
        <f>+'A) Base RI'!F23</f>
        <v>0</v>
      </c>
      <c r="J23" s="10">
        <f>+'A) Base RI'!G23+'A) Base RI'!H23+'A) Base RI'!S23</f>
        <v>12176192.220000001</v>
      </c>
      <c r="K23" s="10">
        <f>+'A) Base RI'!I23</f>
        <v>213869.35</v>
      </c>
      <c r="L23" s="10">
        <f>+'A) Base RI'!J23</f>
        <v>355439.33</v>
      </c>
      <c r="M23" s="10">
        <f>+'A) Base RI'!K23</f>
        <v>133262.20000000001</v>
      </c>
      <c r="N23" s="10">
        <f>+'A) Base RI'!Q23</f>
        <v>11849.31</v>
      </c>
      <c r="O23" s="10">
        <f t="shared" si="1"/>
        <v>1109072.3700000001</v>
      </c>
      <c r="P23" s="10">
        <f>+'A) Base RI'!L23</f>
        <v>1109072.3700000001</v>
      </c>
      <c r="Q23" s="395">
        <f>'A) Base RI'!Z23</f>
        <v>1</v>
      </c>
      <c r="R23" s="387">
        <f t="shared" si="2"/>
        <v>25529453.949999999</v>
      </c>
      <c r="S23" s="428">
        <f>+'A) Base RI'!U23</f>
        <v>70</v>
      </c>
      <c r="T23" s="387">
        <f t="shared" si="3"/>
        <v>24287119.379999999</v>
      </c>
      <c r="U23" s="387">
        <f t="shared" si="4"/>
        <v>364706.48499999999</v>
      </c>
      <c r="V23" s="10">
        <f>+'A) Base RI'!O23</f>
        <v>889968.1</v>
      </c>
      <c r="W23" s="10">
        <f>+'A) Base RI'!P23</f>
        <v>346638.6</v>
      </c>
      <c r="X23" s="10">
        <f>+'A) Base RI'!R23</f>
        <v>227086.8</v>
      </c>
      <c r="Y23" s="387">
        <f t="shared" si="5"/>
        <v>1463693.5</v>
      </c>
      <c r="Z23" s="10">
        <f>+'A) Base RI'!N23</f>
        <v>962173.15</v>
      </c>
      <c r="AA23" s="10">
        <f>'A) Base RI'!V23</f>
        <v>3781</v>
      </c>
    </row>
    <row r="24" spans="1:27" x14ac:dyDescent="0.25">
      <c r="A24" s="8">
        <f>'A) Base RI'!A24</f>
        <v>5423</v>
      </c>
      <c r="B24" s="32" t="str">
        <f>'A) Base RI'!B24</f>
        <v>Ballens</v>
      </c>
      <c r="C24" s="10">
        <f>'A) Base RI'!C24+'A) Base RI'!D24</f>
        <v>1073157.3699999999</v>
      </c>
      <c r="D24" s="10">
        <f>'A) Base RI'!W24</f>
        <v>-26486.6</v>
      </c>
      <c r="E24" s="384">
        <f>'A) Base RI'!X24</f>
        <v>0</v>
      </c>
      <c r="F24" s="384">
        <f>'A) Base RI'!Y24</f>
        <v>0</v>
      </c>
      <c r="G24" s="387">
        <f t="shared" si="0"/>
        <v>1046670.7699999999</v>
      </c>
      <c r="H24" s="10">
        <f>+'A) Base RI'!E24</f>
        <v>0</v>
      </c>
      <c r="I24" s="10">
        <f>+'A) Base RI'!F24</f>
        <v>0</v>
      </c>
      <c r="J24" s="10">
        <f>+'A) Base RI'!G24+'A) Base RI'!H24+'A) Base RI'!S24</f>
        <v>8503.8799999999992</v>
      </c>
      <c r="K24" s="10">
        <f>+'A) Base RI'!I24</f>
        <v>0</v>
      </c>
      <c r="L24" s="10">
        <f>+'A) Base RI'!J24</f>
        <v>43203.64</v>
      </c>
      <c r="M24" s="10">
        <f>+'A) Base RI'!K24</f>
        <v>2520.85</v>
      </c>
      <c r="N24" s="10">
        <f>+'A) Base RI'!Q24</f>
        <v>0</v>
      </c>
      <c r="O24" s="10">
        <f t="shared" si="1"/>
        <v>81295</v>
      </c>
      <c r="P24" s="10">
        <f>+'A) Base RI'!L24</f>
        <v>40647.5</v>
      </c>
      <c r="Q24" s="395">
        <f>'A) Base RI'!Z24</f>
        <v>0.5</v>
      </c>
      <c r="R24" s="387">
        <f t="shared" si="2"/>
        <v>1182194.1399999999</v>
      </c>
      <c r="S24" s="428">
        <f>+'A) Base RI'!U24</f>
        <v>73</v>
      </c>
      <c r="T24" s="387">
        <f t="shared" si="3"/>
        <v>1098378.2899999998</v>
      </c>
      <c r="U24" s="387">
        <f t="shared" si="4"/>
        <v>16194.440273972601</v>
      </c>
      <c r="V24" s="10">
        <f>+'A) Base RI'!O24</f>
        <v>0</v>
      </c>
      <c r="W24" s="10">
        <f>+'A) Base RI'!P24</f>
        <v>50178.5</v>
      </c>
      <c r="X24" s="10">
        <f>+'A) Base RI'!R24</f>
        <v>95709.2</v>
      </c>
      <c r="Y24" s="387">
        <f t="shared" si="5"/>
        <v>145887.70000000001</v>
      </c>
      <c r="Z24" s="10">
        <f>+'A) Base RI'!N24</f>
        <v>23690.6</v>
      </c>
      <c r="AA24" s="10">
        <f>'A) Base RI'!V24</f>
        <v>567</v>
      </c>
    </row>
    <row r="25" spans="1:27" x14ac:dyDescent="0.25">
      <c r="A25" s="8">
        <f>'A) Base RI'!A25</f>
        <v>5424</v>
      </c>
      <c r="B25" s="32" t="str">
        <f>'A) Base RI'!B25</f>
        <v>Berolle</v>
      </c>
      <c r="C25" s="10">
        <f>'A) Base RI'!C25+'A) Base RI'!D25</f>
        <v>570024.9</v>
      </c>
      <c r="D25" s="10">
        <f>'A) Base RI'!W25</f>
        <v>-53783.7</v>
      </c>
      <c r="E25" s="384">
        <f>'A) Base RI'!X25</f>
        <v>0</v>
      </c>
      <c r="F25" s="384">
        <f>'A) Base RI'!Y25</f>
        <v>-172.9</v>
      </c>
      <c r="G25" s="387">
        <f t="shared" si="0"/>
        <v>516068.3</v>
      </c>
      <c r="H25" s="10">
        <f>+'A) Base RI'!E25</f>
        <v>0</v>
      </c>
      <c r="I25" s="10">
        <f>+'A) Base RI'!F25</f>
        <v>0</v>
      </c>
      <c r="J25" s="10">
        <f>+'A) Base RI'!G25+'A) Base RI'!H25+'A) Base RI'!S25</f>
        <v>3377.47</v>
      </c>
      <c r="K25" s="10">
        <f>+'A) Base RI'!I25</f>
        <v>46446.65</v>
      </c>
      <c r="L25" s="10">
        <f>+'A) Base RI'!J25</f>
        <v>9616.0499999999993</v>
      </c>
      <c r="M25" s="10">
        <f>+'A) Base RI'!K25</f>
        <v>766</v>
      </c>
      <c r="N25" s="10">
        <f>+'A) Base RI'!Q25</f>
        <v>0</v>
      </c>
      <c r="O25" s="10">
        <f t="shared" si="1"/>
        <v>50516.6</v>
      </c>
      <c r="P25" s="10">
        <f>+'A) Base RI'!L25</f>
        <v>50516.6</v>
      </c>
      <c r="Q25" s="395">
        <f>'A) Base RI'!Z25</f>
        <v>1</v>
      </c>
      <c r="R25" s="387">
        <f t="shared" si="2"/>
        <v>626791.06999999995</v>
      </c>
      <c r="S25" s="428">
        <f>+'A) Base RI'!U25</f>
        <v>75.5</v>
      </c>
      <c r="T25" s="387">
        <f t="shared" si="3"/>
        <v>575508.47</v>
      </c>
      <c r="U25" s="387">
        <f t="shared" si="4"/>
        <v>8301.8684768211915</v>
      </c>
      <c r="V25" s="10">
        <f>+'A) Base RI'!O25</f>
        <v>2072.3000000000002</v>
      </c>
      <c r="W25" s="10">
        <f>+'A) Base RI'!P25</f>
        <v>26028.2</v>
      </c>
      <c r="X25" s="10">
        <f>+'A) Base RI'!R25</f>
        <v>3468.45</v>
      </c>
      <c r="Y25" s="387">
        <f t="shared" si="5"/>
        <v>31568.95</v>
      </c>
      <c r="Z25" s="10">
        <f>+'A) Base RI'!N25</f>
        <v>0</v>
      </c>
      <c r="AA25" s="10">
        <f>'A) Base RI'!V25</f>
        <v>308</v>
      </c>
    </row>
    <row r="26" spans="1:27" x14ac:dyDescent="0.25">
      <c r="A26" s="8">
        <f>'A) Base RI'!A26</f>
        <v>5425</v>
      </c>
      <c r="B26" s="32" t="str">
        <f>'A) Base RI'!B26</f>
        <v>Bière</v>
      </c>
      <c r="C26" s="10">
        <f>'A) Base RI'!C26+'A) Base RI'!D26</f>
        <v>2593980.08</v>
      </c>
      <c r="D26" s="10">
        <f>'A) Base RI'!W26</f>
        <v>-174243.94</v>
      </c>
      <c r="E26" s="384">
        <f>'A) Base RI'!X26</f>
        <v>0</v>
      </c>
      <c r="F26" s="384">
        <f>'A) Base RI'!Y26</f>
        <v>-298.74</v>
      </c>
      <c r="G26" s="387">
        <f t="shared" si="0"/>
        <v>2419437.4</v>
      </c>
      <c r="H26" s="10">
        <f>+'A) Base RI'!E26</f>
        <v>0</v>
      </c>
      <c r="I26" s="10">
        <f>+'A) Base RI'!F26</f>
        <v>0</v>
      </c>
      <c r="J26" s="10">
        <f>+'A) Base RI'!G26+'A) Base RI'!H26+'A) Base RI'!S26</f>
        <v>326561.69999999995</v>
      </c>
      <c r="K26" s="10">
        <f>+'A) Base RI'!I26</f>
        <v>0</v>
      </c>
      <c r="L26" s="10">
        <f>+'A) Base RI'!J26</f>
        <v>67129.86</v>
      </c>
      <c r="M26" s="10">
        <f>+'A) Base RI'!K26</f>
        <v>17852.900000000001</v>
      </c>
      <c r="N26" s="10">
        <f>+'A) Base RI'!Q26</f>
        <v>5589.58</v>
      </c>
      <c r="O26" s="10">
        <f t="shared" si="1"/>
        <v>215332.93103448278</v>
      </c>
      <c r="P26" s="10">
        <f>+'A) Base RI'!L26</f>
        <v>124893.1</v>
      </c>
      <c r="Q26" s="395">
        <f>'A) Base RI'!Z26</f>
        <v>0.57999999999999996</v>
      </c>
      <c r="R26" s="387">
        <f t="shared" si="2"/>
        <v>3051904.3710344825</v>
      </c>
      <c r="S26" s="428">
        <f>+'A) Base RI'!U26</f>
        <v>69</v>
      </c>
      <c r="T26" s="387">
        <f t="shared" si="3"/>
        <v>2818718.5399999996</v>
      </c>
      <c r="U26" s="387">
        <f t="shared" si="4"/>
        <v>44230.498130934531</v>
      </c>
      <c r="V26" s="10">
        <f>+'A) Base RI'!O26</f>
        <v>74117.899999999994</v>
      </c>
      <c r="W26" s="10">
        <f>+'A) Base RI'!P26</f>
        <v>108800.15</v>
      </c>
      <c r="X26" s="10">
        <f>+'A) Base RI'!R26</f>
        <v>99329</v>
      </c>
      <c r="Y26" s="387">
        <f t="shared" si="5"/>
        <v>282247.05</v>
      </c>
      <c r="Z26" s="10">
        <f>+'A) Base RI'!N26</f>
        <v>73221.8</v>
      </c>
      <c r="AA26" s="10">
        <f>'A) Base RI'!V26</f>
        <v>1634</v>
      </c>
    </row>
    <row r="27" spans="1:27" x14ac:dyDescent="0.25">
      <c r="A27" s="8">
        <f>'A) Base RI'!A27</f>
        <v>5426</v>
      </c>
      <c r="B27" s="32" t="str">
        <f>'A) Base RI'!B27</f>
        <v>Bougy-Villars</v>
      </c>
      <c r="C27" s="10">
        <f>'A) Base RI'!C27+'A) Base RI'!D27</f>
        <v>2383941.5099999998</v>
      </c>
      <c r="D27" s="10">
        <f>'A) Base RI'!W27</f>
        <v>-9230.2999999999993</v>
      </c>
      <c r="E27" s="384">
        <f>'A) Base RI'!X27</f>
        <v>0</v>
      </c>
      <c r="F27" s="384">
        <f>'A) Base RI'!Y27</f>
        <v>-6365.13</v>
      </c>
      <c r="G27" s="387">
        <f t="shared" si="0"/>
        <v>2368346.08</v>
      </c>
      <c r="H27" s="10">
        <f>+'A) Base RI'!E27</f>
        <v>0</v>
      </c>
      <c r="I27" s="10">
        <f>+'A) Base RI'!F27</f>
        <v>0</v>
      </c>
      <c r="J27" s="10">
        <f>+'A) Base RI'!G27+'A) Base RI'!H27+'A) Base RI'!S27</f>
        <v>7855.46</v>
      </c>
      <c r="K27" s="10">
        <f>+'A) Base RI'!I27</f>
        <v>736141.55</v>
      </c>
      <c r="L27" s="10">
        <f>+'A) Base RI'!J27</f>
        <v>6633.74</v>
      </c>
      <c r="M27" s="10">
        <f>+'A) Base RI'!K27</f>
        <v>4216.3</v>
      </c>
      <c r="N27" s="10">
        <f>+'A) Base RI'!Q27</f>
        <v>0</v>
      </c>
      <c r="O27" s="10">
        <f t="shared" si="1"/>
        <v>298126.70833333331</v>
      </c>
      <c r="P27" s="10">
        <f>+'A) Base RI'!L27</f>
        <v>357752.05</v>
      </c>
      <c r="Q27" s="395">
        <f>'A) Base RI'!Z27</f>
        <v>1.2</v>
      </c>
      <c r="R27" s="387">
        <f t="shared" si="2"/>
        <v>3421319.8383333334</v>
      </c>
      <c r="S27" s="428">
        <f>+'A) Base RI'!U27</f>
        <v>64.5</v>
      </c>
      <c r="T27" s="387">
        <f t="shared" si="3"/>
        <v>3118976.83</v>
      </c>
      <c r="U27" s="387">
        <f t="shared" si="4"/>
        <v>53043.718423772611</v>
      </c>
      <c r="V27" s="10">
        <f>+'A) Base RI'!O27</f>
        <v>1955529</v>
      </c>
      <c r="W27" s="10">
        <f>+'A) Base RI'!P27</f>
        <v>183230.2</v>
      </c>
      <c r="X27" s="10">
        <f>+'A) Base RI'!R27</f>
        <v>69511.05</v>
      </c>
      <c r="Y27" s="387">
        <f t="shared" si="5"/>
        <v>2208270.25</v>
      </c>
      <c r="Z27" s="10">
        <f>+'A) Base RI'!N27</f>
        <v>12144.3</v>
      </c>
      <c r="AA27" s="10">
        <f>'A) Base RI'!V27</f>
        <v>497</v>
      </c>
    </row>
    <row r="28" spans="1:27" x14ac:dyDescent="0.25">
      <c r="A28" s="8">
        <f>'A) Base RI'!A28</f>
        <v>5427</v>
      </c>
      <c r="B28" s="32" t="str">
        <f>'A) Base RI'!B28</f>
        <v>Féchy</v>
      </c>
      <c r="C28" s="10">
        <f>'A) Base RI'!C28+'A) Base RI'!D28</f>
        <v>4355889.6900000004</v>
      </c>
      <c r="D28" s="10">
        <f>'A) Base RI'!W28</f>
        <v>-29525.919999999998</v>
      </c>
      <c r="E28" s="384">
        <f>'A) Base RI'!X28</f>
        <v>0</v>
      </c>
      <c r="F28" s="384">
        <f>'A) Base RI'!Y28</f>
        <v>-1109.8499999999999</v>
      </c>
      <c r="G28" s="387">
        <f t="shared" si="0"/>
        <v>4325253.9200000009</v>
      </c>
      <c r="H28" s="10">
        <f>+'A) Base RI'!E28</f>
        <v>0</v>
      </c>
      <c r="I28" s="10">
        <f>+'A) Base RI'!F28</f>
        <v>0</v>
      </c>
      <c r="J28" s="10">
        <f>+'A) Base RI'!G28+'A) Base RI'!H28+'A) Base RI'!S28</f>
        <v>72564.599999999991</v>
      </c>
      <c r="K28" s="10">
        <f>+'A) Base RI'!I28</f>
        <v>836549.25</v>
      </c>
      <c r="L28" s="10">
        <f>+'A) Base RI'!J28</f>
        <v>48332.75</v>
      </c>
      <c r="M28" s="10">
        <f>+'A) Base RI'!K28</f>
        <v>0</v>
      </c>
      <c r="N28" s="10">
        <f>+'A) Base RI'!Q28</f>
        <v>486.65</v>
      </c>
      <c r="O28" s="10">
        <f t="shared" si="1"/>
        <v>362593.53846153844</v>
      </c>
      <c r="P28" s="10">
        <f>+'A) Base RI'!L28</f>
        <v>471371.6</v>
      </c>
      <c r="Q28" s="395">
        <f>'A) Base RI'!Z28</f>
        <v>1.3</v>
      </c>
      <c r="R28" s="387">
        <f t="shared" si="2"/>
        <v>5645780.7084615389</v>
      </c>
      <c r="S28" s="428">
        <f>+'A) Base RI'!U28</f>
        <v>64</v>
      </c>
      <c r="T28" s="387">
        <f t="shared" si="3"/>
        <v>5283187.1700000009</v>
      </c>
      <c r="U28" s="387">
        <f t="shared" si="4"/>
        <v>88215.323569711545</v>
      </c>
      <c r="V28" s="10">
        <f>+'A) Base RI'!O28</f>
        <v>5395.5</v>
      </c>
      <c r="W28" s="10">
        <f>+'A) Base RI'!P28</f>
        <v>224038.1</v>
      </c>
      <c r="X28" s="10">
        <f>+'A) Base RI'!R28</f>
        <v>196256.7</v>
      </c>
      <c r="Y28" s="387">
        <f t="shared" si="5"/>
        <v>425690.30000000005</v>
      </c>
      <c r="Z28" s="10">
        <f>+'A) Base RI'!N28</f>
        <v>12746.65</v>
      </c>
      <c r="AA28" s="10">
        <f>'A) Base RI'!V28</f>
        <v>893</v>
      </c>
    </row>
    <row r="29" spans="1:27" x14ac:dyDescent="0.25">
      <c r="A29" s="8">
        <f>'A) Base RI'!A29</f>
        <v>5428</v>
      </c>
      <c r="B29" s="32" t="str">
        <f>'A) Base RI'!B29</f>
        <v>Gimel</v>
      </c>
      <c r="C29" s="10">
        <f>'A) Base RI'!C29+'A) Base RI'!D29</f>
        <v>4755982.33</v>
      </c>
      <c r="D29" s="10">
        <f>'A) Base RI'!W29</f>
        <v>-98183.12</v>
      </c>
      <c r="E29" s="384">
        <f>'A) Base RI'!X29</f>
        <v>0</v>
      </c>
      <c r="F29" s="384">
        <f>'A) Base RI'!Y29</f>
        <v>-246.03</v>
      </c>
      <c r="G29" s="387">
        <f t="shared" si="0"/>
        <v>4657553.18</v>
      </c>
      <c r="H29" s="10">
        <f>+'A) Base RI'!E29</f>
        <v>0</v>
      </c>
      <c r="I29" s="10">
        <f>+'A) Base RI'!F29</f>
        <v>0</v>
      </c>
      <c r="J29" s="10">
        <f>+'A) Base RI'!G29+'A) Base RI'!H29+'A) Base RI'!S29</f>
        <v>26068.2</v>
      </c>
      <c r="K29" s="10">
        <f>+'A) Base RI'!I29</f>
        <v>0</v>
      </c>
      <c r="L29" s="10">
        <f>+'A) Base RI'!J29</f>
        <v>132596.54</v>
      </c>
      <c r="M29" s="10">
        <f>+'A) Base RI'!K29</f>
        <v>13774.6</v>
      </c>
      <c r="N29" s="10">
        <f>+'A) Base RI'!Q29</f>
        <v>29101.13</v>
      </c>
      <c r="O29" s="10">
        <f t="shared" si="1"/>
        <v>397529.41666666669</v>
      </c>
      <c r="P29" s="10">
        <f>+'A) Base RI'!L29</f>
        <v>477035.3</v>
      </c>
      <c r="Q29" s="395">
        <f>'A) Base RI'!Z29</f>
        <v>1.2</v>
      </c>
      <c r="R29" s="387">
        <f t="shared" si="2"/>
        <v>5256623.0666666664</v>
      </c>
      <c r="S29" s="428">
        <f>+'A) Base RI'!U29</f>
        <v>74.5</v>
      </c>
      <c r="T29" s="387">
        <f t="shared" si="3"/>
        <v>4845319.05</v>
      </c>
      <c r="U29" s="387">
        <f t="shared" si="4"/>
        <v>70558.698881431759</v>
      </c>
      <c r="V29" s="10">
        <f>+'A) Base RI'!O29</f>
        <v>150717.29999999999</v>
      </c>
      <c r="W29" s="10">
        <f>+'A) Base RI'!P29</f>
        <v>295624.59999999998</v>
      </c>
      <c r="X29" s="10">
        <f>+'A) Base RI'!R29</f>
        <v>242105.65</v>
      </c>
      <c r="Y29" s="387">
        <f t="shared" si="5"/>
        <v>688447.54999999993</v>
      </c>
      <c r="Z29" s="10">
        <f>+'A) Base RI'!N29</f>
        <v>253111.45</v>
      </c>
      <c r="AA29" s="10">
        <f>'A) Base RI'!V29</f>
        <v>2402</v>
      </c>
    </row>
    <row r="30" spans="1:27" x14ac:dyDescent="0.25">
      <c r="A30" s="8">
        <f>'A) Base RI'!A30</f>
        <v>5429</v>
      </c>
      <c r="B30" s="32" t="str">
        <f>'A) Base RI'!B30</f>
        <v>Longirod</v>
      </c>
      <c r="C30" s="10">
        <f>'A) Base RI'!C30+'A) Base RI'!D30</f>
        <v>1293011.19</v>
      </c>
      <c r="D30" s="10">
        <f>'A) Base RI'!W30</f>
        <v>-7283.85</v>
      </c>
      <c r="E30" s="384">
        <f>'A) Base RI'!X30</f>
        <v>0</v>
      </c>
      <c r="F30" s="384">
        <f>'A) Base RI'!Y30</f>
        <v>0</v>
      </c>
      <c r="G30" s="387">
        <f t="shared" si="0"/>
        <v>1285727.3399999999</v>
      </c>
      <c r="H30" s="10">
        <f>+'A) Base RI'!E30</f>
        <v>0</v>
      </c>
      <c r="I30" s="10">
        <f>+'A) Base RI'!F30</f>
        <v>0</v>
      </c>
      <c r="J30" s="10">
        <f>+'A) Base RI'!G30+'A) Base RI'!H30+'A) Base RI'!S30</f>
        <v>13210.749999999998</v>
      </c>
      <c r="K30" s="10">
        <f>+'A) Base RI'!I30</f>
        <v>0</v>
      </c>
      <c r="L30" s="10">
        <f>+'A) Base RI'!J30</f>
        <v>32135.82</v>
      </c>
      <c r="M30" s="10">
        <f>+'A) Base RI'!K30</f>
        <v>1218.25</v>
      </c>
      <c r="N30" s="10">
        <f>+'A) Base RI'!Q30</f>
        <v>0</v>
      </c>
      <c r="O30" s="10">
        <f t="shared" si="1"/>
        <v>107227.9</v>
      </c>
      <c r="P30" s="10">
        <f>+'A) Base RI'!L30</f>
        <v>107227.9</v>
      </c>
      <c r="Q30" s="395">
        <f>'A) Base RI'!Z30</f>
        <v>1</v>
      </c>
      <c r="R30" s="387">
        <f t="shared" si="2"/>
        <v>1439520.0599999998</v>
      </c>
      <c r="S30" s="428">
        <f>+'A) Base RI'!U30</f>
        <v>77.5</v>
      </c>
      <c r="T30" s="387">
        <f t="shared" si="3"/>
        <v>1331073.9099999999</v>
      </c>
      <c r="U30" s="387">
        <f t="shared" si="4"/>
        <v>18574.452387096771</v>
      </c>
      <c r="V30" s="10">
        <f>+'A) Base RI'!O30</f>
        <v>0</v>
      </c>
      <c r="W30" s="10">
        <f>+'A) Base RI'!P30</f>
        <v>130709.6</v>
      </c>
      <c r="X30" s="10">
        <f>+'A) Base RI'!R30</f>
        <v>57181.75</v>
      </c>
      <c r="Y30" s="387">
        <f t="shared" si="5"/>
        <v>187891.35</v>
      </c>
      <c r="Z30" s="10">
        <f>+'A) Base RI'!N30</f>
        <v>2875.4</v>
      </c>
      <c r="AA30" s="10">
        <f>'A) Base RI'!V30</f>
        <v>520</v>
      </c>
    </row>
    <row r="31" spans="1:27" x14ac:dyDescent="0.25">
      <c r="A31" s="8">
        <f>'A) Base RI'!A31</f>
        <v>5430</v>
      </c>
      <c r="B31" s="32" t="str">
        <f>'A) Base RI'!B31</f>
        <v>Marchissy</v>
      </c>
      <c r="C31" s="10">
        <f>'A) Base RI'!C31+'A) Base RI'!D31</f>
        <v>1106345.0900000001</v>
      </c>
      <c r="D31" s="10">
        <f>'A) Base RI'!W31</f>
        <v>-9726.2199999999993</v>
      </c>
      <c r="E31" s="384">
        <f>'A) Base RI'!X31</f>
        <v>0</v>
      </c>
      <c r="F31" s="384">
        <f>'A) Base RI'!Y31</f>
        <v>-198.34</v>
      </c>
      <c r="G31" s="387">
        <f t="shared" si="0"/>
        <v>1096420.53</v>
      </c>
      <c r="H31" s="10">
        <f>+'A) Base RI'!E31</f>
        <v>0</v>
      </c>
      <c r="I31" s="10">
        <f>+'A) Base RI'!F31</f>
        <v>0</v>
      </c>
      <c r="J31" s="10">
        <f>+'A) Base RI'!G31+'A) Base RI'!H31+'A) Base RI'!S31</f>
        <v>9462.06</v>
      </c>
      <c r="K31" s="10">
        <f>+'A) Base RI'!I31</f>
        <v>0</v>
      </c>
      <c r="L31" s="10">
        <f>+'A) Base RI'!J31</f>
        <v>6430.09</v>
      </c>
      <c r="M31" s="10">
        <f>+'A) Base RI'!K31</f>
        <v>1254.3</v>
      </c>
      <c r="N31" s="10">
        <f>+'A) Base RI'!Q31</f>
        <v>17.59</v>
      </c>
      <c r="O31" s="10">
        <f t="shared" si="1"/>
        <v>93941.5</v>
      </c>
      <c r="P31" s="10">
        <f>+'A) Base RI'!L31</f>
        <v>93941.5</v>
      </c>
      <c r="Q31" s="395">
        <f>'A) Base RI'!Z31</f>
        <v>1</v>
      </c>
      <c r="R31" s="387">
        <f t="shared" si="2"/>
        <v>1207526.0700000003</v>
      </c>
      <c r="S31" s="428">
        <f>+'A) Base RI'!U31</f>
        <v>77.5</v>
      </c>
      <c r="T31" s="387">
        <f t="shared" si="3"/>
        <v>1112330.2700000003</v>
      </c>
      <c r="U31" s="387">
        <f t="shared" si="4"/>
        <v>15580.981548387101</v>
      </c>
      <c r="V31" s="10">
        <f>+'A) Base RI'!O31</f>
        <v>1739.6</v>
      </c>
      <c r="W31" s="10">
        <f>+'A) Base RI'!P31</f>
        <v>68959.55</v>
      </c>
      <c r="X31" s="10">
        <f>+'A) Base RI'!R31</f>
        <v>22824.75</v>
      </c>
      <c r="Y31" s="387">
        <f t="shared" si="5"/>
        <v>93523.900000000009</v>
      </c>
      <c r="Z31" s="10">
        <f>+'A) Base RI'!N31</f>
        <v>3411.95</v>
      </c>
      <c r="AA31" s="10">
        <f>'A) Base RI'!V31</f>
        <v>485</v>
      </c>
    </row>
    <row r="32" spans="1:27" x14ac:dyDescent="0.25">
      <c r="A32" s="8">
        <f>'A) Base RI'!A32</f>
        <v>5431</v>
      </c>
      <c r="B32" s="32" t="str">
        <f>'A) Base RI'!B32</f>
        <v>Mollens</v>
      </c>
      <c r="C32" s="10">
        <f>'A) Base RI'!C32+'A) Base RI'!D32</f>
        <v>696785.69000000006</v>
      </c>
      <c r="D32" s="10">
        <f>'A) Base RI'!W32</f>
        <v>-1138.93</v>
      </c>
      <c r="E32" s="384">
        <f>'A) Base RI'!X32</f>
        <v>0</v>
      </c>
      <c r="F32" s="384">
        <f>'A) Base RI'!Y32</f>
        <v>-752.43</v>
      </c>
      <c r="G32" s="387">
        <f t="shared" si="0"/>
        <v>694894.33</v>
      </c>
      <c r="H32" s="10">
        <f>+'A) Base RI'!E32</f>
        <v>0</v>
      </c>
      <c r="I32" s="10">
        <f>+'A) Base RI'!F32</f>
        <v>0</v>
      </c>
      <c r="J32" s="10">
        <f>+'A) Base RI'!G32+'A) Base RI'!H32+'A) Base RI'!S32</f>
        <v>869.40000000000009</v>
      </c>
      <c r="K32" s="10">
        <f>+'A) Base RI'!I32</f>
        <v>0</v>
      </c>
      <c r="L32" s="10">
        <f>+'A) Base RI'!J32</f>
        <v>24529.14</v>
      </c>
      <c r="M32" s="10">
        <f>+'A) Base RI'!K32</f>
        <v>833.85</v>
      </c>
      <c r="N32" s="10">
        <f>+'A) Base RI'!Q32</f>
        <v>0</v>
      </c>
      <c r="O32" s="10">
        <f t="shared" si="1"/>
        <v>53281.25</v>
      </c>
      <c r="P32" s="10">
        <f>+'A) Base RI'!L32</f>
        <v>53281.25</v>
      </c>
      <c r="Q32" s="395">
        <f>'A) Base RI'!Z32</f>
        <v>1</v>
      </c>
      <c r="R32" s="387">
        <f t="shared" si="2"/>
        <v>774407.97</v>
      </c>
      <c r="S32" s="428">
        <f>+'A) Base RI'!U32</f>
        <v>74</v>
      </c>
      <c r="T32" s="387">
        <f t="shared" si="3"/>
        <v>720292.87</v>
      </c>
      <c r="U32" s="387">
        <f t="shared" si="4"/>
        <v>10464.972567567567</v>
      </c>
      <c r="V32" s="10">
        <f>+'A) Base RI'!O32</f>
        <v>0</v>
      </c>
      <c r="W32" s="10">
        <f>+'A) Base RI'!P32</f>
        <v>19687.75</v>
      </c>
      <c r="X32" s="10">
        <f>+'A) Base RI'!R32</f>
        <v>14464.35</v>
      </c>
      <c r="Y32" s="387">
        <f t="shared" si="5"/>
        <v>34152.1</v>
      </c>
      <c r="Z32" s="10">
        <f>+'A) Base RI'!N32</f>
        <v>304.2</v>
      </c>
      <c r="AA32" s="10">
        <f>'A) Base RI'!V32</f>
        <v>319</v>
      </c>
    </row>
    <row r="33" spans="1:27" x14ac:dyDescent="0.25">
      <c r="A33" s="8">
        <f>'A) Base RI'!A33</f>
        <v>5434</v>
      </c>
      <c r="B33" s="32" t="str">
        <f>'A) Base RI'!B33</f>
        <v>Saint-George</v>
      </c>
      <c r="C33" s="10">
        <f>'A) Base RI'!C33+'A) Base RI'!D33</f>
        <v>2712040.59</v>
      </c>
      <c r="D33" s="10">
        <f>'A) Base RI'!W33</f>
        <v>-6435.52</v>
      </c>
      <c r="E33" s="384">
        <f>'A) Base RI'!X33</f>
        <v>0</v>
      </c>
      <c r="F33" s="384">
        <f>'A) Base RI'!Y33</f>
        <v>-577.35</v>
      </c>
      <c r="G33" s="387">
        <f t="shared" si="0"/>
        <v>2705027.7199999997</v>
      </c>
      <c r="H33" s="10">
        <f>+'A) Base RI'!E33</f>
        <v>0</v>
      </c>
      <c r="I33" s="10">
        <f>+'A) Base RI'!F33</f>
        <v>0</v>
      </c>
      <c r="J33" s="10">
        <f>+'A) Base RI'!G33+'A) Base RI'!H33+'A) Base RI'!S33</f>
        <v>18273.469999999998</v>
      </c>
      <c r="K33" s="10">
        <f>+'A) Base RI'!I33</f>
        <v>0</v>
      </c>
      <c r="L33" s="10">
        <f>+'A) Base RI'!J33</f>
        <v>58202.59</v>
      </c>
      <c r="M33" s="10">
        <f>+'A) Base RI'!K33</f>
        <v>3394.7</v>
      </c>
      <c r="N33" s="10">
        <f>+'A) Base RI'!Q33</f>
        <v>0</v>
      </c>
      <c r="O33" s="10">
        <f t="shared" si="1"/>
        <v>241461.54166666666</v>
      </c>
      <c r="P33" s="10">
        <f>+'A) Base RI'!L33</f>
        <v>289753.84999999998</v>
      </c>
      <c r="Q33" s="395">
        <f>'A) Base RI'!Z33</f>
        <v>1.2</v>
      </c>
      <c r="R33" s="387">
        <f t="shared" si="2"/>
        <v>3026360.0216666665</v>
      </c>
      <c r="S33" s="428">
        <f>+'A) Base RI'!U33</f>
        <v>69.5</v>
      </c>
      <c r="T33" s="387">
        <f t="shared" si="3"/>
        <v>2781503.78</v>
      </c>
      <c r="U33" s="387">
        <f t="shared" si="4"/>
        <v>43544.748513189443</v>
      </c>
      <c r="V33" s="10">
        <f>+'A) Base RI'!O33</f>
        <v>20257.900000000001</v>
      </c>
      <c r="W33" s="10">
        <f>+'A) Base RI'!P33</f>
        <v>115133.35</v>
      </c>
      <c r="X33" s="10">
        <f>+'A) Base RI'!R33</f>
        <v>128749.55</v>
      </c>
      <c r="Y33" s="387">
        <f t="shared" si="5"/>
        <v>264140.79999999999</v>
      </c>
      <c r="Z33" s="10">
        <f>+'A) Base RI'!N33</f>
        <v>35327.85</v>
      </c>
      <c r="AA33" s="10">
        <f>'A) Base RI'!V33</f>
        <v>1072</v>
      </c>
    </row>
    <row r="34" spans="1:27" x14ac:dyDescent="0.25">
      <c r="A34" s="8">
        <f>'A) Base RI'!A34</f>
        <v>5435</v>
      </c>
      <c r="B34" s="32" t="str">
        <f>'A) Base RI'!B34</f>
        <v>Saint-Livres</v>
      </c>
      <c r="C34" s="10">
        <f>'A) Base RI'!C34+'A) Base RI'!D34</f>
        <v>1669235.4400000002</v>
      </c>
      <c r="D34" s="10">
        <f>'A) Base RI'!W34</f>
        <v>-41272.65</v>
      </c>
      <c r="E34" s="384">
        <f>'A) Base RI'!X34</f>
        <v>0</v>
      </c>
      <c r="F34" s="384">
        <f>'A) Base RI'!Y34</f>
        <v>-614.47</v>
      </c>
      <c r="G34" s="387">
        <f t="shared" si="0"/>
        <v>1627348.3200000003</v>
      </c>
      <c r="H34" s="10">
        <f>+'A) Base RI'!E34</f>
        <v>0</v>
      </c>
      <c r="I34" s="10">
        <f>+'A) Base RI'!F34</f>
        <v>0</v>
      </c>
      <c r="J34" s="10">
        <f>+'A) Base RI'!G34+'A) Base RI'!H34+'A) Base RI'!S34</f>
        <v>10864.830000000002</v>
      </c>
      <c r="K34" s="10">
        <f>+'A) Base RI'!I34</f>
        <v>0</v>
      </c>
      <c r="L34" s="10">
        <f>+'A) Base RI'!J34</f>
        <v>17216.53</v>
      </c>
      <c r="M34" s="10">
        <f>+'A) Base RI'!K34</f>
        <v>0</v>
      </c>
      <c r="N34" s="10">
        <f>+'A) Base RI'!Q34</f>
        <v>0</v>
      </c>
      <c r="O34" s="10">
        <f t="shared" si="1"/>
        <v>128517.7</v>
      </c>
      <c r="P34" s="10">
        <f>+'A) Base RI'!L34</f>
        <v>128517.7</v>
      </c>
      <c r="Q34" s="395">
        <f>'A) Base RI'!Z34</f>
        <v>1</v>
      </c>
      <c r="R34" s="387">
        <f t="shared" si="2"/>
        <v>1783947.3800000004</v>
      </c>
      <c r="S34" s="428">
        <f>+'A) Base RI'!U34</f>
        <v>69</v>
      </c>
      <c r="T34" s="387">
        <f t="shared" si="3"/>
        <v>1655429.6800000004</v>
      </c>
      <c r="U34" s="387">
        <f t="shared" si="4"/>
        <v>25854.309855072468</v>
      </c>
      <c r="V34" s="10">
        <f>+'A) Base RI'!O34</f>
        <v>5557</v>
      </c>
      <c r="W34" s="10">
        <f>+'A) Base RI'!P34</f>
        <v>135732.4</v>
      </c>
      <c r="X34" s="10">
        <f>+'A) Base RI'!R34</f>
        <v>122333.55</v>
      </c>
      <c r="Y34" s="387">
        <f t="shared" si="5"/>
        <v>263622.95</v>
      </c>
      <c r="Z34" s="10">
        <f>+'A) Base RI'!N34</f>
        <v>17237.5</v>
      </c>
      <c r="AA34" s="10">
        <f>'A) Base RI'!V34</f>
        <v>674</v>
      </c>
    </row>
    <row r="35" spans="1:27" x14ac:dyDescent="0.25">
      <c r="A35" s="8">
        <f>'A) Base RI'!A35</f>
        <v>5436</v>
      </c>
      <c r="B35" s="32" t="str">
        <f>'A) Base RI'!B35</f>
        <v>Saint-Oyens</v>
      </c>
      <c r="C35" s="10">
        <f>'A) Base RI'!C35+'A) Base RI'!D35</f>
        <v>1253807.75</v>
      </c>
      <c r="D35" s="10">
        <f>'A) Base RI'!W35</f>
        <v>-14241.17</v>
      </c>
      <c r="E35" s="384">
        <f>'A) Base RI'!X35</f>
        <v>0</v>
      </c>
      <c r="F35" s="384">
        <f>'A) Base RI'!Y35</f>
        <v>-972.35</v>
      </c>
      <c r="G35" s="387">
        <f t="shared" si="0"/>
        <v>1238594.23</v>
      </c>
      <c r="H35" s="10">
        <f>+'A) Base RI'!E35</f>
        <v>0</v>
      </c>
      <c r="I35" s="10">
        <f>+'A) Base RI'!F35</f>
        <v>0</v>
      </c>
      <c r="J35" s="10">
        <f>+'A) Base RI'!G35+'A) Base RI'!H35+'A) Base RI'!S35</f>
        <v>4847.2</v>
      </c>
      <c r="K35" s="10">
        <f>+'A) Base RI'!I35</f>
        <v>0</v>
      </c>
      <c r="L35" s="10">
        <f>+'A) Base RI'!J35</f>
        <v>32225.58</v>
      </c>
      <c r="M35" s="10">
        <f>+'A) Base RI'!K35</f>
        <v>0</v>
      </c>
      <c r="N35" s="10">
        <f>+'A) Base RI'!Q35</f>
        <v>0</v>
      </c>
      <c r="O35" s="10">
        <f t="shared" si="1"/>
        <v>90668.5</v>
      </c>
      <c r="P35" s="10">
        <f>+'A) Base RI'!L35</f>
        <v>72534.8</v>
      </c>
      <c r="Q35" s="395">
        <f>'A) Base RI'!Z35</f>
        <v>0.8</v>
      </c>
      <c r="R35" s="387">
        <f t="shared" si="2"/>
        <v>1366335.51</v>
      </c>
      <c r="S35" s="428">
        <f>+'A) Base RI'!U35</f>
        <v>81</v>
      </c>
      <c r="T35" s="387">
        <f t="shared" si="3"/>
        <v>1275667.01</v>
      </c>
      <c r="U35" s="387">
        <f t="shared" si="4"/>
        <v>16868.339629629631</v>
      </c>
      <c r="V35" s="10">
        <f>+'A) Base RI'!O35</f>
        <v>69500</v>
      </c>
      <c r="W35" s="10">
        <f>+'A) Base RI'!P35</f>
        <v>40975</v>
      </c>
      <c r="X35" s="10">
        <f>+'A) Base RI'!R35</f>
        <v>41167</v>
      </c>
      <c r="Y35" s="387">
        <f t="shared" si="5"/>
        <v>151642</v>
      </c>
      <c r="Z35" s="10">
        <f>+'A) Base RI'!N35</f>
        <v>0</v>
      </c>
      <c r="AA35" s="10">
        <f>'A) Base RI'!V35</f>
        <v>458</v>
      </c>
    </row>
    <row r="36" spans="1:27" x14ac:dyDescent="0.25">
      <c r="A36" s="8">
        <f>'A) Base RI'!A36</f>
        <v>5437</v>
      </c>
      <c r="B36" s="32" t="str">
        <f>'A) Base RI'!B36</f>
        <v>Saubraz</v>
      </c>
      <c r="C36" s="10">
        <f>'A) Base RI'!C36+'A) Base RI'!D36</f>
        <v>989921.66999999993</v>
      </c>
      <c r="D36" s="10">
        <f>'A) Base RI'!W36</f>
        <v>-6812.87</v>
      </c>
      <c r="E36" s="384">
        <f>'A) Base RI'!X36</f>
        <v>0</v>
      </c>
      <c r="F36" s="384">
        <f>'A) Base RI'!Y36</f>
        <v>-17.79</v>
      </c>
      <c r="G36" s="387">
        <f t="shared" si="0"/>
        <v>983091.00999999989</v>
      </c>
      <c r="H36" s="10">
        <f>+'A) Base RI'!E36</f>
        <v>0</v>
      </c>
      <c r="I36" s="10">
        <f>+'A) Base RI'!F36</f>
        <v>0</v>
      </c>
      <c r="J36" s="10">
        <f>+'A) Base RI'!G36+'A) Base RI'!H36+'A) Base RI'!S36</f>
        <v>16459.14</v>
      </c>
      <c r="K36" s="10">
        <f>+'A) Base RI'!I36</f>
        <v>0</v>
      </c>
      <c r="L36" s="10">
        <f>+'A) Base RI'!J36</f>
        <v>13661.14</v>
      </c>
      <c r="M36" s="10">
        <f>+'A) Base RI'!K36</f>
        <v>791.85</v>
      </c>
      <c r="N36" s="10">
        <f>+'A) Base RI'!Q36</f>
        <v>0</v>
      </c>
      <c r="O36" s="10">
        <f t="shared" si="1"/>
        <v>70137.45</v>
      </c>
      <c r="P36" s="10">
        <f>+'A) Base RI'!L36</f>
        <v>70137.45</v>
      </c>
      <c r="Q36" s="395">
        <f>'A) Base RI'!Z36</f>
        <v>1</v>
      </c>
      <c r="R36" s="387">
        <f t="shared" si="2"/>
        <v>1084140.5899999999</v>
      </c>
      <c r="S36" s="428">
        <f>+'A) Base RI'!U36</f>
        <v>80</v>
      </c>
      <c r="T36" s="387">
        <f t="shared" si="3"/>
        <v>1013211.2899999999</v>
      </c>
      <c r="U36" s="387">
        <f t="shared" si="4"/>
        <v>13551.757374999997</v>
      </c>
      <c r="V36" s="10">
        <f>+'A) Base RI'!O36</f>
        <v>91417.4</v>
      </c>
      <c r="W36" s="10">
        <f>+'A) Base RI'!P36</f>
        <v>156395.45000000001</v>
      </c>
      <c r="X36" s="10">
        <f>+'A) Base RI'!R36</f>
        <v>69247.350000000006</v>
      </c>
      <c r="Y36" s="387">
        <f t="shared" si="5"/>
        <v>317060.2</v>
      </c>
      <c r="Z36" s="10">
        <f>+'A) Base RI'!N36</f>
        <v>0</v>
      </c>
      <c r="AA36" s="10">
        <f>'A) Base RI'!V36</f>
        <v>444</v>
      </c>
    </row>
    <row r="37" spans="1:27" x14ac:dyDescent="0.25">
      <c r="A37" s="8">
        <f>'A) Base RI'!A37</f>
        <v>5451</v>
      </c>
      <c r="B37" s="32" t="str">
        <f>'A) Base RI'!B37</f>
        <v>Avenches</v>
      </c>
      <c r="C37" s="10">
        <f>'A) Base RI'!C37+'A) Base RI'!D37</f>
        <v>5612850.6100000003</v>
      </c>
      <c r="D37" s="10">
        <f>'A) Base RI'!W37</f>
        <v>-321439.74</v>
      </c>
      <c r="E37" s="384">
        <f>'A) Base RI'!X37</f>
        <v>0</v>
      </c>
      <c r="F37" s="384">
        <f>'A) Base RI'!Y37</f>
        <v>-574.02</v>
      </c>
      <c r="G37" s="387">
        <f t="shared" si="0"/>
        <v>5290836.8500000006</v>
      </c>
      <c r="H37" s="10">
        <f>+'A) Base RI'!E37</f>
        <v>0</v>
      </c>
      <c r="I37" s="10">
        <f>+'A) Base RI'!F37</f>
        <v>0</v>
      </c>
      <c r="J37" s="10">
        <f>+'A) Base RI'!G37+'A) Base RI'!H37+'A) Base RI'!S37</f>
        <v>2200471.7999999998</v>
      </c>
      <c r="K37" s="10">
        <f>+'A) Base RI'!I37</f>
        <v>0</v>
      </c>
      <c r="L37" s="10">
        <f>+'A) Base RI'!J37</f>
        <v>436798.86</v>
      </c>
      <c r="M37" s="10">
        <f>+'A) Base RI'!K37</f>
        <v>146076.35</v>
      </c>
      <c r="N37" s="10">
        <f>+'A) Base RI'!Q37</f>
        <v>128391.92</v>
      </c>
      <c r="O37" s="10">
        <f t="shared" si="1"/>
        <v>967165.83333333337</v>
      </c>
      <c r="P37" s="10">
        <f>+'A) Base RI'!L37</f>
        <v>1450748.75</v>
      </c>
      <c r="Q37" s="395">
        <f>'A) Base RI'!Z37</f>
        <v>1.5</v>
      </c>
      <c r="R37" s="387">
        <f t="shared" si="2"/>
        <v>9169741.6133333333</v>
      </c>
      <c r="S37" s="428">
        <f>+'A) Base RI'!U37</f>
        <v>66.5</v>
      </c>
      <c r="T37" s="387">
        <f t="shared" si="3"/>
        <v>8056499.4300000006</v>
      </c>
      <c r="U37" s="387">
        <f t="shared" si="4"/>
        <v>137890.8513283208</v>
      </c>
      <c r="V37" s="10">
        <f>+'A) Base RI'!O37</f>
        <v>21825.5</v>
      </c>
      <c r="W37" s="10">
        <f>+'A) Base RI'!P37</f>
        <v>600691.75</v>
      </c>
      <c r="X37" s="10">
        <f>+'A) Base RI'!R37</f>
        <v>171738.8</v>
      </c>
      <c r="Y37" s="387">
        <f t="shared" si="5"/>
        <v>794256.05</v>
      </c>
      <c r="Z37" s="10">
        <f>+'A) Base RI'!N37</f>
        <v>562337.4</v>
      </c>
      <c r="AA37" s="10">
        <f>'A) Base RI'!V37</f>
        <v>4616</v>
      </c>
    </row>
    <row r="38" spans="1:27" x14ac:dyDescent="0.25">
      <c r="A38" s="8">
        <f>'A) Base RI'!A38</f>
        <v>5456</v>
      </c>
      <c r="B38" s="32" t="str">
        <f>'A) Base RI'!B38</f>
        <v>Cudrefin</v>
      </c>
      <c r="C38" s="10">
        <f>'A) Base RI'!C38+'A) Base RI'!D38</f>
        <v>3347721.73</v>
      </c>
      <c r="D38" s="10">
        <f>'A) Base RI'!W38</f>
        <v>-106547.49</v>
      </c>
      <c r="E38" s="384">
        <f>'A) Base RI'!X38</f>
        <v>0</v>
      </c>
      <c r="F38" s="384">
        <f>'A) Base RI'!Y38</f>
        <v>-506.24</v>
      </c>
      <c r="G38" s="387">
        <f t="shared" si="0"/>
        <v>3240667.9999999995</v>
      </c>
      <c r="H38" s="10">
        <f>+'A) Base RI'!E38</f>
        <v>0</v>
      </c>
      <c r="I38" s="10">
        <f>+'A) Base RI'!F38</f>
        <v>0</v>
      </c>
      <c r="J38" s="10">
        <f>+'A) Base RI'!G38+'A) Base RI'!H38+'A) Base RI'!S38</f>
        <v>46423.87</v>
      </c>
      <c r="K38" s="10">
        <f>+'A) Base RI'!I38</f>
        <v>0</v>
      </c>
      <c r="L38" s="10">
        <f>+'A) Base RI'!J38</f>
        <v>52329.66</v>
      </c>
      <c r="M38" s="10">
        <f>+'A) Base RI'!K38</f>
        <v>10849.65</v>
      </c>
      <c r="N38" s="10">
        <f>+'A) Base RI'!Q38</f>
        <v>80211.77</v>
      </c>
      <c r="O38" s="10">
        <f t="shared" si="1"/>
        <v>354069.2</v>
      </c>
      <c r="P38" s="10">
        <f>+'A) Base RI'!L38</f>
        <v>531103.80000000005</v>
      </c>
      <c r="Q38" s="395">
        <f>'A) Base RI'!Z38</f>
        <v>1.5</v>
      </c>
      <c r="R38" s="387">
        <f t="shared" si="2"/>
        <v>3784552.15</v>
      </c>
      <c r="S38" s="428">
        <f>+'A) Base RI'!U38</f>
        <v>59</v>
      </c>
      <c r="T38" s="387">
        <f t="shared" si="3"/>
        <v>3419633.3</v>
      </c>
      <c r="U38" s="387">
        <f t="shared" si="4"/>
        <v>64144.951694915253</v>
      </c>
      <c r="V38" s="10">
        <f>+'A) Base RI'!O38</f>
        <v>10898.2</v>
      </c>
      <c r="W38" s="10">
        <f>+'A) Base RI'!P38</f>
        <v>195993.75</v>
      </c>
      <c r="X38" s="10">
        <f>+'A) Base RI'!R38</f>
        <v>188890.3</v>
      </c>
      <c r="Y38" s="387">
        <f t="shared" si="5"/>
        <v>395782.25</v>
      </c>
      <c r="Z38" s="10">
        <f>+'A) Base RI'!N38</f>
        <v>5267</v>
      </c>
      <c r="AA38" s="10">
        <f>'A) Base RI'!V38</f>
        <v>1836</v>
      </c>
    </row>
    <row r="39" spans="1:27" x14ac:dyDescent="0.25">
      <c r="A39" s="8">
        <f>'A) Base RI'!A39</f>
        <v>5458</v>
      </c>
      <c r="B39" s="32" t="str">
        <f>'A) Base RI'!B39</f>
        <v>Faoug</v>
      </c>
      <c r="C39" s="10">
        <f>'A) Base RI'!C39+'A) Base RI'!D39</f>
        <v>1965574.1</v>
      </c>
      <c r="D39" s="10">
        <f>'A) Base RI'!W39</f>
        <v>-14228.07</v>
      </c>
      <c r="E39" s="384">
        <f>'A) Base RI'!X39</f>
        <v>0</v>
      </c>
      <c r="F39" s="384">
        <f>'A) Base RI'!Y39</f>
        <v>-151.1</v>
      </c>
      <c r="G39" s="387">
        <f t="shared" si="0"/>
        <v>1951194.93</v>
      </c>
      <c r="H39" s="10">
        <f>+'A) Base RI'!E39</f>
        <v>0</v>
      </c>
      <c r="I39" s="10">
        <f>+'A) Base RI'!F39</f>
        <v>0</v>
      </c>
      <c r="J39" s="10">
        <f>+'A) Base RI'!G39+'A) Base RI'!H39+'A) Base RI'!S39</f>
        <v>28934.959999999999</v>
      </c>
      <c r="K39" s="10">
        <f>+'A) Base RI'!I39</f>
        <v>0</v>
      </c>
      <c r="L39" s="10">
        <f>+'A) Base RI'!J39</f>
        <v>59073.19</v>
      </c>
      <c r="M39" s="10">
        <f>+'A) Base RI'!K39</f>
        <v>12888.25</v>
      </c>
      <c r="N39" s="10">
        <f>+'A) Base RI'!Q39</f>
        <v>14872.5</v>
      </c>
      <c r="O39" s="10">
        <f t="shared" si="1"/>
        <v>189924.1</v>
      </c>
      <c r="P39" s="10">
        <f>+'A) Base RI'!L39</f>
        <v>284886.15000000002</v>
      </c>
      <c r="Q39" s="395">
        <f>'A) Base RI'!Z39</f>
        <v>1.5</v>
      </c>
      <c r="R39" s="387">
        <f t="shared" si="2"/>
        <v>2256887.9299999997</v>
      </c>
      <c r="S39" s="428">
        <f>+'A) Base RI'!U39</f>
        <v>65</v>
      </c>
      <c r="T39" s="387">
        <f t="shared" si="3"/>
        <v>2054075.5799999998</v>
      </c>
      <c r="U39" s="387">
        <f t="shared" si="4"/>
        <v>34721.352769230762</v>
      </c>
      <c r="V39" s="10">
        <f>+'A) Base RI'!O39</f>
        <v>120558.8</v>
      </c>
      <c r="W39" s="10">
        <f>+'A) Base RI'!P39</f>
        <v>55638.45</v>
      </c>
      <c r="X39" s="10">
        <f>+'A) Base RI'!R39</f>
        <v>71087.399999999994</v>
      </c>
      <c r="Y39" s="387">
        <f t="shared" si="5"/>
        <v>247284.65</v>
      </c>
      <c r="Z39" s="10">
        <f>+'A) Base RI'!N39</f>
        <v>1661.35</v>
      </c>
      <c r="AA39" s="10">
        <f>'A) Base RI'!V39</f>
        <v>866</v>
      </c>
    </row>
    <row r="40" spans="1:27" x14ac:dyDescent="0.25">
      <c r="A40" s="8">
        <f>'A) Base RI'!A40</f>
        <v>5464</v>
      </c>
      <c r="B40" s="32" t="str">
        <f>'A) Base RI'!B40</f>
        <v>Vully-les-Lacs</v>
      </c>
      <c r="C40" s="10">
        <f>'A) Base RI'!C40+'A) Base RI'!D40</f>
        <v>7148089.2000000002</v>
      </c>
      <c r="D40" s="10">
        <f>'A) Base RI'!W40</f>
        <v>-98442.41</v>
      </c>
      <c r="E40" s="384">
        <f>'A) Base RI'!X40</f>
        <v>0</v>
      </c>
      <c r="F40" s="384">
        <f>'A) Base RI'!Y40</f>
        <v>-4687.72</v>
      </c>
      <c r="G40" s="387">
        <f t="shared" si="0"/>
        <v>7044959.0700000003</v>
      </c>
      <c r="H40" s="10">
        <f>+'A) Base RI'!E40</f>
        <v>0</v>
      </c>
      <c r="I40" s="10">
        <f>+'A) Base RI'!F40</f>
        <v>0</v>
      </c>
      <c r="J40" s="10">
        <f>+'A) Base RI'!G40+'A) Base RI'!H40+'A) Base RI'!S40</f>
        <v>52799.569999999992</v>
      </c>
      <c r="K40" s="10">
        <f>+'A) Base RI'!I40</f>
        <v>5716.2</v>
      </c>
      <c r="L40" s="10">
        <f>+'A) Base RI'!J40</f>
        <v>132675.49</v>
      </c>
      <c r="M40" s="10">
        <f>+'A) Base RI'!K40</f>
        <v>28110.75</v>
      </c>
      <c r="N40" s="10">
        <f>+'A) Base RI'!Q40</f>
        <v>16393.46</v>
      </c>
      <c r="O40" s="10">
        <f t="shared" si="1"/>
        <v>703689</v>
      </c>
      <c r="P40" s="10">
        <f>+'A) Base RI'!L40</f>
        <v>1055533.5</v>
      </c>
      <c r="Q40" s="395">
        <f>'A) Base RI'!Z40</f>
        <v>1.5</v>
      </c>
      <c r="R40" s="387">
        <f t="shared" si="2"/>
        <v>7984343.540000001</v>
      </c>
      <c r="S40" s="428">
        <f>+'A) Base RI'!U40</f>
        <v>67</v>
      </c>
      <c r="T40" s="387">
        <f t="shared" si="3"/>
        <v>7252543.790000001</v>
      </c>
      <c r="U40" s="387">
        <f t="shared" si="4"/>
        <v>119169.3065671642</v>
      </c>
      <c r="V40" s="10">
        <f>+'A) Base RI'!O40</f>
        <v>166459.1</v>
      </c>
      <c r="W40" s="10">
        <f>+'A) Base RI'!P40</f>
        <v>904420.85</v>
      </c>
      <c r="X40" s="10">
        <f>+'A) Base RI'!R40</f>
        <v>409718.55</v>
      </c>
      <c r="Y40" s="387">
        <f t="shared" si="5"/>
        <v>1480598.5</v>
      </c>
      <c r="Z40" s="10">
        <f>+'A) Base RI'!N40</f>
        <v>340.45</v>
      </c>
      <c r="AA40" s="10">
        <f>'A) Base RI'!V40</f>
        <v>3465</v>
      </c>
    </row>
    <row r="41" spans="1:27" x14ac:dyDescent="0.25">
      <c r="A41" s="8">
        <f>'A) Base RI'!A41</f>
        <v>5471</v>
      </c>
      <c r="B41" s="32" t="str">
        <f>'A) Base RI'!B41</f>
        <v>Bettens</v>
      </c>
      <c r="C41" s="10">
        <f>'A) Base RI'!C41+'A) Base RI'!D41</f>
        <v>1314287.25</v>
      </c>
      <c r="D41" s="10">
        <f>'A) Base RI'!W41</f>
        <v>-9720.76</v>
      </c>
      <c r="E41" s="384">
        <f>'A) Base RI'!X41</f>
        <v>0</v>
      </c>
      <c r="F41" s="384">
        <f>'A) Base RI'!Y41</f>
        <v>-43.82</v>
      </c>
      <c r="G41" s="387">
        <f t="shared" si="0"/>
        <v>1304522.67</v>
      </c>
      <c r="H41" s="10">
        <f>+'A) Base RI'!E41</f>
        <v>0</v>
      </c>
      <c r="I41" s="10">
        <f>+'A) Base RI'!F41</f>
        <v>0</v>
      </c>
      <c r="J41" s="10">
        <f>+'A) Base RI'!G41+'A) Base RI'!H41+'A) Base RI'!S41</f>
        <v>131787.19</v>
      </c>
      <c r="K41" s="10">
        <f>+'A) Base RI'!I41</f>
        <v>0</v>
      </c>
      <c r="L41" s="10">
        <f>+'A) Base RI'!J41</f>
        <v>24741.16</v>
      </c>
      <c r="M41" s="10">
        <f>+'A) Base RI'!K41</f>
        <v>4233.25</v>
      </c>
      <c r="N41" s="10">
        <f>+'A) Base RI'!Q41</f>
        <v>0</v>
      </c>
      <c r="O41" s="10">
        <f t="shared" si="1"/>
        <v>137227.38888888888</v>
      </c>
      <c r="P41" s="10">
        <f>+'A) Base RI'!L41</f>
        <v>123504.65</v>
      </c>
      <c r="Q41" s="395">
        <f>'A) Base RI'!Z41</f>
        <v>0.9</v>
      </c>
      <c r="R41" s="387">
        <f t="shared" si="2"/>
        <v>1602511.6588888885</v>
      </c>
      <c r="S41" s="428">
        <f>+'A) Base RI'!U41</f>
        <v>70</v>
      </c>
      <c r="T41" s="387">
        <f t="shared" si="3"/>
        <v>1461051.0199999998</v>
      </c>
      <c r="U41" s="387">
        <f t="shared" si="4"/>
        <v>22893.023698412693</v>
      </c>
      <c r="V41" s="10">
        <f>+'A) Base RI'!O41</f>
        <v>4295.8</v>
      </c>
      <c r="W41" s="10">
        <f>+'A) Base RI'!P41</f>
        <v>60101.25</v>
      </c>
      <c r="X41" s="10">
        <f>+'A) Base RI'!R41</f>
        <v>10798.85</v>
      </c>
      <c r="Y41" s="387">
        <f t="shared" si="5"/>
        <v>75195.900000000009</v>
      </c>
      <c r="Z41" s="10">
        <f>+'A) Base RI'!N41</f>
        <v>9506.5499999999993</v>
      </c>
      <c r="AA41" s="10">
        <f>'A) Base RI'!V41</f>
        <v>626</v>
      </c>
    </row>
    <row r="42" spans="1:27" x14ac:dyDescent="0.25">
      <c r="A42" s="8">
        <f>'A) Base RI'!A42</f>
        <v>5472</v>
      </c>
      <c r="B42" s="32" t="str">
        <f>'A) Base RI'!B42</f>
        <v>Bournens</v>
      </c>
      <c r="C42" s="10">
        <f>'A) Base RI'!C42+'A) Base RI'!D42</f>
        <v>1396288.79</v>
      </c>
      <c r="D42" s="10">
        <f>'A) Base RI'!W42</f>
        <v>-1565.35</v>
      </c>
      <c r="E42" s="384">
        <f>'A) Base RI'!X42</f>
        <v>0</v>
      </c>
      <c r="F42" s="384">
        <f>'A) Base RI'!Y42</f>
        <v>-457.52</v>
      </c>
      <c r="G42" s="387">
        <f t="shared" si="0"/>
        <v>1394265.92</v>
      </c>
      <c r="H42" s="10">
        <f>+'A) Base RI'!E42</f>
        <v>0</v>
      </c>
      <c r="I42" s="10">
        <f>+'A) Base RI'!F42</f>
        <v>0</v>
      </c>
      <c r="J42" s="10">
        <f>+'A) Base RI'!G42+'A) Base RI'!H42+'A) Base RI'!S42</f>
        <v>68511.539999999994</v>
      </c>
      <c r="K42" s="10">
        <f>+'A) Base RI'!I42</f>
        <v>0</v>
      </c>
      <c r="L42" s="10">
        <f>+'A) Base RI'!J42</f>
        <v>13338.27</v>
      </c>
      <c r="M42" s="10">
        <f>+'A) Base RI'!K42</f>
        <v>1422.55</v>
      </c>
      <c r="N42" s="10">
        <f>+'A) Base RI'!Q42</f>
        <v>7994.49</v>
      </c>
      <c r="O42" s="10">
        <f t="shared" si="1"/>
        <v>111315.05</v>
      </c>
      <c r="P42" s="10">
        <f>+'A) Base RI'!L42</f>
        <v>111315.05</v>
      </c>
      <c r="Q42" s="395">
        <f>'A) Base RI'!Z42</f>
        <v>1</v>
      </c>
      <c r="R42" s="387">
        <f t="shared" si="2"/>
        <v>1596847.82</v>
      </c>
      <c r="S42" s="428">
        <f>+'A) Base RI'!U42</f>
        <v>72</v>
      </c>
      <c r="T42" s="387">
        <f t="shared" si="3"/>
        <v>1484110.22</v>
      </c>
      <c r="U42" s="387">
        <f t="shared" si="4"/>
        <v>22178.441944444447</v>
      </c>
      <c r="V42" s="10">
        <f>+'A) Base RI'!O42</f>
        <v>96601.8</v>
      </c>
      <c r="W42" s="10">
        <f>+'A) Base RI'!P42</f>
        <v>57797.05</v>
      </c>
      <c r="X42" s="10">
        <f>+'A) Base RI'!R42</f>
        <v>42353.45</v>
      </c>
      <c r="Y42" s="387">
        <f t="shared" si="5"/>
        <v>196752.3</v>
      </c>
      <c r="Z42" s="10">
        <f>+'A) Base RI'!N42</f>
        <v>0</v>
      </c>
      <c r="AA42" s="10">
        <f>'A) Base RI'!V42</f>
        <v>507</v>
      </c>
    </row>
    <row r="43" spans="1:27" x14ac:dyDescent="0.25">
      <c r="A43" s="8">
        <f>'A) Base RI'!A43</f>
        <v>5473</v>
      </c>
      <c r="B43" s="32" t="str">
        <f>'A) Base RI'!B43</f>
        <v>Boussens</v>
      </c>
      <c r="C43" s="10">
        <f>'A) Base RI'!C43+'A) Base RI'!D43</f>
        <v>2304900.8200000003</v>
      </c>
      <c r="D43" s="10">
        <f>'A) Base RI'!W43</f>
        <v>-20658.46</v>
      </c>
      <c r="E43" s="384">
        <f>'A) Base RI'!X43</f>
        <v>0</v>
      </c>
      <c r="F43" s="384">
        <f>'A) Base RI'!Y43</f>
        <v>-14.11</v>
      </c>
      <c r="G43" s="387">
        <f t="shared" si="0"/>
        <v>2284228.2500000005</v>
      </c>
      <c r="H43" s="10">
        <f>+'A) Base RI'!E43</f>
        <v>0</v>
      </c>
      <c r="I43" s="10">
        <f>+'A) Base RI'!F43</f>
        <v>0</v>
      </c>
      <c r="J43" s="10">
        <f>+'A) Base RI'!G43+'A) Base RI'!H43+'A) Base RI'!S43</f>
        <v>20174.150000000001</v>
      </c>
      <c r="K43" s="10">
        <f>+'A) Base RI'!I43</f>
        <v>0</v>
      </c>
      <c r="L43" s="10">
        <f>+'A) Base RI'!J43</f>
        <v>-4141.21</v>
      </c>
      <c r="M43" s="10">
        <f>+'A) Base RI'!K43</f>
        <v>8991.2000000000007</v>
      </c>
      <c r="N43" s="10">
        <f>+'A) Base RI'!Q43</f>
        <v>24.58</v>
      </c>
      <c r="O43" s="10">
        <f t="shared" si="1"/>
        <v>192206.4</v>
      </c>
      <c r="P43" s="10">
        <f>+'A) Base RI'!L43</f>
        <v>192206.4</v>
      </c>
      <c r="Q43" s="395">
        <f>'A) Base RI'!Z43</f>
        <v>1</v>
      </c>
      <c r="R43" s="387">
        <f t="shared" si="2"/>
        <v>2501483.3700000006</v>
      </c>
      <c r="S43" s="428">
        <f>+'A) Base RI'!U43</f>
        <v>67.5</v>
      </c>
      <c r="T43" s="387">
        <f t="shared" si="3"/>
        <v>2300285.7700000005</v>
      </c>
      <c r="U43" s="387">
        <f t="shared" si="4"/>
        <v>37059.012888888894</v>
      </c>
      <c r="V43" s="10">
        <f>+'A) Base RI'!O43</f>
        <v>0</v>
      </c>
      <c r="W43" s="10">
        <f>+'A) Base RI'!P43</f>
        <v>133840.70000000001</v>
      </c>
      <c r="X43" s="10">
        <f>+'A) Base RI'!R43</f>
        <v>120047.15</v>
      </c>
      <c r="Y43" s="387">
        <f t="shared" si="5"/>
        <v>253887.85</v>
      </c>
      <c r="Z43" s="10">
        <f>+'A) Base RI'!N43</f>
        <v>4238.3</v>
      </c>
      <c r="AA43" s="10">
        <f>'A) Base RI'!V43</f>
        <v>1001</v>
      </c>
    </row>
    <row r="44" spans="1:27" x14ac:dyDescent="0.25">
      <c r="A44" s="8">
        <f>'A) Base RI'!A44</f>
        <v>5474</v>
      </c>
      <c r="B44" s="32" t="str">
        <f>'A) Base RI'!B44</f>
        <v>La Chaux (Cossonay)</v>
      </c>
      <c r="C44" s="10">
        <f>'A) Base RI'!C44+'A) Base RI'!D44</f>
        <v>928866.3600000001</v>
      </c>
      <c r="D44" s="10">
        <f>'A) Base RI'!W44</f>
        <v>-5446.47</v>
      </c>
      <c r="E44" s="384">
        <f>'A) Base RI'!X44</f>
        <v>0</v>
      </c>
      <c r="F44" s="384">
        <f>'A) Base RI'!Y44</f>
        <v>-270.48</v>
      </c>
      <c r="G44" s="387">
        <f t="shared" si="0"/>
        <v>923149.41000000015</v>
      </c>
      <c r="H44" s="10">
        <f>+'A) Base RI'!E44</f>
        <v>0</v>
      </c>
      <c r="I44" s="10">
        <f>+'A) Base RI'!F44</f>
        <v>0</v>
      </c>
      <c r="J44" s="10">
        <f>+'A) Base RI'!G44+'A) Base RI'!H44+'A) Base RI'!S44</f>
        <v>16020.23</v>
      </c>
      <c r="K44" s="10">
        <f>+'A) Base RI'!I44</f>
        <v>-36561.5</v>
      </c>
      <c r="L44" s="10">
        <f>+'A) Base RI'!J44</f>
        <v>1142.73</v>
      </c>
      <c r="M44" s="10">
        <f>+'A) Base RI'!K44</f>
        <v>369</v>
      </c>
      <c r="N44" s="10">
        <f>+'A) Base RI'!Q44</f>
        <v>2076</v>
      </c>
      <c r="O44" s="10">
        <f t="shared" si="1"/>
        <v>74585.416666666672</v>
      </c>
      <c r="P44" s="10">
        <f>+'A) Base RI'!L44</f>
        <v>89502.5</v>
      </c>
      <c r="Q44" s="395">
        <f>'A) Base RI'!Z44</f>
        <v>1.2</v>
      </c>
      <c r="R44" s="387">
        <f t="shared" si="2"/>
        <v>980781.28666666674</v>
      </c>
      <c r="S44" s="428">
        <f>+'A) Base RI'!U44</f>
        <v>76</v>
      </c>
      <c r="T44" s="387">
        <f t="shared" si="3"/>
        <v>905826.87000000011</v>
      </c>
      <c r="U44" s="387">
        <f t="shared" si="4"/>
        <v>12905.016929824562</v>
      </c>
      <c r="V44" s="10">
        <f>+'A) Base RI'!O44</f>
        <v>248.4</v>
      </c>
      <c r="W44" s="10">
        <f>+'A) Base RI'!P44</f>
        <v>63041</v>
      </c>
      <c r="X44" s="10">
        <f>+'A) Base RI'!R44</f>
        <v>29643.75</v>
      </c>
      <c r="Y44" s="387">
        <f t="shared" si="5"/>
        <v>92933.15</v>
      </c>
      <c r="Z44" s="10">
        <f>+'A) Base RI'!N44</f>
        <v>2826.15</v>
      </c>
      <c r="AA44" s="10">
        <f>'A) Base RI'!V44</f>
        <v>398</v>
      </c>
    </row>
    <row r="45" spans="1:27" x14ac:dyDescent="0.25">
      <c r="A45" s="8">
        <f>'A) Base RI'!A45</f>
        <v>5475</v>
      </c>
      <c r="B45" s="32" t="str">
        <f>'A) Base RI'!B45</f>
        <v>Chavannes-le-Veyron</v>
      </c>
      <c r="C45" s="10">
        <f>'A) Base RI'!C45+'A) Base RI'!D45</f>
        <v>296355.43</v>
      </c>
      <c r="D45" s="10">
        <f>'A) Base RI'!W45</f>
        <v>-2144.58</v>
      </c>
      <c r="E45" s="384">
        <f>'A) Base RI'!X45</f>
        <v>0</v>
      </c>
      <c r="F45" s="384">
        <f>'A) Base RI'!Y45</f>
        <v>0</v>
      </c>
      <c r="G45" s="387">
        <f t="shared" si="0"/>
        <v>294210.84999999998</v>
      </c>
      <c r="H45" s="10">
        <f>+'A) Base RI'!E45</f>
        <v>0</v>
      </c>
      <c r="I45" s="10">
        <f>+'A) Base RI'!F45</f>
        <v>0</v>
      </c>
      <c r="J45" s="10">
        <f>+'A) Base RI'!G45+'A) Base RI'!H45+'A) Base RI'!S45</f>
        <v>385.52</v>
      </c>
      <c r="K45" s="10">
        <f>+'A) Base RI'!I45</f>
        <v>0</v>
      </c>
      <c r="L45" s="10">
        <f>+'A) Base RI'!J45</f>
        <v>738.72</v>
      </c>
      <c r="M45" s="10">
        <f>+'A) Base RI'!K45</f>
        <v>0</v>
      </c>
      <c r="N45" s="10">
        <f>+'A) Base RI'!Q45</f>
        <v>61.03</v>
      </c>
      <c r="O45" s="10">
        <f t="shared" si="1"/>
        <v>25399.3</v>
      </c>
      <c r="P45" s="10">
        <f>+'A) Base RI'!L45</f>
        <v>25399.3</v>
      </c>
      <c r="Q45" s="395">
        <f>'A) Base RI'!Z45</f>
        <v>1</v>
      </c>
      <c r="R45" s="387">
        <f t="shared" si="2"/>
        <v>320795.42</v>
      </c>
      <c r="S45" s="428">
        <f>+'A) Base RI'!U45</f>
        <v>75</v>
      </c>
      <c r="T45" s="387">
        <f t="shared" si="3"/>
        <v>295396.12</v>
      </c>
      <c r="U45" s="387">
        <f t="shared" si="4"/>
        <v>4277.2722666666668</v>
      </c>
      <c r="V45" s="10">
        <f>+'A) Base RI'!O45</f>
        <v>0</v>
      </c>
      <c r="W45" s="10">
        <f>+'A) Base RI'!P45</f>
        <v>910.7</v>
      </c>
      <c r="X45" s="10">
        <f>+'A) Base RI'!R45</f>
        <v>8489.85</v>
      </c>
      <c r="Y45" s="387">
        <f t="shared" si="5"/>
        <v>9400.5500000000011</v>
      </c>
      <c r="Z45" s="10">
        <f>+'A) Base RI'!N45</f>
        <v>0</v>
      </c>
      <c r="AA45" s="10">
        <f>'A) Base RI'!V45</f>
        <v>155</v>
      </c>
    </row>
    <row r="46" spans="1:27" x14ac:dyDescent="0.25">
      <c r="A46" s="8">
        <f>'A) Base RI'!A46</f>
        <v>5476</v>
      </c>
      <c r="B46" s="32" t="str">
        <f>'A) Base RI'!B46</f>
        <v>Chevilly</v>
      </c>
      <c r="C46" s="10">
        <f>'A) Base RI'!C46+'A) Base RI'!D46</f>
        <v>813718.24</v>
      </c>
      <c r="D46" s="10">
        <f>'A) Base RI'!W46</f>
        <v>-3599.73</v>
      </c>
      <c r="E46" s="384">
        <f>'A) Base RI'!X46</f>
        <v>0</v>
      </c>
      <c r="F46" s="384">
        <f>'A) Base RI'!Y46</f>
        <v>-254.69</v>
      </c>
      <c r="G46" s="387">
        <f t="shared" si="0"/>
        <v>809863.82000000007</v>
      </c>
      <c r="H46" s="10">
        <f>+'A) Base RI'!E46</f>
        <v>0</v>
      </c>
      <c r="I46" s="10">
        <f>+'A) Base RI'!F46</f>
        <v>0</v>
      </c>
      <c r="J46" s="10">
        <f>+'A) Base RI'!G46+'A) Base RI'!H46+'A) Base RI'!S46</f>
        <v>-4479.5999999999995</v>
      </c>
      <c r="K46" s="10">
        <f>+'A) Base RI'!I46</f>
        <v>0</v>
      </c>
      <c r="L46" s="10">
        <f>+'A) Base RI'!J46</f>
        <v>8338.2800000000007</v>
      </c>
      <c r="M46" s="10">
        <f>+'A) Base RI'!K46</f>
        <v>0</v>
      </c>
      <c r="N46" s="10">
        <f>+'A) Base RI'!Q46</f>
        <v>0</v>
      </c>
      <c r="O46" s="10">
        <f t="shared" si="1"/>
        <v>61737.3</v>
      </c>
      <c r="P46" s="10">
        <f>+'A) Base RI'!L46</f>
        <v>61737.3</v>
      </c>
      <c r="Q46" s="395">
        <f>'A) Base RI'!Z46</f>
        <v>1</v>
      </c>
      <c r="R46" s="387">
        <f t="shared" si="2"/>
        <v>875459.80000000016</v>
      </c>
      <c r="S46" s="428">
        <f>+'A) Base RI'!U46</f>
        <v>72.5</v>
      </c>
      <c r="T46" s="387">
        <f t="shared" si="3"/>
        <v>813722.50000000012</v>
      </c>
      <c r="U46" s="387">
        <f t="shared" si="4"/>
        <v>12075.307586206898</v>
      </c>
      <c r="V46" s="10">
        <f>+'A) Base RI'!O46</f>
        <v>0</v>
      </c>
      <c r="W46" s="10">
        <f>+'A) Base RI'!P46</f>
        <v>47404.15</v>
      </c>
      <c r="X46" s="10">
        <f>+'A) Base RI'!R46</f>
        <v>41817.9</v>
      </c>
      <c r="Y46" s="387">
        <f t="shared" si="5"/>
        <v>89222.05</v>
      </c>
      <c r="Z46" s="10">
        <f>+'A) Base RI'!N46</f>
        <v>0</v>
      </c>
      <c r="AA46" s="10">
        <f>'A) Base RI'!V46</f>
        <v>322</v>
      </c>
    </row>
    <row r="47" spans="1:27" x14ac:dyDescent="0.25">
      <c r="A47" s="8">
        <f>'A) Base RI'!A47</f>
        <v>5477</v>
      </c>
      <c r="B47" s="32" t="str">
        <f>'A) Base RI'!B47</f>
        <v>Cossonay</v>
      </c>
      <c r="C47" s="10">
        <f>'A) Base RI'!C47+'A) Base RI'!D47</f>
        <v>8769241.5800000001</v>
      </c>
      <c r="D47" s="10">
        <f>'A) Base RI'!W47</f>
        <v>-380726.05</v>
      </c>
      <c r="E47" s="384">
        <f>'A) Base RI'!X47</f>
        <v>0</v>
      </c>
      <c r="F47" s="384">
        <f>'A) Base RI'!Y47</f>
        <v>-1363.04</v>
      </c>
      <c r="G47" s="387">
        <f t="shared" si="0"/>
        <v>8387152.4900000002</v>
      </c>
      <c r="H47" s="10">
        <f>+'A) Base RI'!E47</f>
        <v>0</v>
      </c>
      <c r="I47" s="10">
        <f>+'A) Base RI'!F47</f>
        <v>0</v>
      </c>
      <c r="J47" s="10">
        <f>+'A) Base RI'!G47+'A) Base RI'!H47+'A) Base RI'!S47</f>
        <v>480849.58</v>
      </c>
      <c r="K47" s="10">
        <f>+'A) Base RI'!I47</f>
        <v>0</v>
      </c>
      <c r="L47" s="10">
        <f>+'A) Base RI'!J47</f>
        <v>171591.45</v>
      </c>
      <c r="M47" s="10">
        <f>+'A) Base RI'!K47</f>
        <v>58880.4</v>
      </c>
      <c r="N47" s="10">
        <f>+'A) Base RI'!Q47</f>
        <v>57373.19</v>
      </c>
      <c r="O47" s="10">
        <f t="shared" si="1"/>
        <v>754712.75</v>
      </c>
      <c r="P47" s="10">
        <f>+'A) Base RI'!L47</f>
        <v>754712.75</v>
      </c>
      <c r="Q47" s="395">
        <f>'A) Base RI'!Z47</f>
        <v>1</v>
      </c>
      <c r="R47" s="387">
        <f t="shared" si="2"/>
        <v>9910559.8599999994</v>
      </c>
      <c r="S47" s="428">
        <f>+'A) Base RI'!U47</f>
        <v>69.5</v>
      </c>
      <c r="T47" s="387">
        <f t="shared" si="3"/>
        <v>9096966.709999999</v>
      </c>
      <c r="U47" s="387">
        <f t="shared" si="4"/>
        <v>142597.98359712231</v>
      </c>
      <c r="V47" s="10">
        <f>+'A) Base RI'!O47</f>
        <v>155937.70000000001</v>
      </c>
      <c r="W47" s="10">
        <f>+'A) Base RI'!P47</f>
        <v>425939.65</v>
      </c>
      <c r="X47" s="10">
        <f>+'A) Base RI'!R47</f>
        <v>484737.1</v>
      </c>
      <c r="Y47" s="387">
        <f t="shared" si="5"/>
        <v>1066614.4500000002</v>
      </c>
      <c r="Z47" s="10">
        <f>+'A) Base RI'!N47</f>
        <v>116740.25</v>
      </c>
      <c r="AA47" s="10">
        <f>'A) Base RI'!V47</f>
        <v>4326</v>
      </c>
    </row>
    <row r="48" spans="1:27" x14ac:dyDescent="0.25">
      <c r="A48" s="8">
        <f>'A) Base RI'!A48</f>
        <v>5478</v>
      </c>
      <c r="B48" s="32" t="str">
        <f>'A) Base RI'!B48</f>
        <v>Cottens</v>
      </c>
      <c r="C48" s="10">
        <f>'A) Base RI'!C48+'A) Base RI'!D48</f>
        <v>1060800.51</v>
      </c>
      <c r="D48" s="10">
        <f>'A) Base RI'!W48</f>
        <v>-8027.52</v>
      </c>
      <c r="E48" s="384">
        <f>'A) Base RI'!X48</f>
        <v>0</v>
      </c>
      <c r="F48" s="384">
        <f>'A) Base RI'!Y48</f>
        <v>-143.1</v>
      </c>
      <c r="G48" s="387">
        <f t="shared" si="0"/>
        <v>1052629.8899999999</v>
      </c>
      <c r="H48" s="10">
        <f>+'A) Base RI'!E48</f>
        <v>0</v>
      </c>
      <c r="I48" s="10">
        <f>+'A) Base RI'!F48</f>
        <v>0</v>
      </c>
      <c r="J48" s="10">
        <f>+'A) Base RI'!G48+'A) Base RI'!H48+'A) Base RI'!S48</f>
        <v>4229.51</v>
      </c>
      <c r="K48" s="10">
        <f>+'A) Base RI'!I48</f>
        <v>0</v>
      </c>
      <c r="L48" s="10">
        <f>+'A) Base RI'!J48</f>
        <v>27824.06</v>
      </c>
      <c r="M48" s="10">
        <f>+'A) Base RI'!K48</f>
        <v>250</v>
      </c>
      <c r="N48" s="10">
        <f>+'A) Base RI'!Q48</f>
        <v>0</v>
      </c>
      <c r="O48" s="10">
        <f t="shared" si="1"/>
        <v>79917.5</v>
      </c>
      <c r="P48" s="10">
        <f>+'A) Base RI'!L48</f>
        <v>79917.5</v>
      </c>
      <c r="Q48" s="395">
        <f>'A) Base RI'!Z48</f>
        <v>1</v>
      </c>
      <c r="R48" s="387">
        <f t="shared" si="2"/>
        <v>1164850.96</v>
      </c>
      <c r="S48" s="428">
        <f>+'A) Base RI'!U48</f>
        <v>74</v>
      </c>
      <c r="T48" s="387">
        <f t="shared" si="3"/>
        <v>1084683.46</v>
      </c>
      <c r="U48" s="387">
        <f t="shared" si="4"/>
        <v>15741.229189189189</v>
      </c>
      <c r="V48" s="10">
        <f>+'A) Base RI'!O48</f>
        <v>0</v>
      </c>
      <c r="W48" s="10">
        <f>+'A) Base RI'!P48</f>
        <v>15493.5</v>
      </c>
      <c r="X48" s="10">
        <f>+'A) Base RI'!R48</f>
        <v>35312.5</v>
      </c>
      <c r="Y48" s="387">
        <f t="shared" si="5"/>
        <v>50806</v>
      </c>
      <c r="Z48" s="10">
        <f>+'A) Base RI'!N48</f>
        <v>519.25</v>
      </c>
      <c r="AA48" s="10">
        <f>'A) Base RI'!V48</f>
        <v>484</v>
      </c>
    </row>
    <row r="49" spans="1:27" x14ac:dyDescent="0.25">
      <c r="A49" s="8">
        <f>'A) Base RI'!A49</f>
        <v>5479</v>
      </c>
      <c r="B49" s="32" t="str">
        <f>'A) Base RI'!B49</f>
        <v>Cuarnens</v>
      </c>
      <c r="C49" s="10">
        <f>'A) Base RI'!C49+'A) Base RI'!D49</f>
        <v>1350209.5</v>
      </c>
      <c r="D49" s="10">
        <f>'A) Base RI'!W49</f>
        <v>-57619.12</v>
      </c>
      <c r="E49" s="384">
        <f>'A) Base RI'!X49</f>
        <v>0</v>
      </c>
      <c r="F49" s="384">
        <f>'A) Base RI'!Y49</f>
        <v>0</v>
      </c>
      <c r="G49" s="387">
        <f t="shared" si="0"/>
        <v>1292590.3799999999</v>
      </c>
      <c r="H49" s="10">
        <f>+'A) Base RI'!E49</f>
        <v>0</v>
      </c>
      <c r="I49" s="10">
        <f>+'A) Base RI'!F49</f>
        <v>0</v>
      </c>
      <c r="J49" s="10">
        <f>+'A) Base RI'!G49+'A) Base RI'!H49+'A) Base RI'!S49</f>
        <v>10185.4</v>
      </c>
      <c r="K49" s="10">
        <f>+'A) Base RI'!I49</f>
        <v>-25685.4</v>
      </c>
      <c r="L49" s="10">
        <f>+'A) Base RI'!J49</f>
        <v>15477.41</v>
      </c>
      <c r="M49" s="10">
        <f>+'A) Base RI'!K49</f>
        <v>1464.25</v>
      </c>
      <c r="N49" s="10">
        <f>+'A) Base RI'!Q49</f>
        <v>0</v>
      </c>
      <c r="O49" s="10">
        <f t="shared" si="1"/>
        <v>90803.45</v>
      </c>
      <c r="P49" s="10">
        <f>+'A) Base RI'!L49</f>
        <v>90803.45</v>
      </c>
      <c r="Q49" s="395">
        <f>'A) Base RI'!Z49</f>
        <v>1</v>
      </c>
      <c r="R49" s="387">
        <f t="shared" si="2"/>
        <v>1384835.4899999998</v>
      </c>
      <c r="S49" s="428">
        <f>+'A) Base RI'!U49</f>
        <v>77</v>
      </c>
      <c r="T49" s="387">
        <f t="shared" si="3"/>
        <v>1292567.7899999998</v>
      </c>
      <c r="U49" s="387">
        <f t="shared" si="4"/>
        <v>17984.87649350649</v>
      </c>
      <c r="V49" s="10">
        <f>+'A) Base RI'!O49</f>
        <v>53272.3</v>
      </c>
      <c r="W49" s="10">
        <f>+'A) Base RI'!P49</f>
        <v>46290.75</v>
      </c>
      <c r="X49" s="10">
        <f>+'A) Base RI'!R49</f>
        <v>15856.95</v>
      </c>
      <c r="Y49" s="387">
        <f t="shared" si="5"/>
        <v>115420</v>
      </c>
      <c r="Z49" s="10">
        <f>+'A) Base RI'!N49</f>
        <v>7894.9</v>
      </c>
      <c r="AA49" s="10">
        <f>'A) Base RI'!V49</f>
        <v>531</v>
      </c>
    </row>
    <row r="50" spans="1:27" x14ac:dyDescent="0.25">
      <c r="A50" s="8">
        <f>'A) Base RI'!A50</f>
        <v>5480</v>
      </c>
      <c r="B50" s="32" t="str">
        <f>'A) Base RI'!B50</f>
        <v>Daillens</v>
      </c>
      <c r="C50" s="10">
        <f>'A) Base RI'!C50+'A) Base RI'!D50</f>
        <v>2400639.6500000004</v>
      </c>
      <c r="D50" s="10">
        <f>'A) Base RI'!W50</f>
        <v>-61393.75</v>
      </c>
      <c r="E50" s="384">
        <f>'A) Base RI'!X50</f>
        <v>0</v>
      </c>
      <c r="F50" s="384">
        <f>'A) Base RI'!Y50</f>
        <v>-1047.54</v>
      </c>
      <c r="G50" s="387">
        <f t="shared" si="0"/>
        <v>2338198.3600000003</v>
      </c>
      <c r="H50" s="10">
        <f>+'A) Base RI'!E50</f>
        <v>0</v>
      </c>
      <c r="I50" s="10">
        <f>+'A) Base RI'!F50</f>
        <v>0</v>
      </c>
      <c r="J50" s="10">
        <f>+'A) Base RI'!G50+'A) Base RI'!H50+'A) Base RI'!S50</f>
        <v>-28762.960000000003</v>
      </c>
      <c r="K50" s="10">
        <f>+'A) Base RI'!I50</f>
        <v>0</v>
      </c>
      <c r="L50" s="10">
        <f>+'A) Base RI'!J50</f>
        <v>40898.230000000003</v>
      </c>
      <c r="M50" s="10">
        <f>+'A) Base RI'!K50</f>
        <v>12107.15</v>
      </c>
      <c r="N50" s="10">
        <f>+'A) Base RI'!Q50</f>
        <v>49270.01</v>
      </c>
      <c r="O50" s="10">
        <f t="shared" si="1"/>
        <v>313076.83333333337</v>
      </c>
      <c r="P50" s="10">
        <f>+'A) Base RI'!L50</f>
        <v>375692.2</v>
      </c>
      <c r="Q50" s="395">
        <f>'A) Base RI'!Z50</f>
        <v>1.2</v>
      </c>
      <c r="R50" s="387">
        <f t="shared" si="2"/>
        <v>2724787.6233333335</v>
      </c>
      <c r="S50" s="428">
        <f>+'A) Base RI'!U50</f>
        <v>66</v>
      </c>
      <c r="T50" s="387">
        <f t="shared" si="3"/>
        <v>2399603.64</v>
      </c>
      <c r="U50" s="387">
        <f t="shared" si="4"/>
        <v>41284.66095959596</v>
      </c>
      <c r="V50" s="10">
        <f>+'A) Base RI'!O50</f>
        <v>0</v>
      </c>
      <c r="W50" s="10">
        <f>+'A) Base RI'!P50</f>
        <v>180519.15</v>
      </c>
      <c r="X50" s="10">
        <f>+'A) Base RI'!R50</f>
        <v>118166.55</v>
      </c>
      <c r="Y50" s="387">
        <f t="shared" si="5"/>
        <v>298685.7</v>
      </c>
      <c r="Z50" s="10">
        <f>+'A) Base RI'!N50</f>
        <v>229974.39999999999</v>
      </c>
      <c r="AA50" s="10">
        <f>'A) Base RI'!V50</f>
        <v>1051</v>
      </c>
    </row>
    <row r="51" spans="1:27" x14ac:dyDescent="0.25">
      <c r="A51" s="8">
        <f>'A) Base RI'!A51</f>
        <v>5481</v>
      </c>
      <c r="B51" s="32" t="str">
        <f>'A) Base RI'!B51</f>
        <v>Dizy</v>
      </c>
      <c r="C51" s="10">
        <f>'A) Base RI'!C51+'A) Base RI'!D51</f>
        <v>553475.56000000006</v>
      </c>
      <c r="D51" s="10">
        <f>'A) Base RI'!W51</f>
        <v>-73.41</v>
      </c>
      <c r="E51" s="384">
        <f>'A) Base RI'!X51</f>
        <v>0</v>
      </c>
      <c r="F51" s="384">
        <f>'A) Base RI'!Y51</f>
        <v>0</v>
      </c>
      <c r="G51" s="387">
        <f t="shared" si="0"/>
        <v>553402.15</v>
      </c>
      <c r="H51" s="10">
        <f>+'A) Base RI'!E51</f>
        <v>0</v>
      </c>
      <c r="I51" s="10">
        <f>+'A) Base RI'!F51</f>
        <v>0</v>
      </c>
      <c r="J51" s="10">
        <f>+'A) Base RI'!G51+'A) Base RI'!H51+'A) Base RI'!S51</f>
        <v>15074.519999999999</v>
      </c>
      <c r="K51" s="10">
        <f>+'A) Base RI'!I51</f>
        <v>0</v>
      </c>
      <c r="L51" s="10">
        <f>+'A) Base RI'!J51</f>
        <v>-833.47</v>
      </c>
      <c r="M51" s="10">
        <f>+'A) Base RI'!K51</f>
        <v>0</v>
      </c>
      <c r="N51" s="10">
        <f>+'A) Base RI'!Q51</f>
        <v>0</v>
      </c>
      <c r="O51" s="10">
        <f t="shared" si="1"/>
        <v>41423.35</v>
      </c>
      <c r="P51" s="10">
        <f>+'A) Base RI'!L51</f>
        <v>41423.35</v>
      </c>
      <c r="Q51" s="395">
        <f>'A) Base RI'!Z51</f>
        <v>1</v>
      </c>
      <c r="R51" s="387">
        <f t="shared" si="2"/>
        <v>609066.55000000005</v>
      </c>
      <c r="S51" s="428">
        <f>+'A) Base RI'!U51</f>
        <v>75</v>
      </c>
      <c r="T51" s="387">
        <f t="shared" si="3"/>
        <v>567643.20000000007</v>
      </c>
      <c r="U51" s="387">
        <f t="shared" si="4"/>
        <v>8120.887333333334</v>
      </c>
      <c r="V51" s="10">
        <f>+'A) Base RI'!O51</f>
        <v>0</v>
      </c>
      <c r="W51" s="10">
        <f>+'A) Base RI'!P51</f>
        <v>16085.85</v>
      </c>
      <c r="X51" s="10">
        <f>+'A) Base RI'!R51</f>
        <v>1853.3</v>
      </c>
      <c r="Y51" s="387">
        <f t="shared" si="5"/>
        <v>17939.150000000001</v>
      </c>
      <c r="Z51" s="10">
        <f>+'A) Base RI'!N51</f>
        <v>0</v>
      </c>
      <c r="AA51" s="10">
        <f>'A) Base RI'!V51</f>
        <v>225</v>
      </c>
    </row>
    <row r="52" spans="1:27" x14ac:dyDescent="0.25">
      <c r="A52" s="8">
        <f>'A) Base RI'!A52</f>
        <v>5482</v>
      </c>
      <c r="B52" s="32" t="str">
        <f>'A) Base RI'!B52</f>
        <v>Eclépens</v>
      </c>
      <c r="C52" s="10">
        <f>'A) Base RI'!C52+'A) Base RI'!D52</f>
        <v>1568402.1500000001</v>
      </c>
      <c r="D52" s="10">
        <f>'A) Base RI'!W52</f>
        <v>-24344.36</v>
      </c>
      <c r="E52" s="384">
        <f>'A) Base RI'!X52</f>
        <v>0</v>
      </c>
      <c r="F52" s="384">
        <f>'A) Base RI'!Y52</f>
        <v>-893.6</v>
      </c>
      <c r="G52" s="387">
        <f t="shared" si="0"/>
        <v>1543164.19</v>
      </c>
      <c r="H52" s="10">
        <f>+'A) Base RI'!E52</f>
        <v>0</v>
      </c>
      <c r="I52" s="10">
        <f>+'A) Base RI'!F52</f>
        <v>0</v>
      </c>
      <c r="J52" s="10">
        <f>+'A) Base RI'!G52+'A) Base RI'!H52+'A) Base RI'!S52</f>
        <v>403389.02999999997</v>
      </c>
      <c r="K52" s="10">
        <f>+'A) Base RI'!I52</f>
        <v>0</v>
      </c>
      <c r="L52" s="10">
        <f>+'A) Base RI'!J52</f>
        <v>43014.7</v>
      </c>
      <c r="M52" s="10">
        <f>+'A) Base RI'!K52</f>
        <v>54198.35</v>
      </c>
      <c r="N52" s="10">
        <f>+'A) Base RI'!Q52</f>
        <v>5313.64</v>
      </c>
      <c r="O52" s="10">
        <f t="shared" si="1"/>
        <v>443951.55</v>
      </c>
      <c r="P52" s="10">
        <f>+'A) Base RI'!L52</f>
        <v>443951.55</v>
      </c>
      <c r="Q52" s="395">
        <f>'A) Base RI'!Z52</f>
        <v>1</v>
      </c>
      <c r="R52" s="387">
        <f t="shared" si="2"/>
        <v>2493031.46</v>
      </c>
      <c r="S52" s="428">
        <f>+'A) Base RI'!U52</f>
        <v>46</v>
      </c>
      <c r="T52" s="387">
        <f t="shared" si="3"/>
        <v>1994881.5599999998</v>
      </c>
      <c r="U52" s="387">
        <f t="shared" si="4"/>
        <v>54196.336086956522</v>
      </c>
      <c r="V52" s="10">
        <f>+'A) Base RI'!O52</f>
        <v>29857</v>
      </c>
      <c r="W52" s="10">
        <f>+'A) Base RI'!P52</f>
        <v>149037.35</v>
      </c>
      <c r="X52" s="10">
        <f>+'A) Base RI'!R52</f>
        <v>26578.95</v>
      </c>
      <c r="Y52" s="387">
        <f t="shared" si="5"/>
        <v>205473.30000000002</v>
      </c>
      <c r="Z52" s="10">
        <f>+'A) Base RI'!N52</f>
        <v>311950.55</v>
      </c>
      <c r="AA52" s="10">
        <f>'A) Base RI'!V52</f>
        <v>1198</v>
      </c>
    </row>
    <row r="53" spans="1:27" x14ac:dyDescent="0.25">
      <c r="A53" s="8">
        <f>'A) Base RI'!A53</f>
        <v>5483</v>
      </c>
      <c r="B53" s="32" t="str">
        <f>'A) Base RI'!B53</f>
        <v>Ferreyres</v>
      </c>
      <c r="C53" s="10">
        <f>'A) Base RI'!C53+'A) Base RI'!D53</f>
        <v>749058.51</v>
      </c>
      <c r="D53" s="10">
        <f>'A) Base RI'!W53</f>
        <v>-9810.84</v>
      </c>
      <c r="E53" s="384">
        <f>'A) Base RI'!X53</f>
        <v>0</v>
      </c>
      <c r="F53" s="384">
        <f>'A) Base RI'!Y53</f>
        <v>-850.75</v>
      </c>
      <c r="G53" s="387">
        <f t="shared" si="0"/>
        <v>738396.92</v>
      </c>
      <c r="H53" s="10">
        <f>+'A) Base RI'!E53</f>
        <v>0</v>
      </c>
      <c r="I53" s="10">
        <f>+'A) Base RI'!F53</f>
        <v>0</v>
      </c>
      <c r="J53" s="10">
        <f>+'A) Base RI'!G53+'A) Base RI'!H53+'A) Base RI'!S53</f>
        <v>2684.5199999999995</v>
      </c>
      <c r="K53" s="10">
        <f>+'A) Base RI'!I53</f>
        <v>0</v>
      </c>
      <c r="L53" s="10">
        <f>+'A) Base RI'!J53</f>
        <v>2470.9699999999998</v>
      </c>
      <c r="M53" s="10">
        <f>+'A) Base RI'!K53</f>
        <v>175.5</v>
      </c>
      <c r="N53" s="10">
        <f>+'A) Base RI'!Q53</f>
        <v>0</v>
      </c>
      <c r="O53" s="10">
        <f t="shared" si="1"/>
        <v>57093.4</v>
      </c>
      <c r="P53" s="10">
        <f>+'A) Base RI'!L53</f>
        <v>57093.4</v>
      </c>
      <c r="Q53" s="395">
        <f>'A) Base RI'!Z53</f>
        <v>1</v>
      </c>
      <c r="R53" s="387">
        <f t="shared" si="2"/>
        <v>800821.31</v>
      </c>
      <c r="S53" s="428">
        <f>+'A) Base RI'!U53</f>
        <v>76</v>
      </c>
      <c r="T53" s="387">
        <f t="shared" si="3"/>
        <v>743552.41</v>
      </c>
      <c r="U53" s="387">
        <f t="shared" si="4"/>
        <v>10537.122500000001</v>
      </c>
      <c r="V53" s="10">
        <f>+'A) Base RI'!O53</f>
        <v>0</v>
      </c>
      <c r="W53" s="10">
        <f>+'A) Base RI'!P53</f>
        <v>7370.05</v>
      </c>
      <c r="X53" s="10">
        <f>+'A) Base RI'!R53</f>
        <v>5726.6</v>
      </c>
      <c r="Y53" s="387">
        <f t="shared" si="5"/>
        <v>13096.650000000001</v>
      </c>
      <c r="Z53" s="10">
        <f>+'A) Base RI'!N53</f>
        <v>0</v>
      </c>
      <c r="AA53" s="10">
        <f>'A) Base RI'!V53</f>
        <v>319</v>
      </c>
    </row>
    <row r="54" spans="1:27" x14ac:dyDescent="0.25">
      <c r="A54" s="8">
        <f>'A) Base RI'!A54</f>
        <v>5484</v>
      </c>
      <c r="B54" s="32" t="str">
        <f>'A) Base RI'!B54</f>
        <v>Gollion</v>
      </c>
      <c r="C54" s="10">
        <f>'A) Base RI'!C54+'A) Base RI'!D54</f>
        <v>2384946.7400000002</v>
      </c>
      <c r="D54" s="10">
        <f>'A) Base RI'!W54</f>
        <v>-15238.01</v>
      </c>
      <c r="E54" s="384">
        <f>'A) Base RI'!X54</f>
        <v>0</v>
      </c>
      <c r="F54" s="384">
        <f>'A) Base RI'!Y54</f>
        <v>-32.799999999999997</v>
      </c>
      <c r="G54" s="387">
        <f t="shared" si="0"/>
        <v>2369675.9300000006</v>
      </c>
      <c r="H54" s="10">
        <f>+'A) Base RI'!E54</f>
        <v>0</v>
      </c>
      <c r="I54" s="10">
        <f>+'A) Base RI'!F54</f>
        <v>0</v>
      </c>
      <c r="J54" s="10">
        <f>+'A) Base RI'!G54+'A) Base RI'!H54+'A) Base RI'!S54</f>
        <v>38468.159999999996</v>
      </c>
      <c r="K54" s="10">
        <f>+'A) Base RI'!I54</f>
        <v>0</v>
      </c>
      <c r="L54" s="10">
        <f>+'A) Base RI'!J54</f>
        <v>23138.720000000001</v>
      </c>
      <c r="M54" s="10">
        <f>+'A) Base RI'!K54</f>
        <v>6192.35</v>
      </c>
      <c r="N54" s="10">
        <f>+'A) Base RI'!Q54</f>
        <v>23617.33</v>
      </c>
      <c r="O54" s="10">
        <f t="shared" si="1"/>
        <v>199256.8</v>
      </c>
      <c r="P54" s="10">
        <f>+'A) Base RI'!L54</f>
        <v>199256.8</v>
      </c>
      <c r="Q54" s="395">
        <f>'A) Base RI'!Z54</f>
        <v>1</v>
      </c>
      <c r="R54" s="387">
        <f t="shared" si="2"/>
        <v>2660349.290000001</v>
      </c>
      <c r="S54" s="428">
        <f>+'A) Base RI'!U54</f>
        <v>74</v>
      </c>
      <c r="T54" s="387">
        <f t="shared" si="3"/>
        <v>2454900.1400000011</v>
      </c>
      <c r="U54" s="387">
        <f t="shared" si="4"/>
        <v>35950.666081081094</v>
      </c>
      <c r="V54" s="10">
        <f>+'A) Base RI'!O54</f>
        <v>5997.1</v>
      </c>
      <c r="W54" s="10">
        <f>+'A) Base RI'!P54</f>
        <v>144022.6</v>
      </c>
      <c r="X54" s="10">
        <f>+'A) Base RI'!R54</f>
        <v>88519.15</v>
      </c>
      <c r="Y54" s="387">
        <f t="shared" si="5"/>
        <v>238538.85</v>
      </c>
      <c r="Z54" s="10">
        <f>+'A) Base RI'!N54</f>
        <v>32793.65</v>
      </c>
      <c r="AA54" s="10">
        <f>'A) Base RI'!V54</f>
        <v>1018</v>
      </c>
    </row>
    <row r="55" spans="1:27" x14ac:dyDescent="0.25">
      <c r="A55" s="8">
        <f>'A) Base RI'!A55</f>
        <v>5485</v>
      </c>
      <c r="B55" s="32" t="str">
        <f>'A) Base RI'!B55</f>
        <v>Grancy</v>
      </c>
      <c r="C55" s="10">
        <f>'A) Base RI'!C55+'A) Base RI'!D55</f>
        <v>1598727.6</v>
      </c>
      <c r="D55" s="10">
        <f>'A) Base RI'!W55</f>
        <v>-9064.44</v>
      </c>
      <c r="E55" s="384">
        <f>'A) Base RI'!X55</f>
        <v>0</v>
      </c>
      <c r="F55" s="384">
        <f>'A) Base RI'!Y55</f>
        <v>-268.92</v>
      </c>
      <c r="G55" s="387">
        <f t="shared" si="0"/>
        <v>1589394.2400000002</v>
      </c>
      <c r="H55" s="10">
        <f>+'A) Base RI'!E55</f>
        <v>0</v>
      </c>
      <c r="I55" s="10">
        <f>+'A) Base RI'!F55</f>
        <v>0</v>
      </c>
      <c r="J55" s="10">
        <f>+'A) Base RI'!G55+'A) Base RI'!H55+'A) Base RI'!S55</f>
        <v>43335.01</v>
      </c>
      <c r="K55" s="10">
        <f>+'A) Base RI'!I55</f>
        <v>0</v>
      </c>
      <c r="L55" s="10">
        <f>+'A) Base RI'!J55</f>
        <v>887.65</v>
      </c>
      <c r="M55" s="10">
        <f>+'A) Base RI'!K55</f>
        <v>-244</v>
      </c>
      <c r="N55" s="10">
        <f>+'A) Base RI'!Q55</f>
        <v>1394.72</v>
      </c>
      <c r="O55" s="10">
        <f t="shared" si="1"/>
        <v>79438.55</v>
      </c>
      <c r="P55" s="10">
        <f>+'A) Base RI'!L55</f>
        <v>79438.55</v>
      </c>
      <c r="Q55" s="395">
        <f>'A) Base RI'!Z55</f>
        <v>1</v>
      </c>
      <c r="R55" s="387">
        <f t="shared" si="2"/>
        <v>1714206.1700000002</v>
      </c>
      <c r="S55" s="428">
        <f>+'A) Base RI'!U55</f>
        <v>70</v>
      </c>
      <c r="T55" s="387">
        <f t="shared" si="3"/>
        <v>1635011.62</v>
      </c>
      <c r="U55" s="387">
        <f t="shared" si="4"/>
        <v>24488.659571428572</v>
      </c>
      <c r="V55" s="10">
        <f>+'A) Base RI'!O55</f>
        <v>1.4</v>
      </c>
      <c r="W55" s="10">
        <f>+'A) Base RI'!P55</f>
        <v>85562.8</v>
      </c>
      <c r="X55" s="10">
        <f>+'A) Base RI'!R55</f>
        <v>57300.15</v>
      </c>
      <c r="Y55" s="387">
        <f t="shared" si="5"/>
        <v>142864.35</v>
      </c>
      <c r="Z55" s="10">
        <f>+'A) Base RI'!N55</f>
        <v>12308.85</v>
      </c>
      <c r="AA55" s="10">
        <f>'A) Base RI'!V55</f>
        <v>445</v>
      </c>
    </row>
    <row r="56" spans="1:27" x14ac:dyDescent="0.25">
      <c r="A56" s="8">
        <f>'A) Base RI'!A56</f>
        <v>5486</v>
      </c>
      <c r="B56" s="32" t="str">
        <f>'A) Base RI'!B56</f>
        <v>L'Isle</v>
      </c>
      <c r="C56" s="10">
        <f>'A) Base RI'!C56+'A) Base RI'!D56</f>
        <v>1998582.23</v>
      </c>
      <c r="D56" s="10">
        <f>'A) Base RI'!W56</f>
        <v>-76024.160000000003</v>
      </c>
      <c r="E56" s="384">
        <f>'A) Base RI'!X56</f>
        <v>0</v>
      </c>
      <c r="F56" s="384">
        <f>'A) Base RI'!Y56</f>
        <v>-87.56</v>
      </c>
      <c r="G56" s="387">
        <f t="shared" si="0"/>
        <v>1922470.51</v>
      </c>
      <c r="H56" s="10">
        <f>+'A) Base RI'!E56</f>
        <v>0</v>
      </c>
      <c r="I56" s="10">
        <f>+'A) Base RI'!F56</f>
        <v>0</v>
      </c>
      <c r="J56" s="10">
        <f>+'A) Base RI'!G56+'A) Base RI'!H56+'A) Base RI'!S56</f>
        <v>50303.58</v>
      </c>
      <c r="K56" s="10">
        <f>+'A) Base RI'!I56</f>
        <v>-34441</v>
      </c>
      <c r="L56" s="10">
        <f>+'A) Base RI'!J56</f>
        <v>35680.080000000002</v>
      </c>
      <c r="M56" s="10">
        <f>+'A) Base RI'!K56</f>
        <v>11348.3</v>
      </c>
      <c r="N56" s="10">
        <f>+'A) Base RI'!Q56</f>
        <v>5560.12</v>
      </c>
      <c r="O56" s="10">
        <f t="shared" si="1"/>
        <v>201357.5</v>
      </c>
      <c r="P56" s="10">
        <f>+'A) Base RI'!L56</f>
        <v>201357.5</v>
      </c>
      <c r="Q56" s="395">
        <f>'A) Base RI'!Z56</f>
        <v>1</v>
      </c>
      <c r="R56" s="387">
        <f t="shared" si="2"/>
        <v>2192279.0900000003</v>
      </c>
      <c r="S56" s="428">
        <f>+'A) Base RI'!U56</f>
        <v>75</v>
      </c>
      <c r="T56" s="387">
        <f t="shared" si="3"/>
        <v>1979573.2900000003</v>
      </c>
      <c r="U56" s="387">
        <f t="shared" si="4"/>
        <v>29230.387866666671</v>
      </c>
      <c r="V56" s="10">
        <f>+'A) Base RI'!O56</f>
        <v>31401.5</v>
      </c>
      <c r="W56" s="10">
        <f>+'A) Base RI'!P56</f>
        <v>129063</v>
      </c>
      <c r="X56" s="10">
        <f>+'A) Base RI'!R56</f>
        <v>164204.70000000001</v>
      </c>
      <c r="Y56" s="387">
        <f t="shared" si="5"/>
        <v>324669.2</v>
      </c>
      <c r="Z56" s="10">
        <f>+'A) Base RI'!N56</f>
        <v>49479.55</v>
      </c>
      <c r="AA56" s="10">
        <f>'A) Base RI'!V56</f>
        <v>1079</v>
      </c>
    </row>
    <row r="57" spans="1:27" x14ac:dyDescent="0.25">
      <c r="A57" s="8">
        <f>'A) Base RI'!A57</f>
        <v>5487</v>
      </c>
      <c r="B57" s="32" t="str">
        <f>'A) Base RI'!B57</f>
        <v>Lussery-Villars</v>
      </c>
      <c r="C57" s="10">
        <f>'A) Base RI'!C57+'A) Base RI'!D57</f>
        <v>1164393.8</v>
      </c>
      <c r="D57" s="10">
        <f>'A) Base RI'!W57</f>
        <v>-16121.17</v>
      </c>
      <c r="E57" s="384">
        <f>'A) Base RI'!X57</f>
        <v>0</v>
      </c>
      <c r="F57" s="384">
        <f>'A) Base RI'!Y57</f>
        <v>-1.21</v>
      </c>
      <c r="G57" s="387">
        <f t="shared" si="0"/>
        <v>1148271.4200000002</v>
      </c>
      <c r="H57" s="10">
        <f>+'A) Base RI'!E57</f>
        <v>0</v>
      </c>
      <c r="I57" s="10">
        <f>+'A) Base RI'!F57</f>
        <v>0</v>
      </c>
      <c r="J57" s="10">
        <f>+'A) Base RI'!G57+'A) Base RI'!H57+'A) Base RI'!S57</f>
        <v>6213.9</v>
      </c>
      <c r="K57" s="10">
        <f>+'A) Base RI'!I57</f>
        <v>0</v>
      </c>
      <c r="L57" s="10">
        <f>+'A) Base RI'!J57</f>
        <v>331.33</v>
      </c>
      <c r="M57" s="10">
        <f>+'A) Base RI'!K57</f>
        <v>993.25</v>
      </c>
      <c r="N57" s="10">
        <f>+'A) Base RI'!Q57</f>
        <v>6371.44</v>
      </c>
      <c r="O57" s="10">
        <f t="shared" si="1"/>
        <v>84501.8</v>
      </c>
      <c r="P57" s="10">
        <f>+'A) Base RI'!L57</f>
        <v>84501.8</v>
      </c>
      <c r="Q57" s="395">
        <f>'A) Base RI'!Z57</f>
        <v>1</v>
      </c>
      <c r="R57" s="387">
        <f t="shared" si="2"/>
        <v>1246683.1400000001</v>
      </c>
      <c r="S57" s="428">
        <f>+'A) Base RI'!U57</f>
        <v>75</v>
      </c>
      <c r="T57" s="387">
        <f t="shared" si="3"/>
        <v>1161188.0900000001</v>
      </c>
      <c r="U57" s="387">
        <f t="shared" si="4"/>
        <v>16622.441866666668</v>
      </c>
      <c r="V57" s="10">
        <f>+'A) Base RI'!O57</f>
        <v>1988.2</v>
      </c>
      <c r="W57" s="10">
        <f>+'A) Base RI'!P57</f>
        <v>24475</v>
      </c>
      <c r="X57" s="10">
        <f>+'A) Base RI'!R57</f>
        <v>8625.2999999999993</v>
      </c>
      <c r="Y57" s="387">
        <f t="shared" si="5"/>
        <v>35088.5</v>
      </c>
      <c r="Z57" s="10">
        <f>+'A) Base RI'!N57</f>
        <v>0</v>
      </c>
      <c r="AA57" s="10">
        <f>'A) Base RI'!V57</f>
        <v>475</v>
      </c>
    </row>
    <row r="58" spans="1:27" x14ac:dyDescent="0.25">
      <c r="A58" s="8">
        <f>'A) Base RI'!A58</f>
        <v>5488</v>
      </c>
      <c r="B58" s="32" t="str">
        <f>'A) Base RI'!B58</f>
        <v>Mauraz</v>
      </c>
      <c r="C58" s="10">
        <f>'A) Base RI'!C58+'A) Base RI'!D58</f>
        <v>125981.14</v>
      </c>
      <c r="D58" s="10">
        <f>'A) Base RI'!W58</f>
        <v>-12.59</v>
      </c>
      <c r="E58" s="384">
        <f>'A) Base RI'!X58</f>
        <v>0</v>
      </c>
      <c r="F58" s="384">
        <f>'A) Base RI'!Y58</f>
        <v>-17.96</v>
      </c>
      <c r="G58" s="387">
        <f t="shared" si="0"/>
        <v>125950.59</v>
      </c>
      <c r="H58" s="10">
        <f>+'A) Base RI'!E58</f>
        <v>0</v>
      </c>
      <c r="I58" s="10">
        <f>+'A) Base RI'!F58</f>
        <v>0</v>
      </c>
      <c r="J58" s="10">
        <f>+'A) Base RI'!G58+'A) Base RI'!H58+'A) Base RI'!S58</f>
        <v>690.39</v>
      </c>
      <c r="K58" s="10">
        <f>+'A) Base RI'!I58</f>
        <v>0</v>
      </c>
      <c r="L58" s="10">
        <f>+'A) Base RI'!J58</f>
        <v>-2075.6799999999998</v>
      </c>
      <c r="M58" s="10">
        <f>+'A) Base RI'!K58</f>
        <v>0</v>
      </c>
      <c r="N58" s="10">
        <f>+'A) Base RI'!Q58</f>
        <v>0</v>
      </c>
      <c r="O58" s="10">
        <f t="shared" si="1"/>
        <v>8582</v>
      </c>
      <c r="P58" s="10">
        <f>+'A) Base RI'!L58</f>
        <v>8582</v>
      </c>
      <c r="Q58" s="395">
        <f>'A) Base RI'!Z58</f>
        <v>1</v>
      </c>
      <c r="R58" s="387">
        <f t="shared" si="2"/>
        <v>133147.29999999999</v>
      </c>
      <c r="S58" s="428">
        <f>+'A) Base RI'!U58</f>
        <v>77</v>
      </c>
      <c r="T58" s="387">
        <f t="shared" si="3"/>
        <v>124565.3</v>
      </c>
      <c r="U58" s="387">
        <f t="shared" si="4"/>
        <v>1729.1857142857141</v>
      </c>
      <c r="V58" s="10">
        <f>+'A) Base RI'!O58</f>
        <v>0</v>
      </c>
      <c r="W58" s="10">
        <f>+'A) Base RI'!P58</f>
        <v>0</v>
      </c>
      <c r="X58" s="10">
        <f>+'A) Base RI'!R58</f>
        <v>0</v>
      </c>
      <c r="Y58" s="387">
        <f t="shared" si="5"/>
        <v>0</v>
      </c>
      <c r="Z58" s="10">
        <f>+'A) Base RI'!N58</f>
        <v>0</v>
      </c>
      <c r="AA58" s="10">
        <f>'A) Base RI'!V58</f>
        <v>60</v>
      </c>
    </row>
    <row r="59" spans="1:27" x14ac:dyDescent="0.25">
      <c r="A59" s="8">
        <f>'A) Base RI'!A59</f>
        <v>5489</v>
      </c>
      <c r="B59" s="32" t="str">
        <f>'A) Base RI'!B59</f>
        <v>Mex</v>
      </c>
      <c r="C59" s="10">
        <f>'A) Base RI'!C59+'A) Base RI'!D59</f>
        <v>2440532.5499999998</v>
      </c>
      <c r="D59" s="10">
        <f>'A) Base RI'!W59</f>
        <v>-23124.43</v>
      </c>
      <c r="E59" s="384">
        <f>'A) Base RI'!X59</f>
        <v>0</v>
      </c>
      <c r="F59" s="384">
        <f>'A) Base RI'!Y59</f>
        <v>-49027.49</v>
      </c>
      <c r="G59" s="387">
        <f t="shared" si="0"/>
        <v>2368380.6299999994</v>
      </c>
      <c r="H59" s="10">
        <f>+'A) Base RI'!E59</f>
        <v>0</v>
      </c>
      <c r="I59" s="10">
        <f>+'A) Base RI'!F59</f>
        <v>0</v>
      </c>
      <c r="J59" s="10">
        <f>+'A) Base RI'!G59+'A) Base RI'!H59+'A) Base RI'!S59</f>
        <v>261307.15000000002</v>
      </c>
      <c r="K59" s="10">
        <f>+'A) Base RI'!I59</f>
        <v>0</v>
      </c>
      <c r="L59" s="10">
        <f>+'A) Base RI'!J59</f>
        <v>80272.08</v>
      </c>
      <c r="M59" s="10">
        <f>+'A) Base RI'!K59</f>
        <v>6591.5</v>
      </c>
      <c r="N59" s="10">
        <f>+'A) Base RI'!Q59</f>
        <v>11010.02</v>
      </c>
      <c r="O59" s="10">
        <f t="shared" si="1"/>
        <v>299794.45</v>
      </c>
      <c r="P59" s="10">
        <f>+'A) Base RI'!L59</f>
        <v>299794.45</v>
      </c>
      <c r="Q59" s="395">
        <f>'A) Base RI'!Z59</f>
        <v>1</v>
      </c>
      <c r="R59" s="387">
        <f t="shared" si="2"/>
        <v>3027355.8299999996</v>
      </c>
      <c r="S59" s="428">
        <f>+'A) Base RI'!U59</f>
        <v>59.5</v>
      </c>
      <c r="T59" s="387">
        <f t="shared" si="3"/>
        <v>2720969.8799999994</v>
      </c>
      <c r="U59" s="387">
        <f t="shared" si="4"/>
        <v>50879.929915966379</v>
      </c>
      <c r="V59" s="10">
        <f>+'A) Base RI'!O59</f>
        <v>0</v>
      </c>
      <c r="W59" s="10">
        <f>+'A) Base RI'!P59</f>
        <v>165655.6</v>
      </c>
      <c r="X59" s="10">
        <f>+'A) Base RI'!R59</f>
        <v>118495.25</v>
      </c>
      <c r="Y59" s="387">
        <f t="shared" si="5"/>
        <v>284150.84999999998</v>
      </c>
      <c r="Z59" s="10">
        <f>+'A) Base RI'!N59</f>
        <v>165302.79999999999</v>
      </c>
      <c r="AA59" s="10">
        <f>'A) Base RI'!V59</f>
        <v>795</v>
      </c>
    </row>
    <row r="60" spans="1:27" x14ac:dyDescent="0.25">
      <c r="A60" s="8">
        <f>'A) Base RI'!A60</f>
        <v>5490</v>
      </c>
      <c r="B60" s="32" t="str">
        <f>'A) Base RI'!B60</f>
        <v>Moiry</v>
      </c>
      <c r="C60" s="10">
        <f>'A) Base RI'!C60+'A) Base RI'!D60</f>
        <v>662108.59</v>
      </c>
      <c r="D60" s="10">
        <f>'A) Base RI'!W60</f>
        <v>-13441.41</v>
      </c>
      <c r="E60" s="384">
        <f>'A) Base RI'!X60</f>
        <v>0</v>
      </c>
      <c r="F60" s="384">
        <f>'A) Base RI'!Y60</f>
        <v>-368</v>
      </c>
      <c r="G60" s="387">
        <f t="shared" si="0"/>
        <v>648299.17999999993</v>
      </c>
      <c r="H60" s="10">
        <f>+'A) Base RI'!E60</f>
        <v>0</v>
      </c>
      <c r="I60" s="10">
        <f>+'A) Base RI'!F60</f>
        <v>0</v>
      </c>
      <c r="J60" s="10">
        <f>+'A) Base RI'!G60+'A) Base RI'!H60+'A) Base RI'!S60</f>
        <v>4141.3899999999994</v>
      </c>
      <c r="K60" s="10">
        <f>+'A) Base RI'!I60</f>
        <v>0</v>
      </c>
      <c r="L60" s="10">
        <f>+'A) Base RI'!J60</f>
        <v>2071.5300000000002</v>
      </c>
      <c r="M60" s="10">
        <f>+'A) Base RI'!K60</f>
        <v>0</v>
      </c>
      <c r="N60" s="10">
        <f>+'A) Base RI'!Q60</f>
        <v>0</v>
      </c>
      <c r="O60" s="10">
        <f t="shared" si="1"/>
        <v>47397.65</v>
      </c>
      <c r="P60" s="10">
        <f>+'A) Base RI'!L60</f>
        <v>47397.65</v>
      </c>
      <c r="Q60" s="395">
        <f>'A) Base RI'!Z60</f>
        <v>1</v>
      </c>
      <c r="R60" s="387">
        <f t="shared" si="2"/>
        <v>701909.75</v>
      </c>
      <c r="S60" s="428">
        <f>+'A) Base RI'!U60</f>
        <v>77.5</v>
      </c>
      <c r="T60" s="387">
        <f t="shared" si="3"/>
        <v>654512.1</v>
      </c>
      <c r="U60" s="387">
        <f t="shared" si="4"/>
        <v>9056.9</v>
      </c>
      <c r="V60" s="10">
        <f>+'A) Base RI'!O60</f>
        <v>0</v>
      </c>
      <c r="W60" s="10">
        <f>+'A) Base RI'!P60</f>
        <v>11853.3</v>
      </c>
      <c r="X60" s="10">
        <f>+'A) Base RI'!R60</f>
        <v>26881</v>
      </c>
      <c r="Y60" s="387">
        <f t="shared" si="5"/>
        <v>38734.300000000003</v>
      </c>
      <c r="Z60" s="10">
        <f>+'A) Base RI'!N60</f>
        <v>0</v>
      </c>
      <c r="AA60" s="10">
        <f>'A) Base RI'!V60</f>
        <v>301</v>
      </c>
    </row>
    <row r="61" spans="1:27" x14ac:dyDescent="0.25">
      <c r="A61" s="8">
        <f>'A) Base RI'!A61</f>
        <v>5491</v>
      </c>
      <c r="B61" s="32" t="str">
        <f>'A) Base RI'!B61</f>
        <v>Mont-la-Ville</v>
      </c>
      <c r="C61" s="10">
        <f>'A) Base RI'!C61+'A) Base RI'!D61</f>
        <v>928692</v>
      </c>
      <c r="D61" s="10">
        <f>'A) Base RI'!W61</f>
        <v>-5240.1099999999997</v>
      </c>
      <c r="E61" s="384">
        <f>'A) Base RI'!X61</f>
        <v>0</v>
      </c>
      <c r="F61" s="384">
        <f>'A) Base RI'!Y61</f>
        <v>-212.45</v>
      </c>
      <c r="G61" s="387">
        <f t="shared" si="0"/>
        <v>923239.44000000006</v>
      </c>
      <c r="H61" s="10">
        <f>+'A) Base RI'!E61</f>
        <v>0</v>
      </c>
      <c r="I61" s="10">
        <f>+'A) Base RI'!F61</f>
        <v>2640</v>
      </c>
      <c r="J61" s="10">
        <f>+'A) Base RI'!G61+'A) Base RI'!H61+'A) Base RI'!S61</f>
        <v>6373.65</v>
      </c>
      <c r="K61" s="10">
        <f>+'A) Base RI'!I61</f>
        <v>0</v>
      </c>
      <c r="L61" s="10">
        <f>+'A) Base RI'!J61</f>
        <v>14479.83</v>
      </c>
      <c r="M61" s="10">
        <f>+'A) Base RI'!K61</f>
        <v>-1278.5</v>
      </c>
      <c r="N61" s="10">
        <f>+'A) Base RI'!Q61</f>
        <v>1150.07</v>
      </c>
      <c r="O61" s="10">
        <f t="shared" si="1"/>
        <v>90714.25</v>
      </c>
      <c r="P61" s="10">
        <f>+'A) Base RI'!L61</f>
        <v>90714.25</v>
      </c>
      <c r="Q61" s="395">
        <f>'A) Base RI'!Z61</f>
        <v>1</v>
      </c>
      <c r="R61" s="387">
        <f t="shared" si="2"/>
        <v>1037318.74</v>
      </c>
      <c r="S61" s="428">
        <f>+'A) Base RI'!U61</f>
        <v>76</v>
      </c>
      <c r="T61" s="387">
        <f t="shared" si="3"/>
        <v>945242.99</v>
      </c>
      <c r="U61" s="387">
        <f t="shared" si="4"/>
        <v>13648.930789473685</v>
      </c>
      <c r="V61" s="10">
        <f>+'A) Base RI'!O61</f>
        <v>0</v>
      </c>
      <c r="W61" s="10">
        <f>+'A) Base RI'!P61</f>
        <v>38874</v>
      </c>
      <c r="X61" s="10">
        <f>+'A) Base RI'!R61</f>
        <v>6422.8</v>
      </c>
      <c r="Y61" s="387">
        <f t="shared" si="5"/>
        <v>45296.800000000003</v>
      </c>
      <c r="Z61" s="10">
        <f>+'A) Base RI'!N61</f>
        <v>3858.55</v>
      </c>
      <c r="AA61" s="10">
        <f>'A) Base RI'!V61</f>
        <v>508</v>
      </c>
    </row>
    <row r="62" spans="1:27" x14ac:dyDescent="0.25">
      <c r="A62" s="8">
        <f>'A) Base RI'!A62</f>
        <v>5492</v>
      </c>
      <c r="B62" s="32" t="str">
        <f>'A) Base RI'!B62</f>
        <v>Montricher</v>
      </c>
      <c r="C62" s="10">
        <f>'A) Base RI'!C62+'A) Base RI'!D62</f>
        <v>10797532.710000001</v>
      </c>
      <c r="D62" s="10">
        <f>'A) Base RI'!W62</f>
        <v>-11961.08</v>
      </c>
      <c r="E62" s="384">
        <f>'A) Base RI'!X62</f>
        <v>0</v>
      </c>
      <c r="F62" s="384">
        <f>'A) Base RI'!Y62</f>
        <v>-3713.94</v>
      </c>
      <c r="G62" s="387">
        <f t="shared" si="0"/>
        <v>10781857.690000001</v>
      </c>
      <c r="H62" s="10">
        <f>+'A) Base RI'!E62</f>
        <v>0</v>
      </c>
      <c r="I62" s="10">
        <f>+'A) Base RI'!F62</f>
        <v>0</v>
      </c>
      <c r="J62" s="10">
        <f>+'A) Base RI'!G62+'A) Base RI'!H62+'A) Base RI'!S62</f>
        <v>68546.33</v>
      </c>
      <c r="K62" s="10">
        <f>+'A) Base RI'!I62</f>
        <v>0</v>
      </c>
      <c r="L62" s="10">
        <f>+'A) Base RI'!J62</f>
        <v>111168.97</v>
      </c>
      <c r="M62" s="10">
        <f>+'A) Base RI'!K62</f>
        <v>3090.45</v>
      </c>
      <c r="N62" s="10">
        <f>+'A) Base RI'!Q62</f>
        <v>2782.2</v>
      </c>
      <c r="O62" s="10">
        <f t="shared" si="1"/>
        <v>249735.5</v>
      </c>
      <c r="P62" s="10">
        <f>+'A) Base RI'!L62</f>
        <v>74920.649999999994</v>
      </c>
      <c r="Q62" s="395">
        <f>'A) Base RI'!Z62</f>
        <v>0.3</v>
      </c>
      <c r="R62" s="387">
        <f t="shared" si="2"/>
        <v>11217181.140000001</v>
      </c>
      <c r="S62" s="428">
        <f>+'A) Base RI'!U62</f>
        <v>64</v>
      </c>
      <c r="T62" s="387">
        <f t="shared" si="3"/>
        <v>10964355.190000001</v>
      </c>
      <c r="U62" s="387">
        <f t="shared" si="4"/>
        <v>175268.45531250001</v>
      </c>
      <c r="V62" s="10">
        <f>+'A) Base RI'!O62</f>
        <v>206723</v>
      </c>
      <c r="W62" s="10">
        <f>+'A) Base RI'!P62</f>
        <v>102410.35</v>
      </c>
      <c r="X62" s="10">
        <f>+'A) Base RI'!R62</f>
        <v>111182.9</v>
      </c>
      <c r="Y62" s="387">
        <f t="shared" si="5"/>
        <v>420316.25</v>
      </c>
      <c r="Z62" s="10">
        <f>+'A) Base RI'!N62</f>
        <v>5465.05</v>
      </c>
      <c r="AA62" s="10">
        <f>'A) Base RI'!V62</f>
        <v>981</v>
      </c>
    </row>
    <row r="63" spans="1:27" x14ac:dyDescent="0.25">
      <c r="A63" s="8">
        <f>'A) Base RI'!A63</f>
        <v>5493</v>
      </c>
      <c r="B63" s="32" t="str">
        <f>'A) Base RI'!B63</f>
        <v>Orny</v>
      </c>
      <c r="C63" s="10">
        <f>'A) Base RI'!C63+'A) Base RI'!D63</f>
        <v>894149.1</v>
      </c>
      <c r="D63" s="10">
        <f>'A) Base RI'!W63</f>
        <v>-9727.34</v>
      </c>
      <c r="E63" s="384">
        <f>'A) Base RI'!X63</f>
        <v>0</v>
      </c>
      <c r="F63" s="384">
        <f>'A) Base RI'!Y63</f>
        <v>-296.35000000000002</v>
      </c>
      <c r="G63" s="387">
        <f t="shared" si="0"/>
        <v>884125.41</v>
      </c>
      <c r="H63" s="10">
        <f>+'A) Base RI'!E63</f>
        <v>0</v>
      </c>
      <c r="I63" s="10">
        <f>+'A) Base RI'!F63</f>
        <v>0</v>
      </c>
      <c r="J63" s="10">
        <f>+'A) Base RI'!G63+'A) Base RI'!H63+'A) Base RI'!S63</f>
        <v>7127.83</v>
      </c>
      <c r="K63" s="10">
        <f>+'A) Base RI'!I63</f>
        <v>0</v>
      </c>
      <c r="L63" s="10">
        <f>+'A) Base RI'!J63</f>
        <v>6486.06</v>
      </c>
      <c r="M63" s="10">
        <f>+'A) Base RI'!K63</f>
        <v>3388.55</v>
      </c>
      <c r="N63" s="10">
        <f>+'A) Base RI'!Q63</f>
        <v>2314.0100000000002</v>
      </c>
      <c r="O63" s="10">
        <f t="shared" si="1"/>
        <v>81324.230769230766</v>
      </c>
      <c r="P63" s="10">
        <f>+'A) Base RI'!L63</f>
        <v>52860.75</v>
      </c>
      <c r="Q63" s="395">
        <f>'A) Base RI'!Z63</f>
        <v>0.65</v>
      </c>
      <c r="R63" s="387">
        <f t="shared" si="2"/>
        <v>984766.09076923085</v>
      </c>
      <c r="S63" s="428">
        <f>+'A) Base RI'!U63</f>
        <v>73</v>
      </c>
      <c r="T63" s="387">
        <f t="shared" si="3"/>
        <v>900053.31</v>
      </c>
      <c r="U63" s="387">
        <f t="shared" si="4"/>
        <v>13489.946448893574</v>
      </c>
      <c r="V63" s="10">
        <f>+'A) Base RI'!O63</f>
        <v>43775.5</v>
      </c>
      <c r="W63" s="10">
        <f>+'A) Base RI'!P63</f>
        <v>29890.05</v>
      </c>
      <c r="X63" s="10">
        <f>+'A) Base RI'!R63</f>
        <v>80673.899999999994</v>
      </c>
      <c r="Y63" s="387">
        <f t="shared" si="5"/>
        <v>154339.45000000001</v>
      </c>
      <c r="Z63" s="10">
        <f>+'A) Base RI'!N63</f>
        <v>62150.05</v>
      </c>
      <c r="AA63" s="10">
        <f>'A) Base RI'!V63</f>
        <v>480</v>
      </c>
    </row>
    <row r="64" spans="1:27" x14ac:dyDescent="0.25">
      <c r="A64" s="8">
        <f>'A) Base RI'!A64</f>
        <v>5494</v>
      </c>
      <c r="B64" s="32" t="str">
        <f>'A) Base RI'!B64</f>
        <v>Pampigny</v>
      </c>
      <c r="C64" s="10">
        <f>'A) Base RI'!C64+'A) Base RI'!D64</f>
        <v>2845869.58</v>
      </c>
      <c r="D64" s="10">
        <f>'A) Base RI'!W64</f>
        <v>-38686.959999999999</v>
      </c>
      <c r="E64" s="384">
        <f>'A) Base RI'!X64</f>
        <v>0</v>
      </c>
      <c r="F64" s="384">
        <f>'A) Base RI'!Y64</f>
        <v>-1118.1500000000001</v>
      </c>
      <c r="G64" s="387">
        <f t="shared" si="0"/>
        <v>2806064.47</v>
      </c>
      <c r="H64" s="10">
        <f>+'A) Base RI'!E64</f>
        <v>0</v>
      </c>
      <c r="I64" s="10">
        <f>+'A) Base RI'!F64</f>
        <v>0</v>
      </c>
      <c r="J64" s="10">
        <f>+'A) Base RI'!G64+'A) Base RI'!H64+'A) Base RI'!S64</f>
        <v>62534.44</v>
      </c>
      <c r="K64" s="10">
        <f>+'A) Base RI'!I64</f>
        <v>0</v>
      </c>
      <c r="L64" s="10">
        <f>+'A) Base RI'!J64</f>
        <v>46314.76</v>
      </c>
      <c r="M64" s="10">
        <f>+'A) Base RI'!K64</f>
        <v>2634.4</v>
      </c>
      <c r="N64" s="10">
        <f>+'A) Base RI'!Q64</f>
        <v>4712.0200000000004</v>
      </c>
      <c r="O64" s="10">
        <f t="shared" si="1"/>
        <v>232110.71428571429</v>
      </c>
      <c r="P64" s="10">
        <f>+'A) Base RI'!L64</f>
        <v>243716.25</v>
      </c>
      <c r="Q64" s="395">
        <f>'A) Base RI'!Z64</f>
        <v>1.05</v>
      </c>
      <c r="R64" s="387">
        <f t="shared" si="2"/>
        <v>3154370.8042857139</v>
      </c>
      <c r="S64" s="428">
        <f>+'A) Base RI'!U64</f>
        <v>73</v>
      </c>
      <c r="T64" s="387">
        <f t="shared" si="3"/>
        <v>2919625.69</v>
      </c>
      <c r="U64" s="387">
        <f t="shared" si="4"/>
        <v>43210.558962818002</v>
      </c>
      <c r="V64" s="10">
        <f>+'A) Base RI'!O64</f>
        <v>0</v>
      </c>
      <c r="W64" s="10">
        <f>+'A) Base RI'!P64</f>
        <v>412908.65</v>
      </c>
      <c r="X64" s="10">
        <f>+'A) Base RI'!R64</f>
        <v>83414.5</v>
      </c>
      <c r="Y64" s="387">
        <f t="shared" si="5"/>
        <v>496323.15</v>
      </c>
      <c r="Z64" s="10">
        <f>+'A) Base RI'!N64</f>
        <v>12887.05</v>
      </c>
      <c r="AA64" s="10">
        <f>'A) Base RI'!V64</f>
        <v>1185</v>
      </c>
    </row>
    <row r="65" spans="1:27" x14ac:dyDescent="0.25">
      <c r="A65" s="8">
        <f>'A) Base RI'!A65</f>
        <v>5495</v>
      </c>
      <c r="B65" s="32" t="str">
        <f>'A) Base RI'!B65</f>
        <v>Penthalaz</v>
      </c>
      <c r="C65" s="10">
        <f>'A) Base RI'!C65+'A) Base RI'!D65</f>
        <v>6200907.3499999996</v>
      </c>
      <c r="D65" s="10">
        <f>'A) Base RI'!W65</f>
        <v>-132239.49</v>
      </c>
      <c r="E65" s="384">
        <f>'A) Base RI'!X65</f>
        <v>0</v>
      </c>
      <c r="F65" s="384">
        <f>'A) Base RI'!Y65</f>
        <v>-1652.23</v>
      </c>
      <c r="G65" s="387">
        <f t="shared" si="0"/>
        <v>6067015.629999999</v>
      </c>
      <c r="H65" s="10">
        <f>+'A) Base RI'!E65</f>
        <v>0</v>
      </c>
      <c r="I65" s="10">
        <f>+'A) Base RI'!F65</f>
        <v>0</v>
      </c>
      <c r="J65" s="10">
        <f>+'A) Base RI'!G65+'A) Base RI'!H65+'A) Base RI'!S65</f>
        <v>158636.9</v>
      </c>
      <c r="K65" s="10">
        <f>+'A) Base RI'!I65</f>
        <v>76501.600000000006</v>
      </c>
      <c r="L65" s="10">
        <f>+'A) Base RI'!J65</f>
        <v>145240.63</v>
      </c>
      <c r="M65" s="10">
        <f>+'A) Base RI'!K65</f>
        <v>82139.850000000006</v>
      </c>
      <c r="N65" s="10">
        <f>+'A) Base RI'!Q65</f>
        <v>26975.93</v>
      </c>
      <c r="O65" s="10">
        <f t="shared" si="1"/>
        <v>496763.95</v>
      </c>
      <c r="P65" s="10">
        <f>+'A) Base RI'!L65</f>
        <v>496763.95</v>
      </c>
      <c r="Q65" s="395">
        <f>'A) Base RI'!Z65</f>
        <v>1</v>
      </c>
      <c r="R65" s="387">
        <f t="shared" si="2"/>
        <v>7053274.4899999984</v>
      </c>
      <c r="S65" s="428">
        <f>+'A) Base RI'!U65</f>
        <v>74</v>
      </c>
      <c r="T65" s="387">
        <f t="shared" si="3"/>
        <v>6474370.6899999985</v>
      </c>
      <c r="U65" s="387">
        <f t="shared" si="4"/>
        <v>95314.520135135113</v>
      </c>
      <c r="V65" s="10">
        <f>+'A) Base RI'!O65</f>
        <v>15468.7</v>
      </c>
      <c r="W65" s="10">
        <f>+'A) Base RI'!P65</f>
        <v>258107.75</v>
      </c>
      <c r="X65" s="10">
        <f>+'A) Base RI'!R65</f>
        <v>230226.7</v>
      </c>
      <c r="Y65" s="387">
        <f t="shared" si="5"/>
        <v>503803.15</v>
      </c>
      <c r="Z65" s="10">
        <f>+'A) Base RI'!N65</f>
        <v>268180.65000000002</v>
      </c>
      <c r="AA65" s="10">
        <f>'A) Base RI'!V65</f>
        <v>3210</v>
      </c>
    </row>
    <row r="66" spans="1:27" x14ac:dyDescent="0.25">
      <c r="A66" s="8">
        <f>'A) Base RI'!A66</f>
        <v>5496</v>
      </c>
      <c r="B66" s="32" t="str">
        <f>'A) Base RI'!B66</f>
        <v>Penthaz</v>
      </c>
      <c r="C66" s="10">
        <f>'A) Base RI'!C66+'A) Base RI'!D66</f>
        <v>3681922.24</v>
      </c>
      <c r="D66" s="10">
        <f>'A) Base RI'!W66</f>
        <v>-766849.75</v>
      </c>
      <c r="E66" s="384">
        <f>'A) Base RI'!X66</f>
        <v>0</v>
      </c>
      <c r="F66" s="384">
        <f>'A) Base RI'!Y66</f>
        <v>-170.96</v>
      </c>
      <c r="G66" s="387">
        <f t="shared" si="0"/>
        <v>2914901.5300000003</v>
      </c>
      <c r="H66" s="10">
        <f>+'A) Base RI'!E66</f>
        <v>0</v>
      </c>
      <c r="I66" s="10">
        <f>+'A) Base RI'!F66</f>
        <v>0</v>
      </c>
      <c r="J66" s="10">
        <f>+'A) Base RI'!G66+'A) Base RI'!H66+'A) Base RI'!S66</f>
        <v>124341.08</v>
      </c>
      <c r="K66" s="10">
        <f>+'A) Base RI'!I66</f>
        <v>0</v>
      </c>
      <c r="L66" s="10">
        <f>+'A) Base RI'!J66</f>
        <v>38286.129999999997</v>
      </c>
      <c r="M66" s="10">
        <f>+'A) Base RI'!K66</f>
        <v>18148.95</v>
      </c>
      <c r="N66" s="10">
        <f>+'A) Base RI'!Q66</f>
        <v>465517.47</v>
      </c>
      <c r="O66" s="10">
        <f t="shared" si="1"/>
        <v>349424.7</v>
      </c>
      <c r="P66" s="10">
        <f>+'A) Base RI'!L66</f>
        <v>349424.7</v>
      </c>
      <c r="Q66" s="395">
        <f>'A) Base RI'!Z66</f>
        <v>1</v>
      </c>
      <c r="R66" s="387">
        <f t="shared" si="2"/>
        <v>3910619.8600000003</v>
      </c>
      <c r="S66" s="428">
        <f>+'A) Base RI'!U66</f>
        <v>69.5</v>
      </c>
      <c r="T66" s="387">
        <f t="shared" si="3"/>
        <v>3543046.21</v>
      </c>
      <c r="U66" s="387">
        <f t="shared" si="4"/>
        <v>56267.911654676267</v>
      </c>
      <c r="V66" s="10">
        <f>+'A) Base RI'!O66</f>
        <v>28508.799999999999</v>
      </c>
      <c r="W66" s="10">
        <f>+'A) Base RI'!P66</f>
        <v>197617.55</v>
      </c>
      <c r="X66" s="10">
        <f>+'A) Base RI'!R66</f>
        <v>201141.7</v>
      </c>
      <c r="Y66" s="387">
        <f t="shared" si="5"/>
        <v>427268.05</v>
      </c>
      <c r="Z66" s="10">
        <f>+'A) Base RI'!N66</f>
        <v>104386.05</v>
      </c>
      <c r="AA66" s="10">
        <f>'A) Base RI'!V66</f>
        <v>1890</v>
      </c>
    </row>
    <row r="67" spans="1:27" x14ac:dyDescent="0.25">
      <c r="A67" s="8">
        <f>'A) Base RI'!A67</f>
        <v>5497</v>
      </c>
      <c r="B67" s="32" t="str">
        <f>'A) Base RI'!B67</f>
        <v>Pompaples</v>
      </c>
      <c r="C67" s="10">
        <f>'A) Base RI'!C67+'A) Base RI'!D67</f>
        <v>1293920.31</v>
      </c>
      <c r="D67" s="10">
        <f>'A) Base RI'!W67</f>
        <v>-23118.81</v>
      </c>
      <c r="E67" s="384">
        <f>'A) Base RI'!X67</f>
        <v>0</v>
      </c>
      <c r="F67" s="384">
        <f>'A) Base RI'!Y67</f>
        <v>-122.15</v>
      </c>
      <c r="G67" s="387">
        <f t="shared" si="0"/>
        <v>1270679.3500000001</v>
      </c>
      <c r="H67" s="10">
        <f>+'A) Base RI'!E67</f>
        <v>0</v>
      </c>
      <c r="I67" s="10">
        <f>+'A) Base RI'!F67</f>
        <v>0</v>
      </c>
      <c r="J67" s="10">
        <f>+'A) Base RI'!G67+'A) Base RI'!H67+'A) Base RI'!S67</f>
        <v>6008.44</v>
      </c>
      <c r="K67" s="10">
        <f>+'A) Base RI'!I67</f>
        <v>0</v>
      </c>
      <c r="L67" s="10">
        <f>+'A) Base RI'!J67</f>
        <v>46697.02</v>
      </c>
      <c r="M67" s="10">
        <f>+'A) Base RI'!K67</f>
        <v>3863.6</v>
      </c>
      <c r="N67" s="10">
        <f>+'A) Base RI'!Q67</f>
        <v>8088.05</v>
      </c>
      <c r="O67" s="10">
        <f t="shared" si="1"/>
        <v>133394.5</v>
      </c>
      <c r="P67" s="10">
        <f>+'A) Base RI'!L67</f>
        <v>133394.5</v>
      </c>
      <c r="Q67" s="395">
        <f>'A) Base RI'!Z67</f>
        <v>1</v>
      </c>
      <c r="R67" s="387">
        <f t="shared" si="2"/>
        <v>1468730.9600000002</v>
      </c>
      <c r="S67" s="428">
        <f>+'A) Base RI'!U67</f>
        <v>66</v>
      </c>
      <c r="T67" s="387">
        <f t="shared" si="3"/>
        <v>1331472.8600000001</v>
      </c>
      <c r="U67" s="387">
        <f t="shared" si="4"/>
        <v>22253.499393939397</v>
      </c>
      <c r="V67" s="10">
        <f>+'A) Base RI'!O67</f>
        <v>371.8</v>
      </c>
      <c r="W67" s="10">
        <f>+'A) Base RI'!P67</f>
        <v>27720</v>
      </c>
      <c r="X67" s="10">
        <f>+'A) Base RI'!R67</f>
        <v>18644.8</v>
      </c>
      <c r="Y67" s="387">
        <f t="shared" si="5"/>
        <v>46736.6</v>
      </c>
      <c r="Z67" s="10">
        <f>+'A) Base RI'!N67</f>
        <v>218566.05</v>
      </c>
      <c r="AA67" s="10">
        <f>'A) Base RI'!V67</f>
        <v>849</v>
      </c>
    </row>
    <row r="68" spans="1:27" x14ac:dyDescent="0.25">
      <c r="A68" s="8">
        <f>'A) Base RI'!A68</f>
        <v>5498</v>
      </c>
      <c r="B68" s="32" t="str">
        <f>'A) Base RI'!B68</f>
        <v>La Sarraz</v>
      </c>
      <c r="C68" s="10">
        <f>'A) Base RI'!C68+'A) Base RI'!D68</f>
        <v>4309360.63</v>
      </c>
      <c r="D68" s="10">
        <f>'A) Base RI'!W68</f>
        <v>-94105.54</v>
      </c>
      <c r="E68" s="384">
        <f>'A) Base RI'!X68</f>
        <v>0</v>
      </c>
      <c r="F68" s="384">
        <f>'A) Base RI'!Y68</f>
        <v>-534.58000000000004</v>
      </c>
      <c r="G68" s="387">
        <f t="shared" si="0"/>
        <v>4214720.51</v>
      </c>
      <c r="H68" s="10">
        <f>+'A) Base RI'!E68</f>
        <v>0</v>
      </c>
      <c r="I68" s="10">
        <f>+'A) Base RI'!F68</f>
        <v>0</v>
      </c>
      <c r="J68" s="10">
        <f>+'A) Base RI'!G68+'A) Base RI'!H68+'A) Base RI'!S68</f>
        <v>116045.61</v>
      </c>
      <c r="K68" s="10">
        <f>+'A) Base RI'!I68</f>
        <v>0</v>
      </c>
      <c r="L68" s="10">
        <f>+'A) Base RI'!J68</f>
        <v>130280.65</v>
      </c>
      <c r="M68" s="10">
        <f>+'A) Base RI'!K68</f>
        <v>36142.65</v>
      </c>
      <c r="N68" s="10">
        <f>+'A) Base RI'!Q68</f>
        <v>19513.57</v>
      </c>
      <c r="O68" s="10">
        <f t="shared" si="1"/>
        <v>412318.85</v>
      </c>
      <c r="P68" s="10">
        <f>+'A) Base RI'!L68</f>
        <v>412318.85</v>
      </c>
      <c r="Q68" s="395">
        <f>'A) Base RI'!Z68</f>
        <v>1</v>
      </c>
      <c r="R68" s="387">
        <f t="shared" si="2"/>
        <v>4929021.8400000008</v>
      </c>
      <c r="S68" s="428">
        <f>+'A) Base RI'!U68</f>
        <v>66</v>
      </c>
      <c r="T68" s="387">
        <f t="shared" si="3"/>
        <v>4480560.3400000008</v>
      </c>
      <c r="U68" s="387">
        <f t="shared" si="4"/>
        <v>74682.149090909108</v>
      </c>
      <c r="V68" s="10">
        <f>+'A) Base RI'!O68</f>
        <v>0</v>
      </c>
      <c r="W68" s="10">
        <f>+'A) Base RI'!P68</f>
        <v>189677.9</v>
      </c>
      <c r="X68" s="10">
        <f>+'A) Base RI'!R68</f>
        <v>61249.3</v>
      </c>
      <c r="Y68" s="387">
        <f t="shared" si="5"/>
        <v>250927.2</v>
      </c>
      <c r="Z68" s="10">
        <f>+'A) Base RI'!N68</f>
        <v>71417.3</v>
      </c>
      <c r="AA68" s="10">
        <f>'A) Base RI'!V68</f>
        <v>2620</v>
      </c>
    </row>
    <row r="69" spans="1:27" x14ac:dyDescent="0.25">
      <c r="A69" s="8">
        <f>'A) Base RI'!A69</f>
        <v>5499</v>
      </c>
      <c r="B69" s="32" t="str">
        <f>'A) Base RI'!B69</f>
        <v>Senarclens</v>
      </c>
      <c r="C69" s="10">
        <f>'A) Base RI'!C69+'A) Base RI'!D69</f>
        <v>1103088.92</v>
      </c>
      <c r="D69" s="10">
        <f>'A) Base RI'!W69</f>
        <v>-4300.05</v>
      </c>
      <c r="E69" s="384">
        <f>'A) Base RI'!X69</f>
        <v>0</v>
      </c>
      <c r="F69" s="384">
        <f>'A) Base RI'!Y69</f>
        <v>-795.02</v>
      </c>
      <c r="G69" s="387">
        <f t="shared" si="0"/>
        <v>1097993.8499999999</v>
      </c>
      <c r="H69" s="10">
        <f>+'A) Base RI'!E69</f>
        <v>0</v>
      </c>
      <c r="I69" s="10">
        <f>+'A) Base RI'!F69</f>
        <v>0</v>
      </c>
      <c r="J69" s="10">
        <f>+'A) Base RI'!G69+'A) Base RI'!H69+'A) Base RI'!S69</f>
        <v>31321.3</v>
      </c>
      <c r="K69" s="10">
        <f>+'A) Base RI'!I69</f>
        <v>0</v>
      </c>
      <c r="L69" s="10">
        <f>+'A) Base RI'!J69</f>
        <v>18119.009999999998</v>
      </c>
      <c r="M69" s="10">
        <f>+'A) Base RI'!K69</f>
        <v>0</v>
      </c>
      <c r="N69" s="10">
        <f>+'A) Base RI'!Q69</f>
        <v>3622.18</v>
      </c>
      <c r="O69" s="10">
        <f t="shared" si="1"/>
        <v>98308.6</v>
      </c>
      <c r="P69" s="10">
        <f>+'A) Base RI'!L69</f>
        <v>98308.6</v>
      </c>
      <c r="Q69" s="395">
        <f>'A) Base RI'!Z69</f>
        <v>1</v>
      </c>
      <c r="R69" s="387">
        <f t="shared" si="2"/>
        <v>1249364.94</v>
      </c>
      <c r="S69" s="428">
        <f>+'A) Base RI'!U69</f>
        <v>68.5</v>
      </c>
      <c r="T69" s="387">
        <f t="shared" si="3"/>
        <v>1151056.3399999999</v>
      </c>
      <c r="U69" s="387">
        <f t="shared" si="4"/>
        <v>18238.904233576643</v>
      </c>
      <c r="V69" s="10">
        <f>+'A) Base RI'!O69</f>
        <v>162468</v>
      </c>
      <c r="W69" s="10">
        <f>+'A) Base RI'!P69</f>
        <v>153674.4</v>
      </c>
      <c r="X69" s="10">
        <f>+'A) Base RI'!R69</f>
        <v>122420.65</v>
      </c>
      <c r="Y69" s="387">
        <f t="shared" si="5"/>
        <v>438563.05000000005</v>
      </c>
      <c r="Z69" s="10">
        <f>+'A) Base RI'!N69</f>
        <v>17980.25</v>
      </c>
      <c r="AA69" s="10">
        <f>'A) Base RI'!V69</f>
        <v>491</v>
      </c>
    </row>
    <row r="70" spans="1:27" x14ac:dyDescent="0.25">
      <c r="A70" s="8">
        <f>'A) Base RI'!A70</f>
        <v>5500</v>
      </c>
      <c r="B70" s="32" t="str">
        <f>'A) Base RI'!B70</f>
        <v>Sévery</v>
      </c>
      <c r="C70" s="10">
        <f>'A) Base RI'!C70+'A) Base RI'!D70</f>
        <v>486843.77</v>
      </c>
      <c r="D70" s="10">
        <f>'A) Base RI'!W70</f>
        <v>-9410.67</v>
      </c>
      <c r="E70" s="384">
        <f>'A) Base RI'!X70</f>
        <v>0</v>
      </c>
      <c r="F70" s="384">
        <f>'A) Base RI'!Y70</f>
        <v>-94.4</v>
      </c>
      <c r="G70" s="387">
        <f t="shared" si="0"/>
        <v>477338.7</v>
      </c>
      <c r="H70" s="10">
        <f>+'A) Base RI'!E70</f>
        <v>0</v>
      </c>
      <c r="I70" s="10">
        <f>+'A) Base RI'!F70</f>
        <v>0</v>
      </c>
      <c r="J70" s="10">
        <f>+'A) Base RI'!G70+'A) Base RI'!H70+'A) Base RI'!S70</f>
        <v>1861.21</v>
      </c>
      <c r="K70" s="10">
        <f>+'A) Base RI'!I70</f>
        <v>0</v>
      </c>
      <c r="L70" s="10">
        <f>+'A) Base RI'!J70</f>
        <v>5385.62</v>
      </c>
      <c r="M70" s="10">
        <f>+'A) Base RI'!K70</f>
        <v>469.95</v>
      </c>
      <c r="N70" s="10">
        <f>+'A) Base RI'!Q70</f>
        <v>540.62</v>
      </c>
      <c r="O70" s="10">
        <f t="shared" si="1"/>
        <v>42220.416666666672</v>
      </c>
      <c r="P70" s="10">
        <f>+'A) Base RI'!L70</f>
        <v>50664.5</v>
      </c>
      <c r="Q70" s="395">
        <f>'A) Base RI'!Z70</f>
        <v>1.2</v>
      </c>
      <c r="R70" s="387">
        <f t="shared" si="2"/>
        <v>527816.51666666672</v>
      </c>
      <c r="S70" s="428">
        <f>+'A) Base RI'!U70</f>
        <v>73</v>
      </c>
      <c r="T70" s="387">
        <f t="shared" si="3"/>
        <v>485126.15</v>
      </c>
      <c r="U70" s="387">
        <f t="shared" si="4"/>
        <v>7230.3632420091335</v>
      </c>
      <c r="V70" s="10">
        <f>+'A) Base RI'!O70</f>
        <v>2968</v>
      </c>
      <c r="W70" s="10">
        <f>+'A) Base RI'!P70</f>
        <v>58152.6</v>
      </c>
      <c r="X70" s="10">
        <f>+'A) Base RI'!R70</f>
        <v>47094.400000000001</v>
      </c>
      <c r="Y70" s="387">
        <f t="shared" si="5"/>
        <v>108215</v>
      </c>
      <c r="Z70" s="10">
        <f>+'A) Base RI'!N70</f>
        <v>497.35</v>
      </c>
      <c r="AA70" s="10">
        <f>'A) Base RI'!V70</f>
        <v>220</v>
      </c>
    </row>
    <row r="71" spans="1:27" x14ac:dyDescent="0.25">
      <c r="A71" s="8">
        <f>'A) Base RI'!A71</f>
        <v>5501</v>
      </c>
      <c r="B71" s="32" t="str">
        <f>'A) Base RI'!B71</f>
        <v>Sullens</v>
      </c>
      <c r="C71" s="10">
        <f>'A) Base RI'!C71+'A) Base RI'!D71</f>
        <v>2638989.94</v>
      </c>
      <c r="D71" s="10">
        <f>'A) Base RI'!W71</f>
        <v>-18807.830000000002</v>
      </c>
      <c r="E71" s="384">
        <f>'A) Base RI'!X71</f>
        <v>0</v>
      </c>
      <c r="F71" s="384">
        <f>'A) Base RI'!Y71</f>
        <v>-6767.46</v>
      </c>
      <c r="G71" s="387">
        <f t="shared" si="0"/>
        <v>2613414.65</v>
      </c>
      <c r="H71" s="10">
        <f>+'A) Base RI'!E71</f>
        <v>0</v>
      </c>
      <c r="I71" s="10">
        <f>+'A) Base RI'!F71</f>
        <v>0</v>
      </c>
      <c r="J71" s="10">
        <f>+'A) Base RI'!G71+'A) Base RI'!H71+'A) Base RI'!S71</f>
        <v>126247.1</v>
      </c>
      <c r="K71" s="10">
        <f>+'A) Base RI'!I71</f>
        <v>0</v>
      </c>
      <c r="L71" s="10">
        <f>+'A) Base RI'!J71</f>
        <v>-15312.01</v>
      </c>
      <c r="M71" s="10">
        <f>+'A) Base RI'!K71</f>
        <v>0</v>
      </c>
      <c r="N71" s="10">
        <f>+'A) Base RI'!Q71</f>
        <v>149.38999999999999</v>
      </c>
      <c r="O71" s="10">
        <f t="shared" si="1"/>
        <v>234399.4</v>
      </c>
      <c r="P71" s="10">
        <f>+'A) Base RI'!L71</f>
        <v>234399.4</v>
      </c>
      <c r="Q71" s="395">
        <f>'A) Base RI'!Z71</f>
        <v>1</v>
      </c>
      <c r="R71" s="387">
        <f t="shared" si="2"/>
        <v>2958898.5300000003</v>
      </c>
      <c r="S71" s="428">
        <f>+'A) Base RI'!U71</f>
        <v>68.5</v>
      </c>
      <c r="T71" s="387">
        <f t="shared" si="3"/>
        <v>2724499.1300000004</v>
      </c>
      <c r="U71" s="387">
        <f t="shared" si="4"/>
        <v>43195.598978102193</v>
      </c>
      <c r="V71" s="10">
        <f>+'A) Base RI'!O71</f>
        <v>-3286130</v>
      </c>
      <c r="W71" s="10">
        <f>+'A) Base RI'!P71</f>
        <v>348297.95</v>
      </c>
      <c r="X71" s="10">
        <f>+'A) Base RI'!R71</f>
        <v>258377.25</v>
      </c>
      <c r="Y71" s="387">
        <f t="shared" si="5"/>
        <v>-2679454.7999999998</v>
      </c>
      <c r="Z71" s="10">
        <f>+'A) Base RI'!N71</f>
        <v>11593.6</v>
      </c>
      <c r="AA71" s="10">
        <f>'A) Base RI'!V71</f>
        <v>1143</v>
      </c>
    </row>
    <row r="72" spans="1:27" x14ac:dyDescent="0.25">
      <c r="A72" s="8">
        <f>'A) Base RI'!A72</f>
        <v>5503</v>
      </c>
      <c r="B72" s="32" t="str">
        <f>'A) Base RI'!B72</f>
        <v>Vufflens-la-Ville</v>
      </c>
      <c r="C72" s="10">
        <f>'A) Base RI'!C72+'A) Base RI'!D72</f>
        <v>4416780.83</v>
      </c>
      <c r="D72" s="10">
        <f>'A) Base RI'!W72</f>
        <v>-47973.53</v>
      </c>
      <c r="E72" s="384">
        <f>'A) Base RI'!X72</f>
        <v>0</v>
      </c>
      <c r="F72" s="384">
        <f>'A) Base RI'!Y72</f>
        <v>-24815.29</v>
      </c>
      <c r="G72" s="387">
        <f t="shared" ref="G72:G135" si="6">SUM(C72:F72)</f>
        <v>4343992.01</v>
      </c>
      <c r="H72" s="10">
        <f>+'A) Base RI'!E72</f>
        <v>0</v>
      </c>
      <c r="I72" s="10">
        <f>+'A) Base RI'!F72</f>
        <v>0</v>
      </c>
      <c r="J72" s="10">
        <f>+'A) Base RI'!G72+'A) Base RI'!H72+'A) Base RI'!S72</f>
        <v>345765.3</v>
      </c>
      <c r="K72" s="10">
        <f>+'A) Base RI'!I72</f>
        <v>0</v>
      </c>
      <c r="L72" s="10">
        <f>+'A) Base RI'!J72</f>
        <v>104703.15</v>
      </c>
      <c r="M72" s="10">
        <f>+'A) Base RI'!K72</f>
        <v>79251.8</v>
      </c>
      <c r="N72" s="10">
        <f>+'A) Base RI'!Q72</f>
        <v>1765.97</v>
      </c>
      <c r="O72" s="10">
        <f t="shared" ref="O72:O135" si="7">(P72/Q72)*1</f>
        <v>419512.66666666669</v>
      </c>
      <c r="P72" s="10">
        <f>+'A) Base RI'!L72</f>
        <v>503415.2</v>
      </c>
      <c r="Q72" s="395">
        <f>'A) Base RI'!Z72</f>
        <v>1.2</v>
      </c>
      <c r="R72" s="387">
        <f t="shared" ref="R72:R135" si="8">SUM(G72:O72)</f>
        <v>5294990.8966666665</v>
      </c>
      <c r="S72" s="428">
        <f>+'A) Base RI'!U72</f>
        <v>67</v>
      </c>
      <c r="T72" s="387">
        <f t="shared" ref="T72:T135" si="9">(G72+H72+J72+K72+L72+N72)</f>
        <v>4796226.43</v>
      </c>
      <c r="U72" s="387">
        <f t="shared" ref="U72:U135" si="10">R72/S72</f>
        <v>79029.714875621881</v>
      </c>
      <c r="V72" s="10">
        <f>+'A) Base RI'!O72</f>
        <v>33790</v>
      </c>
      <c r="W72" s="10">
        <f>+'A) Base RI'!P72</f>
        <v>156817.79999999999</v>
      </c>
      <c r="X72" s="10">
        <f>+'A) Base RI'!R72</f>
        <v>132941.5</v>
      </c>
      <c r="Y72" s="387">
        <f t="shared" ref="Y72:Y135" si="11">SUM(V72:X72)</f>
        <v>323549.3</v>
      </c>
      <c r="Z72" s="10">
        <f>+'A) Base RI'!N72</f>
        <v>157043</v>
      </c>
      <c r="AA72" s="10">
        <f>'A) Base RI'!V72</f>
        <v>1346</v>
      </c>
    </row>
    <row r="73" spans="1:27" x14ac:dyDescent="0.25">
      <c r="A73" s="8">
        <f>'A) Base RI'!A73</f>
        <v>5511</v>
      </c>
      <c r="B73" s="32" t="str">
        <f>'A) Base RI'!B73</f>
        <v>Assens</v>
      </c>
      <c r="C73" s="10">
        <f>'A) Base RI'!C73+'A) Base RI'!D73</f>
        <v>3082367.92</v>
      </c>
      <c r="D73" s="10">
        <f>'A) Base RI'!W73</f>
        <v>-30678.3</v>
      </c>
      <c r="E73" s="384">
        <f>'A) Base RI'!X73</f>
        <v>0</v>
      </c>
      <c r="F73" s="384">
        <f>'A) Base RI'!Y73</f>
        <v>-233304.33</v>
      </c>
      <c r="G73" s="387">
        <f t="shared" si="6"/>
        <v>2818385.29</v>
      </c>
      <c r="H73" s="10">
        <f>+'A) Base RI'!E73</f>
        <v>0</v>
      </c>
      <c r="I73" s="10">
        <f>+'A) Base RI'!F73</f>
        <v>0</v>
      </c>
      <c r="J73" s="10">
        <f>+'A) Base RI'!G73+'A) Base RI'!H73+'A) Base RI'!S73</f>
        <v>163003.84</v>
      </c>
      <c r="K73" s="10">
        <f>+'A) Base RI'!I73</f>
        <v>0</v>
      </c>
      <c r="L73" s="10">
        <f>+'A) Base RI'!J73</f>
        <v>53827.93</v>
      </c>
      <c r="M73" s="10">
        <f>+'A) Base RI'!K73</f>
        <v>10548.55</v>
      </c>
      <c r="N73" s="10">
        <f>+'A) Base RI'!Q73</f>
        <v>1630.35</v>
      </c>
      <c r="O73" s="10">
        <f t="shared" si="7"/>
        <v>265945.90000000002</v>
      </c>
      <c r="P73" s="10">
        <f>+'A) Base RI'!L73</f>
        <v>265945.90000000002</v>
      </c>
      <c r="Q73" s="395">
        <f>'A) Base RI'!Z73</f>
        <v>1</v>
      </c>
      <c r="R73" s="387">
        <f t="shared" si="8"/>
        <v>3313341.86</v>
      </c>
      <c r="S73" s="428">
        <f>+'A) Base RI'!U73</f>
        <v>70</v>
      </c>
      <c r="T73" s="387">
        <f t="shared" si="9"/>
        <v>3036847.41</v>
      </c>
      <c r="U73" s="387">
        <f t="shared" si="10"/>
        <v>47333.455142857143</v>
      </c>
      <c r="V73" s="10">
        <f>+'A) Base RI'!O73</f>
        <v>611650</v>
      </c>
      <c r="W73" s="10">
        <f>+'A) Base RI'!P73</f>
        <v>129605.2</v>
      </c>
      <c r="X73" s="10">
        <f>+'A) Base RI'!R73</f>
        <v>129303.7</v>
      </c>
      <c r="Y73" s="387">
        <f t="shared" si="11"/>
        <v>870558.89999999991</v>
      </c>
      <c r="Z73" s="10">
        <f>+'A) Base RI'!N73</f>
        <v>33270.85</v>
      </c>
      <c r="AA73" s="10">
        <f>'A) Base RI'!V73</f>
        <v>1151</v>
      </c>
    </row>
    <row r="74" spans="1:27" x14ac:dyDescent="0.25">
      <c r="A74" s="8">
        <f>'A) Base RI'!A74</f>
        <v>5512</v>
      </c>
      <c r="B74" s="32" t="str">
        <f>'A) Base RI'!B74</f>
        <v>Bercher</v>
      </c>
      <c r="C74" s="10">
        <f>'A) Base RI'!C74+'A) Base RI'!D74</f>
        <v>2842158.5199999996</v>
      </c>
      <c r="D74" s="10">
        <f>'A) Base RI'!W74</f>
        <v>-59212.84</v>
      </c>
      <c r="E74" s="384">
        <f>'A) Base RI'!X74</f>
        <v>0</v>
      </c>
      <c r="F74" s="384">
        <f>'A) Base RI'!Y74</f>
        <v>-491.2</v>
      </c>
      <c r="G74" s="387">
        <f t="shared" si="6"/>
        <v>2782454.4799999995</v>
      </c>
      <c r="H74" s="10">
        <f>+'A) Base RI'!E74</f>
        <v>0</v>
      </c>
      <c r="I74" s="10">
        <f>+'A) Base RI'!F74</f>
        <v>0</v>
      </c>
      <c r="J74" s="10">
        <f>+'A) Base RI'!G74+'A) Base RI'!H74+'A) Base RI'!S74</f>
        <v>87198.650000000009</v>
      </c>
      <c r="K74" s="10">
        <f>+'A) Base RI'!I74</f>
        <v>0</v>
      </c>
      <c r="L74" s="10">
        <f>+'A) Base RI'!J74</f>
        <v>56775.6</v>
      </c>
      <c r="M74" s="10">
        <f>+'A) Base RI'!K74</f>
        <v>10795.6</v>
      </c>
      <c r="N74" s="10">
        <f>+'A) Base RI'!Q74</f>
        <v>16132.58</v>
      </c>
      <c r="O74" s="10">
        <f t="shared" si="7"/>
        <v>267009</v>
      </c>
      <c r="P74" s="10">
        <f>+'A) Base RI'!L74</f>
        <v>267009</v>
      </c>
      <c r="Q74" s="395">
        <f>'A) Base RI'!Z74</f>
        <v>1</v>
      </c>
      <c r="R74" s="387">
        <f t="shared" si="8"/>
        <v>3220365.9099999997</v>
      </c>
      <c r="S74" s="428">
        <f>+'A) Base RI'!U74</f>
        <v>79</v>
      </c>
      <c r="T74" s="387">
        <f t="shared" si="9"/>
        <v>2942561.3099999996</v>
      </c>
      <c r="U74" s="387">
        <f t="shared" si="10"/>
        <v>40764.12544303797</v>
      </c>
      <c r="V74" s="10">
        <f>+'A) Base RI'!O74</f>
        <v>34040.199999999997</v>
      </c>
      <c r="W74" s="10">
        <f>+'A) Base RI'!P74</f>
        <v>222641.65</v>
      </c>
      <c r="X74" s="10">
        <f>+'A) Base RI'!R74</f>
        <v>144724.5</v>
      </c>
      <c r="Y74" s="387">
        <f t="shared" si="11"/>
        <v>401406.35</v>
      </c>
      <c r="Z74" s="10">
        <f>+'A) Base RI'!N74</f>
        <v>87440.85</v>
      </c>
      <c r="AA74" s="10">
        <f>'A) Base RI'!V74</f>
        <v>1320</v>
      </c>
    </row>
    <row r="75" spans="1:27" x14ac:dyDescent="0.25">
      <c r="A75" s="8">
        <f>'A) Base RI'!A75</f>
        <v>5513</v>
      </c>
      <c r="B75" s="32" t="str">
        <f>'A) Base RI'!B75</f>
        <v>Bioley-Orjulaz</v>
      </c>
      <c r="C75" s="10">
        <f>'A) Base RI'!C75+'A) Base RI'!D75</f>
        <v>1120526.03</v>
      </c>
      <c r="D75" s="10">
        <f>'A) Base RI'!W75</f>
        <v>-6952.18</v>
      </c>
      <c r="E75" s="384">
        <f>'A) Base RI'!X75</f>
        <v>0</v>
      </c>
      <c r="F75" s="384">
        <f>'A) Base RI'!Y75</f>
        <v>-0.04</v>
      </c>
      <c r="G75" s="387">
        <f t="shared" si="6"/>
        <v>1113573.81</v>
      </c>
      <c r="H75" s="10">
        <f>+'A) Base RI'!E75</f>
        <v>0</v>
      </c>
      <c r="I75" s="10">
        <f>+'A) Base RI'!F75</f>
        <v>0</v>
      </c>
      <c r="J75" s="10">
        <f>+'A) Base RI'!G75+'A) Base RI'!H75+'A) Base RI'!S75</f>
        <v>271662.68</v>
      </c>
      <c r="K75" s="10">
        <f>+'A) Base RI'!I75</f>
        <v>0</v>
      </c>
      <c r="L75" s="10">
        <f>+'A) Base RI'!J75</f>
        <v>22477.66</v>
      </c>
      <c r="M75" s="10">
        <f>+'A) Base RI'!K75</f>
        <v>9832.25</v>
      </c>
      <c r="N75" s="10">
        <f>+'A) Base RI'!Q75</f>
        <v>6816.54</v>
      </c>
      <c r="O75" s="10">
        <f t="shared" si="7"/>
        <v>121890.6</v>
      </c>
      <c r="P75" s="10">
        <f>+'A) Base RI'!L75</f>
        <v>60945.3</v>
      </c>
      <c r="Q75" s="395">
        <f>'A) Base RI'!Z75</f>
        <v>0.5</v>
      </c>
      <c r="R75" s="387">
        <f t="shared" si="8"/>
        <v>1546253.54</v>
      </c>
      <c r="S75" s="428">
        <f>+'A) Base RI'!U75</f>
        <v>68</v>
      </c>
      <c r="T75" s="387">
        <f t="shared" si="9"/>
        <v>1414530.69</v>
      </c>
      <c r="U75" s="387">
        <f t="shared" si="10"/>
        <v>22739.022647058824</v>
      </c>
      <c r="V75" s="10">
        <f>+'A) Base RI'!O75</f>
        <v>17286.599999999999</v>
      </c>
      <c r="W75" s="10">
        <f>+'A) Base RI'!P75</f>
        <v>49485.15</v>
      </c>
      <c r="X75" s="10">
        <f>+'A) Base RI'!R75</f>
        <v>43304.800000000003</v>
      </c>
      <c r="Y75" s="387">
        <f t="shared" si="11"/>
        <v>110076.55</v>
      </c>
      <c r="Z75" s="10">
        <f>+'A) Base RI'!N75</f>
        <v>303896.84999999998</v>
      </c>
      <c r="AA75" s="10">
        <f>'A) Base RI'!V75</f>
        <v>518</v>
      </c>
    </row>
    <row r="76" spans="1:27" x14ac:dyDescent="0.25">
      <c r="A76" s="8">
        <f>'A) Base RI'!A76</f>
        <v>5514</v>
      </c>
      <c r="B76" s="32" t="str">
        <f>'A) Base RI'!B76</f>
        <v>Bottens</v>
      </c>
      <c r="C76" s="10">
        <f>'A) Base RI'!C76+'A) Base RI'!D76</f>
        <v>2873494.97</v>
      </c>
      <c r="D76" s="10">
        <f>'A) Base RI'!W76</f>
        <v>-23602.05</v>
      </c>
      <c r="E76" s="384">
        <f>'A) Base RI'!X76</f>
        <v>0</v>
      </c>
      <c r="F76" s="384">
        <f>'A) Base RI'!Y76</f>
        <v>-75.77</v>
      </c>
      <c r="G76" s="387">
        <f t="shared" si="6"/>
        <v>2849817.1500000004</v>
      </c>
      <c r="H76" s="10">
        <f>+'A) Base RI'!E76</f>
        <v>0</v>
      </c>
      <c r="I76" s="10">
        <f>+'A) Base RI'!F76</f>
        <v>0</v>
      </c>
      <c r="J76" s="10">
        <f>+'A) Base RI'!G76+'A) Base RI'!H76+'A) Base RI'!S76</f>
        <v>11200.03</v>
      </c>
      <c r="K76" s="10">
        <f>+'A) Base RI'!I76</f>
        <v>41017.800000000003</v>
      </c>
      <c r="L76" s="10">
        <f>+'A) Base RI'!J76</f>
        <v>50858.18</v>
      </c>
      <c r="M76" s="10">
        <f>+'A) Base RI'!K76</f>
        <v>11340</v>
      </c>
      <c r="N76" s="10">
        <f>+'A) Base RI'!Q76</f>
        <v>1638.86</v>
      </c>
      <c r="O76" s="10">
        <f t="shared" si="7"/>
        <v>240325.6</v>
      </c>
      <c r="P76" s="10">
        <f>+'A) Base RI'!L76</f>
        <v>240325.6</v>
      </c>
      <c r="Q76" s="395">
        <f>'A) Base RI'!Z76</f>
        <v>1</v>
      </c>
      <c r="R76" s="387">
        <f t="shared" si="8"/>
        <v>3206197.62</v>
      </c>
      <c r="S76" s="428">
        <f>+'A) Base RI'!U76</f>
        <v>72.5</v>
      </c>
      <c r="T76" s="387">
        <f t="shared" si="9"/>
        <v>2954532.02</v>
      </c>
      <c r="U76" s="387">
        <f t="shared" si="10"/>
        <v>44223.41544827586</v>
      </c>
      <c r="V76" s="10">
        <f>+'A) Base RI'!O76</f>
        <v>37827</v>
      </c>
      <c r="W76" s="10">
        <f>+'A) Base RI'!P76</f>
        <v>69041.7</v>
      </c>
      <c r="X76" s="10">
        <f>+'A) Base RI'!R76</f>
        <v>53017.4</v>
      </c>
      <c r="Y76" s="387">
        <f t="shared" si="11"/>
        <v>159886.1</v>
      </c>
      <c r="Z76" s="10">
        <f>+'A) Base RI'!N76</f>
        <v>499.65</v>
      </c>
      <c r="AA76" s="10">
        <f>'A) Base RI'!V76</f>
        <v>1357</v>
      </c>
    </row>
    <row r="77" spans="1:27" x14ac:dyDescent="0.25">
      <c r="A77" s="8">
        <f>'A) Base RI'!A77</f>
        <v>5515</v>
      </c>
      <c r="B77" s="32" t="str">
        <f>'A) Base RI'!B77</f>
        <v>Bretigny-sur-Morrens</v>
      </c>
      <c r="C77" s="10">
        <f>'A) Base RI'!C77+'A) Base RI'!D77</f>
        <v>2296329.58</v>
      </c>
      <c r="D77" s="10">
        <f>'A) Base RI'!W77</f>
        <v>-22673.65</v>
      </c>
      <c r="E77" s="384">
        <f>'A) Base RI'!X77</f>
        <v>0</v>
      </c>
      <c r="F77" s="384">
        <f>'A) Base RI'!Y77</f>
        <v>-48.95</v>
      </c>
      <c r="G77" s="387">
        <f t="shared" si="6"/>
        <v>2273606.98</v>
      </c>
      <c r="H77" s="10">
        <f>+'A) Base RI'!E77</f>
        <v>0</v>
      </c>
      <c r="I77" s="10">
        <f>+'A) Base RI'!F77</f>
        <v>0</v>
      </c>
      <c r="J77" s="10">
        <f>+'A) Base RI'!G77+'A) Base RI'!H77+'A) Base RI'!S77</f>
        <v>26020</v>
      </c>
      <c r="K77" s="10">
        <f>+'A) Base RI'!I77</f>
        <v>0</v>
      </c>
      <c r="L77" s="10">
        <f>+'A) Base RI'!J77</f>
        <v>32009.33</v>
      </c>
      <c r="M77" s="10">
        <f>+'A) Base RI'!K77</f>
        <v>12821.05</v>
      </c>
      <c r="N77" s="10">
        <f>+'A) Base RI'!Q77</f>
        <v>509.96</v>
      </c>
      <c r="O77" s="10">
        <f t="shared" si="7"/>
        <v>178237.15</v>
      </c>
      <c r="P77" s="10">
        <f>+'A) Base RI'!L77</f>
        <v>178237.15</v>
      </c>
      <c r="Q77" s="395">
        <f>'A) Base RI'!Z77</f>
        <v>1</v>
      </c>
      <c r="R77" s="387">
        <f t="shared" si="8"/>
        <v>2523204.4699999997</v>
      </c>
      <c r="S77" s="428">
        <f>+'A) Base RI'!U77</f>
        <v>78</v>
      </c>
      <c r="T77" s="387">
        <f t="shared" si="9"/>
        <v>2332146.27</v>
      </c>
      <c r="U77" s="387">
        <f t="shared" si="10"/>
        <v>32348.775256410252</v>
      </c>
      <c r="V77" s="10">
        <f>+'A) Base RI'!O77</f>
        <v>0</v>
      </c>
      <c r="W77" s="10">
        <f>+'A) Base RI'!P77</f>
        <v>131282.75</v>
      </c>
      <c r="X77" s="10">
        <f>+'A) Base RI'!R77</f>
        <v>67945.399999999994</v>
      </c>
      <c r="Y77" s="387">
        <f t="shared" si="11"/>
        <v>199228.15</v>
      </c>
      <c r="Z77" s="10">
        <f>+'A) Base RI'!N77</f>
        <v>9701.7999999999993</v>
      </c>
      <c r="AA77" s="10">
        <f>'A) Base RI'!V77</f>
        <v>882</v>
      </c>
    </row>
    <row r="78" spans="1:27" x14ac:dyDescent="0.25">
      <c r="A78" s="8">
        <f>'A) Base RI'!A78</f>
        <v>5516</v>
      </c>
      <c r="B78" s="32" t="str">
        <f>'A) Base RI'!B78</f>
        <v>Cugy</v>
      </c>
      <c r="C78" s="10">
        <f>'A) Base RI'!C78+'A) Base RI'!D78</f>
        <v>7749736.7199999997</v>
      </c>
      <c r="D78" s="10">
        <f>'A) Base RI'!W78</f>
        <v>-83943.7</v>
      </c>
      <c r="E78" s="384">
        <f>'A) Base RI'!X78</f>
        <v>0</v>
      </c>
      <c r="F78" s="384">
        <f>'A) Base RI'!Y78</f>
        <v>-2859.82</v>
      </c>
      <c r="G78" s="387">
        <f t="shared" si="6"/>
        <v>7662933.1999999993</v>
      </c>
      <c r="H78" s="10">
        <f>+'A) Base RI'!E78</f>
        <v>0</v>
      </c>
      <c r="I78" s="10">
        <f>+'A) Base RI'!F78</f>
        <v>0</v>
      </c>
      <c r="J78" s="10">
        <f>+'A) Base RI'!G78+'A) Base RI'!H78+'A) Base RI'!S78</f>
        <v>223115.32</v>
      </c>
      <c r="K78" s="10">
        <f>+'A) Base RI'!I78</f>
        <v>82048.100000000006</v>
      </c>
      <c r="L78" s="10">
        <f>+'A) Base RI'!J78</f>
        <v>103872.75</v>
      </c>
      <c r="M78" s="10">
        <f>+'A) Base RI'!K78</f>
        <v>26325.5</v>
      </c>
      <c r="N78" s="10">
        <f>+'A) Base RI'!Q78</f>
        <v>9516.2199999999993</v>
      </c>
      <c r="O78" s="10">
        <f t="shared" si="7"/>
        <v>597372.375</v>
      </c>
      <c r="P78" s="10">
        <f>+'A) Base RI'!L78</f>
        <v>716846.85</v>
      </c>
      <c r="Q78" s="395">
        <f>'A) Base RI'!Z78</f>
        <v>1.2</v>
      </c>
      <c r="R78" s="387">
        <f t="shared" si="8"/>
        <v>8705183.4649999999</v>
      </c>
      <c r="S78" s="428">
        <f>+'A) Base RI'!U78</f>
        <v>78</v>
      </c>
      <c r="T78" s="387">
        <f t="shared" si="9"/>
        <v>8081485.5899999989</v>
      </c>
      <c r="U78" s="387">
        <f t="shared" si="10"/>
        <v>111604.91621794872</v>
      </c>
      <c r="V78" s="10">
        <f>+'A) Base RI'!O78</f>
        <v>11587.7</v>
      </c>
      <c r="W78" s="10">
        <f>+'A) Base RI'!P78</f>
        <v>295046.84999999998</v>
      </c>
      <c r="X78" s="10">
        <f>+'A) Base RI'!R78</f>
        <v>269483</v>
      </c>
      <c r="Y78" s="387">
        <f t="shared" si="11"/>
        <v>576117.55000000005</v>
      </c>
      <c r="Z78" s="10">
        <f>+'A) Base RI'!N78</f>
        <v>98315.199999999997</v>
      </c>
      <c r="AA78" s="10">
        <f>'A) Base RI'!V78</f>
        <v>2733</v>
      </c>
    </row>
    <row r="79" spans="1:27" x14ac:dyDescent="0.25">
      <c r="A79" s="8">
        <f>'A) Base RI'!A79</f>
        <v>5518</v>
      </c>
      <c r="B79" s="32" t="str">
        <f>'A) Base RI'!B79</f>
        <v>Echallens</v>
      </c>
      <c r="C79" s="10">
        <f>'A) Base RI'!C79+'A) Base RI'!D79</f>
        <v>11551913.399999999</v>
      </c>
      <c r="D79" s="10">
        <f>'A) Base RI'!W79</f>
        <v>-144405.91</v>
      </c>
      <c r="E79" s="384">
        <f>'A) Base RI'!X79</f>
        <v>0</v>
      </c>
      <c r="F79" s="384">
        <f>'A) Base RI'!Y79</f>
        <v>-4657.82</v>
      </c>
      <c r="G79" s="387">
        <f t="shared" si="6"/>
        <v>11402849.669999998</v>
      </c>
      <c r="H79" s="10">
        <f>+'A) Base RI'!E79</f>
        <v>0</v>
      </c>
      <c r="I79" s="10">
        <f>+'A) Base RI'!F79</f>
        <v>0</v>
      </c>
      <c r="J79" s="10">
        <f>+'A) Base RI'!G79+'A) Base RI'!H79+'A) Base RI'!S79</f>
        <v>508666.05000000005</v>
      </c>
      <c r="K79" s="10">
        <f>+'A) Base RI'!I79</f>
        <v>0</v>
      </c>
      <c r="L79" s="10">
        <f>+'A) Base RI'!J79</f>
        <v>149018.43</v>
      </c>
      <c r="M79" s="10">
        <f>+'A) Base RI'!K79</f>
        <v>70964.3</v>
      </c>
      <c r="N79" s="10">
        <f>+'A) Base RI'!Q79</f>
        <v>36285.79</v>
      </c>
      <c r="O79" s="10">
        <f t="shared" si="7"/>
        <v>1101927.8500000001</v>
      </c>
      <c r="P79" s="10">
        <f>+'A) Base RI'!L79</f>
        <v>1101927.8500000001</v>
      </c>
      <c r="Q79" s="395">
        <f>'A) Base RI'!Z79</f>
        <v>1</v>
      </c>
      <c r="R79" s="387">
        <f t="shared" si="8"/>
        <v>13269712.089999998</v>
      </c>
      <c r="S79" s="428">
        <f>+'A) Base RI'!U79</f>
        <v>72.5</v>
      </c>
      <c r="T79" s="387">
        <f t="shared" si="9"/>
        <v>12096819.939999998</v>
      </c>
      <c r="U79" s="387">
        <f t="shared" si="10"/>
        <v>183030.51158620688</v>
      </c>
      <c r="V79" s="10">
        <f>+'A) Base RI'!O79</f>
        <v>49670.5</v>
      </c>
      <c r="W79" s="10">
        <f>+'A) Base RI'!P79</f>
        <v>467731</v>
      </c>
      <c r="X79" s="10">
        <f>+'A) Base RI'!R79</f>
        <v>433182.65</v>
      </c>
      <c r="Y79" s="387">
        <f t="shared" si="11"/>
        <v>950584.15</v>
      </c>
      <c r="Z79" s="10">
        <f>+'A) Base RI'!N79</f>
        <v>227029.45</v>
      </c>
      <c r="AA79" s="10">
        <f>'A) Base RI'!V79</f>
        <v>5739</v>
      </c>
    </row>
    <row r="80" spans="1:27" x14ac:dyDescent="0.25">
      <c r="A80" s="8">
        <f>'A) Base RI'!A80</f>
        <v>5520</v>
      </c>
      <c r="B80" s="32" t="str">
        <f>'A) Base RI'!B80</f>
        <v>Essertines-sur-Yverdon</v>
      </c>
      <c r="C80" s="10">
        <f>'A) Base RI'!C80+'A) Base RI'!D80</f>
        <v>2081625.6300000001</v>
      </c>
      <c r="D80" s="10">
        <f>'A) Base RI'!W80</f>
        <v>-50287.94</v>
      </c>
      <c r="E80" s="384">
        <f>'A) Base RI'!X80</f>
        <v>0</v>
      </c>
      <c r="F80" s="384">
        <f>'A) Base RI'!Y80</f>
        <v>-147.56</v>
      </c>
      <c r="G80" s="387">
        <f t="shared" si="6"/>
        <v>2031190.1300000001</v>
      </c>
      <c r="H80" s="10">
        <f>+'A) Base RI'!E80</f>
        <v>0</v>
      </c>
      <c r="I80" s="10">
        <f>+'A) Base RI'!F80</f>
        <v>0</v>
      </c>
      <c r="J80" s="10">
        <f>+'A) Base RI'!G80+'A) Base RI'!H80+'A) Base RI'!S80</f>
        <v>30216.05</v>
      </c>
      <c r="K80" s="10">
        <f>+'A) Base RI'!I80</f>
        <v>0</v>
      </c>
      <c r="L80" s="10">
        <f>+'A) Base RI'!J80</f>
        <v>24016.799999999999</v>
      </c>
      <c r="M80" s="10">
        <f>+'A) Base RI'!K80</f>
        <v>5999.75</v>
      </c>
      <c r="N80" s="10">
        <f>+'A) Base RI'!Q80</f>
        <v>26731.01</v>
      </c>
      <c r="O80" s="10">
        <f t="shared" si="7"/>
        <v>195705.3</v>
      </c>
      <c r="P80" s="10">
        <f>+'A) Base RI'!L80</f>
        <v>195705.3</v>
      </c>
      <c r="Q80" s="395">
        <f>'A) Base RI'!Z80</f>
        <v>1</v>
      </c>
      <c r="R80" s="387">
        <f t="shared" si="8"/>
        <v>2313859.04</v>
      </c>
      <c r="S80" s="428">
        <f>+'A) Base RI'!U80</f>
        <v>73</v>
      </c>
      <c r="T80" s="387">
        <f t="shared" si="9"/>
        <v>2112153.9900000002</v>
      </c>
      <c r="U80" s="387">
        <f t="shared" si="10"/>
        <v>31696.699178082192</v>
      </c>
      <c r="V80" s="10">
        <f>+'A) Base RI'!O80</f>
        <v>0</v>
      </c>
      <c r="W80" s="10">
        <f>+'A) Base RI'!P80</f>
        <v>75823.5</v>
      </c>
      <c r="X80" s="10">
        <f>+'A) Base RI'!R80</f>
        <v>33582.449999999997</v>
      </c>
      <c r="Y80" s="387">
        <f t="shared" si="11"/>
        <v>109405.95</v>
      </c>
      <c r="Z80" s="10">
        <f>+'A) Base RI'!N80</f>
        <v>11223.55</v>
      </c>
      <c r="AA80" s="10">
        <f>'A) Base RI'!V80</f>
        <v>1059</v>
      </c>
    </row>
    <row r="81" spans="1:27" x14ac:dyDescent="0.25">
      <c r="A81" s="8">
        <f>'A) Base RI'!A81</f>
        <v>5521</v>
      </c>
      <c r="B81" s="32" t="str">
        <f>'A) Base RI'!B81</f>
        <v>Etagnières</v>
      </c>
      <c r="C81" s="10">
        <f>'A) Base RI'!C81+'A) Base RI'!D81</f>
        <v>2600178.6999999997</v>
      </c>
      <c r="D81" s="10">
        <f>'A) Base RI'!W81</f>
        <v>-48097.07</v>
      </c>
      <c r="E81" s="384">
        <f>'A) Base RI'!X81</f>
        <v>0</v>
      </c>
      <c r="F81" s="384">
        <f>'A) Base RI'!Y81</f>
        <v>-1329.45</v>
      </c>
      <c r="G81" s="387">
        <f t="shared" si="6"/>
        <v>2550752.1799999997</v>
      </c>
      <c r="H81" s="10">
        <f>+'A) Base RI'!E81</f>
        <v>0</v>
      </c>
      <c r="I81" s="10">
        <f>+'A) Base RI'!F81</f>
        <v>0</v>
      </c>
      <c r="J81" s="10">
        <f>+'A) Base RI'!G81+'A) Base RI'!H81+'A) Base RI'!S81</f>
        <v>189646.43</v>
      </c>
      <c r="K81" s="10">
        <f>+'A) Base RI'!I81</f>
        <v>0</v>
      </c>
      <c r="L81" s="10">
        <f>+'A) Base RI'!J81</f>
        <v>64995.76</v>
      </c>
      <c r="M81" s="10">
        <f>+'A) Base RI'!K81</f>
        <v>17341.25</v>
      </c>
      <c r="N81" s="10">
        <f>+'A) Base RI'!Q81</f>
        <v>25334.83</v>
      </c>
      <c r="O81" s="10">
        <f t="shared" si="7"/>
        <v>265040.45</v>
      </c>
      <c r="P81" s="10">
        <f>+'A) Base RI'!L81</f>
        <v>265040.45</v>
      </c>
      <c r="Q81" s="395">
        <f>'A) Base RI'!Z81</f>
        <v>1</v>
      </c>
      <c r="R81" s="387">
        <f t="shared" si="8"/>
        <v>3113110.9</v>
      </c>
      <c r="S81" s="428">
        <f>+'A) Base RI'!U81</f>
        <v>73</v>
      </c>
      <c r="T81" s="387">
        <f t="shared" si="9"/>
        <v>2830729.1999999997</v>
      </c>
      <c r="U81" s="387">
        <f t="shared" si="10"/>
        <v>42645.35479452055</v>
      </c>
      <c r="V81" s="10">
        <f>+'A) Base RI'!O81</f>
        <v>0</v>
      </c>
      <c r="W81" s="10">
        <f>+'A) Base RI'!P81</f>
        <v>55425.75</v>
      </c>
      <c r="X81" s="10">
        <f>+'A) Base RI'!R81</f>
        <v>177250.5</v>
      </c>
      <c r="Y81" s="387">
        <f t="shared" si="11"/>
        <v>232676.25</v>
      </c>
      <c r="Z81" s="10">
        <f>+'A) Base RI'!N81</f>
        <v>29998</v>
      </c>
      <c r="AA81" s="10">
        <f>'A) Base RI'!V81</f>
        <v>1148</v>
      </c>
    </row>
    <row r="82" spans="1:27" x14ac:dyDescent="0.25">
      <c r="A82" s="8">
        <f>'A) Base RI'!A82</f>
        <v>5522</v>
      </c>
      <c r="B82" s="32" t="str">
        <f>'A) Base RI'!B82</f>
        <v>Fey</v>
      </c>
      <c r="C82" s="10">
        <f>'A) Base RI'!C82+'A) Base RI'!D82</f>
        <v>1603806.68</v>
      </c>
      <c r="D82" s="10">
        <f>'A) Base RI'!W82</f>
        <v>-4006.55</v>
      </c>
      <c r="E82" s="384">
        <f>'A) Base RI'!X82</f>
        <v>0</v>
      </c>
      <c r="F82" s="384">
        <f>'A) Base RI'!Y82</f>
        <v>-45.25</v>
      </c>
      <c r="G82" s="387">
        <f t="shared" si="6"/>
        <v>1599754.88</v>
      </c>
      <c r="H82" s="10">
        <f>+'A) Base RI'!E82</f>
        <v>0</v>
      </c>
      <c r="I82" s="10">
        <f>+'A) Base RI'!F82</f>
        <v>0</v>
      </c>
      <c r="J82" s="10">
        <f>+'A) Base RI'!G82+'A) Base RI'!H82+'A) Base RI'!S82</f>
        <v>21554.030000000002</v>
      </c>
      <c r="K82" s="10">
        <f>+'A) Base RI'!I82</f>
        <v>0</v>
      </c>
      <c r="L82" s="10">
        <f>+'A) Base RI'!J82</f>
        <v>9160.84</v>
      </c>
      <c r="M82" s="10">
        <f>+'A) Base RI'!K82</f>
        <v>4017.55</v>
      </c>
      <c r="N82" s="10">
        <f>+'A) Base RI'!Q82</f>
        <v>15815.26</v>
      </c>
      <c r="O82" s="10">
        <f t="shared" si="7"/>
        <v>144022.39999999999</v>
      </c>
      <c r="P82" s="10">
        <f>+'A) Base RI'!L82</f>
        <v>144022.39999999999</v>
      </c>
      <c r="Q82" s="395">
        <f>'A) Base RI'!Z82</f>
        <v>1</v>
      </c>
      <c r="R82" s="387">
        <f t="shared" si="8"/>
        <v>1794324.96</v>
      </c>
      <c r="S82" s="428">
        <f>+'A) Base RI'!U82</f>
        <v>75</v>
      </c>
      <c r="T82" s="387">
        <f t="shared" si="9"/>
        <v>1646285.01</v>
      </c>
      <c r="U82" s="387">
        <f t="shared" si="10"/>
        <v>23924.3328</v>
      </c>
      <c r="V82" s="10">
        <f>+'A) Base RI'!O82</f>
        <v>234.4</v>
      </c>
      <c r="W82" s="10">
        <f>+'A) Base RI'!P82</f>
        <v>31147.5</v>
      </c>
      <c r="X82" s="10">
        <f>+'A) Base RI'!R82</f>
        <v>37571.1</v>
      </c>
      <c r="Y82" s="387">
        <f t="shared" si="11"/>
        <v>68953</v>
      </c>
      <c r="Z82" s="10">
        <f>+'A) Base RI'!N82</f>
        <v>26174.95</v>
      </c>
      <c r="AA82" s="10">
        <f>'A) Base RI'!V82</f>
        <v>754</v>
      </c>
    </row>
    <row r="83" spans="1:27" x14ac:dyDescent="0.25">
      <c r="A83" s="8">
        <f>'A) Base RI'!A83</f>
        <v>5523</v>
      </c>
      <c r="B83" s="32" t="str">
        <f>'A) Base RI'!B83</f>
        <v>Froideville</v>
      </c>
      <c r="C83" s="10">
        <f>'A) Base RI'!C83+'A) Base RI'!D83</f>
        <v>6024252.0999999996</v>
      </c>
      <c r="D83" s="10">
        <f>'A) Base RI'!W83</f>
        <v>-63743.97</v>
      </c>
      <c r="E83" s="384">
        <f>'A) Base RI'!X83</f>
        <v>0</v>
      </c>
      <c r="F83" s="384">
        <f>'A) Base RI'!Y83</f>
        <v>-1275.46</v>
      </c>
      <c r="G83" s="387">
        <f t="shared" si="6"/>
        <v>5959232.6699999999</v>
      </c>
      <c r="H83" s="10">
        <f>+'A) Base RI'!E83</f>
        <v>0</v>
      </c>
      <c r="I83" s="10">
        <f>+'A) Base RI'!F83</f>
        <v>15640</v>
      </c>
      <c r="J83" s="10">
        <f>+'A) Base RI'!G83+'A) Base RI'!H83+'A) Base RI'!S83</f>
        <v>123288.27</v>
      </c>
      <c r="K83" s="10">
        <f>+'A) Base RI'!I83</f>
        <v>0</v>
      </c>
      <c r="L83" s="10">
        <f>+'A) Base RI'!J83</f>
        <v>78967.53</v>
      </c>
      <c r="M83" s="10">
        <f>+'A) Base RI'!K83</f>
        <v>29608.05</v>
      </c>
      <c r="N83" s="10">
        <f>+'A) Base RI'!Q83</f>
        <v>11243</v>
      </c>
      <c r="O83" s="10">
        <f t="shared" si="7"/>
        <v>531378.64</v>
      </c>
      <c r="P83" s="10">
        <f>+'A) Base RI'!L83</f>
        <v>664223.30000000005</v>
      </c>
      <c r="Q83" s="395">
        <f>'A) Base RI'!Z83</f>
        <v>1.25</v>
      </c>
      <c r="R83" s="387">
        <f t="shared" si="8"/>
        <v>6749358.1599999992</v>
      </c>
      <c r="S83" s="428">
        <f>+'A) Base RI'!U83</f>
        <v>72</v>
      </c>
      <c r="T83" s="387">
        <f t="shared" si="9"/>
        <v>6172731.4699999997</v>
      </c>
      <c r="U83" s="387">
        <f t="shared" si="10"/>
        <v>93741.085555555546</v>
      </c>
      <c r="V83" s="10">
        <f>+'A) Base RI'!O83</f>
        <v>0</v>
      </c>
      <c r="W83" s="10">
        <f>+'A) Base RI'!P83</f>
        <v>179861</v>
      </c>
      <c r="X83" s="10">
        <f>+'A) Base RI'!R83</f>
        <v>826824.4</v>
      </c>
      <c r="Y83" s="387">
        <f t="shared" si="11"/>
        <v>1006685.4</v>
      </c>
      <c r="Z83" s="10">
        <f>+'A) Base RI'!N83</f>
        <v>6648.85</v>
      </c>
      <c r="AA83" s="10">
        <f>'A) Base RI'!V83</f>
        <v>2673</v>
      </c>
    </row>
    <row r="84" spans="1:27" x14ac:dyDescent="0.25">
      <c r="A84" s="8">
        <f>'A) Base RI'!A84</f>
        <v>5527</v>
      </c>
      <c r="B84" s="32" t="str">
        <f>'A) Base RI'!B84</f>
        <v>Morrens</v>
      </c>
      <c r="C84" s="10">
        <f>'A) Base RI'!C84+'A) Base RI'!D84</f>
        <v>2656696.2199999997</v>
      </c>
      <c r="D84" s="10">
        <f>'A) Base RI'!W84</f>
        <v>-29012.71</v>
      </c>
      <c r="E84" s="384">
        <f>'A) Base RI'!X84</f>
        <v>0</v>
      </c>
      <c r="F84" s="384">
        <f>'A) Base RI'!Y84</f>
        <v>-111</v>
      </c>
      <c r="G84" s="387">
        <f t="shared" si="6"/>
        <v>2627572.5099999998</v>
      </c>
      <c r="H84" s="10">
        <f>+'A) Base RI'!E84</f>
        <v>0</v>
      </c>
      <c r="I84" s="10">
        <f>+'A) Base RI'!F84</f>
        <v>0</v>
      </c>
      <c r="J84" s="10">
        <f>+'A) Base RI'!G84+'A) Base RI'!H84+'A) Base RI'!S84</f>
        <v>6432.93</v>
      </c>
      <c r="K84" s="10">
        <f>+'A) Base RI'!I84</f>
        <v>0</v>
      </c>
      <c r="L84" s="10">
        <f>+'A) Base RI'!J84</f>
        <v>33555.919999999998</v>
      </c>
      <c r="M84" s="10">
        <f>+'A) Base RI'!K84</f>
        <v>-2491.75</v>
      </c>
      <c r="N84" s="10">
        <f>+'A) Base RI'!Q84</f>
        <v>432.99</v>
      </c>
      <c r="O84" s="10">
        <f t="shared" si="7"/>
        <v>243459.75</v>
      </c>
      <c r="P84" s="10">
        <f>+'A) Base RI'!L84</f>
        <v>243459.75</v>
      </c>
      <c r="Q84" s="395">
        <f>'A) Base RI'!Z84</f>
        <v>1</v>
      </c>
      <c r="R84" s="387">
        <f t="shared" si="8"/>
        <v>2908962.35</v>
      </c>
      <c r="S84" s="428">
        <f>+'A) Base RI'!U84</f>
        <v>74</v>
      </c>
      <c r="T84" s="387">
        <f t="shared" si="9"/>
        <v>2667994.35</v>
      </c>
      <c r="U84" s="387">
        <f t="shared" si="10"/>
        <v>39310.302027027028</v>
      </c>
      <c r="V84" s="10">
        <f>+'A) Base RI'!O84</f>
        <v>0</v>
      </c>
      <c r="W84" s="10">
        <f>+'A) Base RI'!P84</f>
        <v>141512.70000000001</v>
      </c>
      <c r="X84" s="10">
        <f>+'A) Base RI'!R84</f>
        <v>117659.35</v>
      </c>
      <c r="Y84" s="387">
        <f t="shared" si="11"/>
        <v>259172.05000000002</v>
      </c>
      <c r="Z84" s="10">
        <f>+'A) Base RI'!N84</f>
        <v>10850.5</v>
      </c>
      <c r="AA84" s="10">
        <f>'A) Base RI'!V84</f>
        <v>1156</v>
      </c>
    </row>
    <row r="85" spans="1:27" x14ac:dyDescent="0.25">
      <c r="A85" s="8">
        <f>'A) Base RI'!A85</f>
        <v>5529</v>
      </c>
      <c r="B85" s="32" t="str">
        <f>'A) Base RI'!B85</f>
        <v>Oulens-sous-Echallens</v>
      </c>
      <c r="C85" s="10">
        <f>'A) Base RI'!C85+'A) Base RI'!D85</f>
        <v>1344002.45</v>
      </c>
      <c r="D85" s="10">
        <f>'A) Base RI'!W85</f>
        <v>-17823.47</v>
      </c>
      <c r="E85" s="384">
        <f>'A) Base RI'!X85</f>
        <v>0</v>
      </c>
      <c r="F85" s="384">
        <f>'A) Base RI'!Y85</f>
        <v>-28.32</v>
      </c>
      <c r="G85" s="387">
        <f t="shared" si="6"/>
        <v>1326150.6599999999</v>
      </c>
      <c r="H85" s="10">
        <f>+'A) Base RI'!E85</f>
        <v>0</v>
      </c>
      <c r="I85" s="10">
        <f>+'A) Base RI'!F85</f>
        <v>0</v>
      </c>
      <c r="J85" s="10">
        <f>+'A) Base RI'!G85+'A) Base RI'!H85+'A) Base RI'!S85</f>
        <v>3596.39</v>
      </c>
      <c r="K85" s="10">
        <f>+'A) Base RI'!I85</f>
        <v>0</v>
      </c>
      <c r="L85" s="10">
        <f>+'A) Base RI'!J85</f>
        <v>20148.03</v>
      </c>
      <c r="M85" s="10">
        <f>+'A) Base RI'!K85</f>
        <v>3248.55</v>
      </c>
      <c r="N85" s="10">
        <f>+'A) Base RI'!Q85</f>
        <v>0</v>
      </c>
      <c r="O85" s="10">
        <f t="shared" si="7"/>
        <v>128212.6</v>
      </c>
      <c r="P85" s="10">
        <f>+'A) Base RI'!L85</f>
        <v>128212.6</v>
      </c>
      <c r="Q85" s="395">
        <f>'A) Base RI'!Z85</f>
        <v>1</v>
      </c>
      <c r="R85" s="387">
        <f t="shared" si="8"/>
        <v>1481356.23</v>
      </c>
      <c r="S85" s="428">
        <f>+'A) Base RI'!U85</f>
        <v>70</v>
      </c>
      <c r="T85" s="387">
        <f t="shared" si="9"/>
        <v>1349895.0799999998</v>
      </c>
      <c r="U85" s="387">
        <f t="shared" si="10"/>
        <v>21162.231857142859</v>
      </c>
      <c r="V85" s="10">
        <f>+'A) Base RI'!O85</f>
        <v>0</v>
      </c>
      <c r="W85" s="10">
        <f>+'A) Base RI'!P85</f>
        <v>95966.45</v>
      </c>
      <c r="X85" s="10">
        <f>+'A) Base RI'!R85</f>
        <v>189871.3</v>
      </c>
      <c r="Y85" s="387">
        <f t="shared" si="11"/>
        <v>285837.75</v>
      </c>
      <c r="Z85" s="10">
        <f>+'A) Base RI'!N85</f>
        <v>0</v>
      </c>
      <c r="AA85" s="10">
        <f>'A) Base RI'!V85</f>
        <v>619</v>
      </c>
    </row>
    <row r="86" spans="1:27" x14ac:dyDescent="0.25">
      <c r="A86" s="8">
        <f>'A) Base RI'!A86</f>
        <v>5530</v>
      </c>
      <c r="B86" s="32" t="str">
        <f>'A) Base RI'!B86</f>
        <v>Pailly</v>
      </c>
      <c r="C86" s="10">
        <f>'A) Base RI'!C86+'A) Base RI'!D86</f>
        <v>1361314.42</v>
      </c>
      <c r="D86" s="10">
        <f>'A) Base RI'!W86</f>
        <v>-16302.61</v>
      </c>
      <c r="E86" s="384">
        <f>'A) Base RI'!X86</f>
        <v>0</v>
      </c>
      <c r="F86" s="384">
        <f>'A) Base RI'!Y86</f>
        <v>-90.34</v>
      </c>
      <c r="G86" s="387">
        <f t="shared" si="6"/>
        <v>1344921.4699999997</v>
      </c>
      <c r="H86" s="10">
        <f>+'A) Base RI'!E86</f>
        <v>0</v>
      </c>
      <c r="I86" s="10">
        <f>+'A) Base RI'!F86</f>
        <v>0</v>
      </c>
      <c r="J86" s="10">
        <f>+'A) Base RI'!G86+'A) Base RI'!H86+'A) Base RI'!S86</f>
        <v>-1871.5600000000002</v>
      </c>
      <c r="K86" s="10">
        <f>+'A) Base RI'!I86</f>
        <v>0</v>
      </c>
      <c r="L86" s="10">
        <f>+'A) Base RI'!J86</f>
        <v>12489.9</v>
      </c>
      <c r="M86" s="10">
        <f>+'A) Base RI'!K86</f>
        <v>847.5</v>
      </c>
      <c r="N86" s="10">
        <f>+'A) Base RI'!Q86</f>
        <v>0</v>
      </c>
      <c r="O86" s="10">
        <f t="shared" si="7"/>
        <v>110858.04166666667</v>
      </c>
      <c r="P86" s="10">
        <f>+'A) Base RI'!L86</f>
        <v>133029.65</v>
      </c>
      <c r="Q86" s="395">
        <f>'A) Base RI'!Z86</f>
        <v>1.2</v>
      </c>
      <c r="R86" s="387">
        <f t="shared" si="8"/>
        <v>1467245.3516666663</v>
      </c>
      <c r="S86" s="428">
        <f>+'A) Base RI'!U86</f>
        <v>76</v>
      </c>
      <c r="T86" s="387">
        <f t="shared" si="9"/>
        <v>1355539.8099999996</v>
      </c>
      <c r="U86" s="387">
        <f t="shared" si="10"/>
        <v>19305.859890350872</v>
      </c>
      <c r="V86" s="10">
        <f>+'A) Base RI'!O86</f>
        <v>75442.5</v>
      </c>
      <c r="W86" s="10">
        <f>+'A) Base RI'!P86</f>
        <v>33943.35</v>
      </c>
      <c r="X86" s="10">
        <f>+'A) Base RI'!R86</f>
        <v>3231.1</v>
      </c>
      <c r="Y86" s="387">
        <f t="shared" si="11"/>
        <v>112616.95000000001</v>
      </c>
      <c r="Z86" s="10">
        <f>+'A) Base RI'!N86</f>
        <v>19384.099999999999</v>
      </c>
      <c r="AA86" s="10">
        <f>'A) Base RI'!V86</f>
        <v>575</v>
      </c>
    </row>
    <row r="87" spans="1:27" x14ac:dyDescent="0.25">
      <c r="A87" s="8">
        <f>'A) Base RI'!A87</f>
        <v>5531</v>
      </c>
      <c r="B87" s="32" t="str">
        <f>'A) Base RI'!B87</f>
        <v>Penthéréaz</v>
      </c>
      <c r="C87" s="10">
        <f>'A) Base RI'!C87+'A) Base RI'!D87</f>
        <v>951279.59</v>
      </c>
      <c r="D87" s="10">
        <f>'A) Base RI'!W87</f>
        <v>-984.26</v>
      </c>
      <c r="E87" s="384">
        <f>'A) Base RI'!X87</f>
        <v>0</v>
      </c>
      <c r="F87" s="384">
        <f>'A) Base RI'!Y87</f>
        <v>-118.71</v>
      </c>
      <c r="G87" s="387">
        <f t="shared" si="6"/>
        <v>950176.62</v>
      </c>
      <c r="H87" s="10">
        <f>+'A) Base RI'!E87</f>
        <v>0</v>
      </c>
      <c r="I87" s="10">
        <f>+'A) Base RI'!F87</f>
        <v>0</v>
      </c>
      <c r="J87" s="10">
        <f>+'A) Base RI'!G87+'A) Base RI'!H87+'A) Base RI'!S87</f>
        <v>7121.48</v>
      </c>
      <c r="K87" s="10">
        <f>+'A) Base RI'!I87</f>
        <v>0</v>
      </c>
      <c r="L87" s="10">
        <f>+'A) Base RI'!J87</f>
        <v>16344.72</v>
      </c>
      <c r="M87" s="10">
        <f>+'A) Base RI'!K87</f>
        <v>1130.3</v>
      </c>
      <c r="N87" s="10">
        <f>+'A) Base RI'!Q87</f>
        <v>469.37</v>
      </c>
      <c r="O87" s="10">
        <f t="shared" si="7"/>
        <v>83018</v>
      </c>
      <c r="P87" s="10">
        <f>+'A) Base RI'!L87</f>
        <v>83018</v>
      </c>
      <c r="Q87" s="395">
        <f>'A) Base RI'!Z87</f>
        <v>1</v>
      </c>
      <c r="R87" s="387">
        <f t="shared" si="8"/>
        <v>1058260.49</v>
      </c>
      <c r="S87" s="428">
        <f>+'A) Base RI'!U87</f>
        <v>74</v>
      </c>
      <c r="T87" s="387">
        <f t="shared" si="9"/>
        <v>974112.19</v>
      </c>
      <c r="U87" s="387">
        <f t="shared" si="10"/>
        <v>14300.817432432432</v>
      </c>
      <c r="V87" s="10">
        <f>+'A) Base RI'!O87</f>
        <v>0</v>
      </c>
      <c r="W87" s="10">
        <f>+'A) Base RI'!P87</f>
        <v>74749.649999999994</v>
      </c>
      <c r="X87" s="10">
        <f>+'A) Base RI'!R87</f>
        <v>35131.75</v>
      </c>
      <c r="Y87" s="387">
        <f t="shared" si="11"/>
        <v>109881.4</v>
      </c>
      <c r="Z87" s="10">
        <f>+'A) Base RI'!N87</f>
        <v>23410.5</v>
      </c>
      <c r="AA87" s="10">
        <f>'A) Base RI'!V87</f>
        <v>417</v>
      </c>
    </row>
    <row r="88" spans="1:27" x14ac:dyDescent="0.25">
      <c r="A88" s="8">
        <f>'A) Base RI'!A88</f>
        <v>5533</v>
      </c>
      <c r="B88" s="32" t="str">
        <f>'A) Base RI'!B88</f>
        <v>Poliez-Pittet</v>
      </c>
      <c r="C88" s="10">
        <f>'A) Base RI'!C88+'A) Base RI'!D88</f>
        <v>1728508.7</v>
      </c>
      <c r="D88" s="10">
        <f>'A) Base RI'!W88</f>
        <v>-30247.360000000001</v>
      </c>
      <c r="E88" s="384">
        <f>'A) Base RI'!X88</f>
        <v>0</v>
      </c>
      <c r="F88" s="384">
        <f>'A) Base RI'!Y88</f>
        <v>-170.62</v>
      </c>
      <c r="G88" s="387">
        <f t="shared" si="6"/>
        <v>1698090.7199999997</v>
      </c>
      <c r="H88" s="10">
        <f>+'A) Base RI'!E88</f>
        <v>0</v>
      </c>
      <c r="I88" s="10">
        <f>+'A) Base RI'!F88</f>
        <v>0</v>
      </c>
      <c r="J88" s="10">
        <f>+'A) Base RI'!G88+'A) Base RI'!H88+'A) Base RI'!S88</f>
        <v>149117.22999999998</v>
      </c>
      <c r="K88" s="10">
        <f>+'A) Base RI'!I88</f>
        <v>0</v>
      </c>
      <c r="L88" s="10">
        <f>+'A) Base RI'!J88</f>
        <v>2679.43</v>
      </c>
      <c r="M88" s="10">
        <f>+'A) Base RI'!K88</f>
        <v>10363.25</v>
      </c>
      <c r="N88" s="10">
        <f>+'A) Base RI'!Q88</f>
        <v>1153.5</v>
      </c>
      <c r="O88" s="10">
        <f t="shared" si="7"/>
        <v>146244.20000000001</v>
      </c>
      <c r="P88" s="10">
        <f>+'A) Base RI'!L88</f>
        <v>146244.20000000001</v>
      </c>
      <c r="Q88" s="395">
        <f>'A) Base RI'!Z88</f>
        <v>1</v>
      </c>
      <c r="R88" s="387">
        <f t="shared" si="8"/>
        <v>2007648.3299999996</v>
      </c>
      <c r="S88" s="428">
        <f>+'A) Base RI'!U88</f>
        <v>73</v>
      </c>
      <c r="T88" s="387">
        <f t="shared" si="9"/>
        <v>1851040.8799999997</v>
      </c>
      <c r="U88" s="387">
        <f t="shared" si="10"/>
        <v>27502.031917808214</v>
      </c>
      <c r="V88" s="10">
        <f>+'A) Base RI'!O88</f>
        <v>12776.7</v>
      </c>
      <c r="W88" s="10">
        <f>+'A) Base RI'!P88</f>
        <v>11264</v>
      </c>
      <c r="X88" s="10">
        <f>+'A) Base RI'!R88</f>
        <v>6227.8</v>
      </c>
      <c r="Y88" s="387">
        <f t="shared" si="11"/>
        <v>30268.5</v>
      </c>
      <c r="Z88" s="10">
        <f>+'A) Base RI'!N88</f>
        <v>4072.25</v>
      </c>
      <c r="AA88" s="10">
        <f>'A) Base RI'!V88</f>
        <v>833</v>
      </c>
    </row>
    <row r="89" spans="1:27" x14ac:dyDescent="0.25">
      <c r="A89" s="8">
        <f>'A) Base RI'!A89</f>
        <v>5534</v>
      </c>
      <c r="B89" s="32" t="str">
        <f>'A) Base RI'!B89</f>
        <v>Rueyres</v>
      </c>
      <c r="C89" s="10">
        <f>'A) Base RI'!C89+'A) Base RI'!D89</f>
        <v>676081.73</v>
      </c>
      <c r="D89" s="10">
        <f>'A) Base RI'!W89</f>
        <v>-9983.39</v>
      </c>
      <c r="E89" s="384">
        <f>'A) Base RI'!X89</f>
        <v>0</v>
      </c>
      <c r="F89" s="384">
        <f>'A) Base RI'!Y89</f>
        <v>-7.73</v>
      </c>
      <c r="G89" s="387">
        <f t="shared" si="6"/>
        <v>666090.61</v>
      </c>
      <c r="H89" s="10">
        <f>+'A) Base RI'!E89</f>
        <v>0</v>
      </c>
      <c r="I89" s="10">
        <f>+'A) Base RI'!F89</f>
        <v>0</v>
      </c>
      <c r="J89" s="10">
        <f>+'A) Base RI'!G89+'A) Base RI'!H89+'A) Base RI'!S89</f>
        <v>189602.12</v>
      </c>
      <c r="K89" s="10">
        <f>+'A) Base RI'!I89</f>
        <v>0</v>
      </c>
      <c r="L89" s="10">
        <f>+'A) Base RI'!J89</f>
        <v>16118.93</v>
      </c>
      <c r="M89" s="10">
        <f>+'A) Base RI'!K89</f>
        <v>907</v>
      </c>
      <c r="N89" s="10">
        <f>+'A) Base RI'!Q89</f>
        <v>3702.83</v>
      </c>
      <c r="O89" s="10">
        <f t="shared" si="7"/>
        <v>80388.916666666672</v>
      </c>
      <c r="P89" s="10">
        <f>+'A) Base RI'!L89</f>
        <v>96466.7</v>
      </c>
      <c r="Q89" s="395">
        <f>'A) Base RI'!Z89</f>
        <v>1.2</v>
      </c>
      <c r="R89" s="387">
        <f t="shared" si="8"/>
        <v>956810.40666666662</v>
      </c>
      <c r="S89" s="428">
        <f>+'A) Base RI'!U89</f>
        <v>73</v>
      </c>
      <c r="T89" s="387">
        <f t="shared" si="9"/>
        <v>875514.49</v>
      </c>
      <c r="U89" s="387">
        <f t="shared" si="10"/>
        <v>13106.991872146118</v>
      </c>
      <c r="V89" s="10">
        <f>+'A) Base RI'!O89</f>
        <v>1502.5</v>
      </c>
      <c r="W89" s="10">
        <f>+'A) Base RI'!P89</f>
        <v>56309.15</v>
      </c>
      <c r="X89" s="10">
        <f>+'A) Base RI'!R89</f>
        <v>46442</v>
      </c>
      <c r="Y89" s="387">
        <f t="shared" si="11"/>
        <v>104253.65</v>
      </c>
      <c r="Z89" s="10">
        <f>+'A) Base RI'!N89</f>
        <v>30156.05</v>
      </c>
      <c r="AA89" s="10">
        <f>'A) Base RI'!V89</f>
        <v>304</v>
      </c>
    </row>
    <row r="90" spans="1:27" x14ac:dyDescent="0.25">
      <c r="A90" s="8">
        <f>'A) Base RI'!A90</f>
        <v>5535</v>
      </c>
      <c r="B90" s="32" t="str">
        <f>'A) Base RI'!B90</f>
        <v>Saint-Barthélemy</v>
      </c>
      <c r="C90" s="10">
        <f>'A) Base RI'!C90+'A) Base RI'!D90</f>
        <v>1707805.1099999999</v>
      </c>
      <c r="D90" s="10">
        <f>'A) Base RI'!W90</f>
        <v>-16801.96</v>
      </c>
      <c r="E90" s="384">
        <f>'A) Base RI'!X90</f>
        <v>0</v>
      </c>
      <c r="F90" s="384">
        <f>'A) Base RI'!Y90</f>
        <v>-48.07</v>
      </c>
      <c r="G90" s="387">
        <f t="shared" si="6"/>
        <v>1690955.0799999998</v>
      </c>
      <c r="H90" s="10">
        <f>+'A) Base RI'!E90</f>
        <v>0</v>
      </c>
      <c r="I90" s="10">
        <f>+'A) Base RI'!F90</f>
        <v>0</v>
      </c>
      <c r="J90" s="10">
        <f>+'A) Base RI'!G90+'A) Base RI'!H90+'A) Base RI'!S90</f>
        <v>6831.0299999999988</v>
      </c>
      <c r="K90" s="10">
        <f>+'A) Base RI'!I90</f>
        <v>0</v>
      </c>
      <c r="L90" s="10">
        <f>+'A) Base RI'!J90</f>
        <v>24603.42</v>
      </c>
      <c r="M90" s="10">
        <f>+'A) Base RI'!K90</f>
        <v>1575.8</v>
      </c>
      <c r="N90" s="10">
        <f>+'A) Base RI'!Q90</f>
        <v>8960.16</v>
      </c>
      <c r="O90" s="10">
        <f t="shared" si="7"/>
        <v>148098.4</v>
      </c>
      <c r="P90" s="10">
        <f>+'A) Base RI'!L90</f>
        <v>148098.4</v>
      </c>
      <c r="Q90" s="395">
        <f>'A) Base RI'!Z90</f>
        <v>1</v>
      </c>
      <c r="R90" s="387">
        <f t="shared" si="8"/>
        <v>1881023.8899999997</v>
      </c>
      <c r="S90" s="428">
        <f>+'A) Base RI'!U90</f>
        <v>75</v>
      </c>
      <c r="T90" s="387">
        <f t="shared" si="9"/>
        <v>1731349.6899999997</v>
      </c>
      <c r="U90" s="387">
        <f t="shared" si="10"/>
        <v>25080.318533333328</v>
      </c>
      <c r="V90" s="10">
        <f>+'A) Base RI'!O90</f>
        <v>502.9</v>
      </c>
      <c r="W90" s="10">
        <f>+'A) Base RI'!P90</f>
        <v>32904.15</v>
      </c>
      <c r="X90" s="10">
        <f>+'A) Base RI'!R90</f>
        <v>62868.1</v>
      </c>
      <c r="Y90" s="387">
        <f t="shared" si="11"/>
        <v>96275.15</v>
      </c>
      <c r="Z90" s="10">
        <f>+'A) Base RI'!N90</f>
        <v>43807.25</v>
      </c>
      <c r="AA90" s="10">
        <f>'A) Base RI'!V90</f>
        <v>809</v>
      </c>
    </row>
    <row r="91" spans="1:27" x14ac:dyDescent="0.25">
      <c r="A91" s="8">
        <f>'A) Base RI'!A91</f>
        <v>5537</v>
      </c>
      <c r="B91" s="32" t="str">
        <f>'A) Base RI'!B91</f>
        <v>Villars-le-Terroir</v>
      </c>
      <c r="C91" s="10">
        <f>'A) Base RI'!C91+'A) Base RI'!D91</f>
        <v>3026329.73</v>
      </c>
      <c r="D91" s="10">
        <f>'A) Base RI'!W91</f>
        <v>-64205.39</v>
      </c>
      <c r="E91" s="384">
        <f>'A) Base RI'!X91</f>
        <v>0</v>
      </c>
      <c r="F91" s="384">
        <f>'A) Base RI'!Y91</f>
        <v>-100.48</v>
      </c>
      <c r="G91" s="387">
        <f t="shared" si="6"/>
        <v>2962023.86</v>
      </c>
      <c r="H91" s="10">
        <f>+'A) Base RI'!E91</f>
        <v>0</v>
      </c>
      <c r="I91" s="10">
        <f>+'A) Base RI'!F91</f>
        <v>7390</v>
      </c>
      <c r="J91" s="10">
        <f>+'A) Base RI'!G91+'A) Base RI'!H91+'A) Base RI'!S91</f>
        <v>17383.14</v>
      </c>
      <c r="K91" s="10">
        <f>+'A) Base RI'!I91</f>
        <v>0</v>
      </c>
      <c r="L91" s="10">
        <f>+'A) Base RI'!J91</f>
        <v>20564.37</v>
      </c>
      <c r="M91" s="10">
        <f>+'A) Base RI'!K91</f>
        <v>3191.5</v>
      </c>
      <c r="N91" s="10">
        <f>+'A) Base RI'!Q91</f>
        <v>9549.9500000000007</v>
      </c>
      <c r="O91" s="10">
        <f t="shared" si="7"/>
        <v>241651.20000000001</v>
      </c>
      <c r="P91" s="10">
        <f>+'A) Base RI'!L91</f>
        <v>241651.20000000001</v>
      </c>
      <c r="Q91" s="395">
        <f>'A) Base RI'!Z91</f>
        <v>1</v>
      </c>
      <c r="R91" s="387">
        <f t="shared" si="8"/>
        <v>3261754.0200000005</v>
      </c>
      <c r="S91" s="428">
        <f>+'A) Base RI'!U91</f>
        <v>76</v>
      </c>
      <c r="T91" s="387">
        <f t="shared" si="9"/>
        <v>3009521.3200000003</v>
      </c>
      <c r="U91" s="387">
        <f t="shared" si="10"/>
        <v>42917.816052631584</v>
      </c>
      <c r="V91" s="10">
        <f>+'A) Base RI'!O91</f>
        <v>9485.5</v>
      </c>
      <c r="W91" s="10">
        <f>+'A) Base RI'!P91</f>
        <v>72160</v>
      </c>
      <c r="X91" s="10">
        <f>+'A) Base RI'!R91</f>
        <v>31601.7</v>
      </c>
      <c r="Y91" s="387">
        <f t="shared" si="11"/>
        <v>113247.2</v>
      </c>
      <c r="Z91" s="10">
        <f>+'A) Base RI'!N91</f>
        <v>2823.5</v>
      </c>
      <c r="AA91" s="10">
        <f>'A) Base RI'!V91</f>
        <v>1316</v>
      </c>
    </row>
    <row r="92" spans="1:27" x14ac:dyDescent="0.25">
      <c r="A92" s="8">
        <f>'A) Base RI'!A92</f>
        <v>5539</v>
      </c>
      <c r="B92" s="32" t="str">
        <f>'A) Base RI'!B92</f>
        <v>Vuarrens</v>
      </c>
      <c r="C92" s="10">
        <f>'A) Base RI'!C92+'A) Base RI'!D92</f>
        <v>2253974.0499999998</v>
      </c>
      <c r="D92" s="10">
        <f>'A) Base RI'!W92</f>
        <v>-30262.43</v>
      </c>
      <c r="E92" s="384">
        <f>'A) Base RI'!X92</f>
        <v>0</v>
      </c>
      <c r="F92" s="384">
        <f>'A) Base RI'!Y92</f>
        <v>-64.599999999999994</v>
      </c>
      <c r="G92" s="387">
        <f t="shared" si="6"/>
        <v>2223647.0199999996</v>
      </c>
      <c r="H92" s="10">
        <f>+'A) Base RI'!E92</f>
        <v>0</v>
      </c>
      <c r="I92" s="10">
        <f>+'A) Base RI'!F92</f>
        <v>0</v>
      </c>
      <c r="J92" s="10">
        <f>+'A) Base RI'!G92+'A) Base RI'!H92+'A) Base RI'!S92</f>
        <v>28879.300000000003</v>
      </c>
      <c r="K92" s="10">
        <f>+'A) Base RI'!I92</f>
        <v>0</v>
      </c>
      <c r="L92" s="10">
        <f>+'A) Base RI'!J92</f>
        <v>29378.59</v>
      </c>
      <c r="M92" s="10">
        <f>+'A) Base RI'!K92</f>
        <v>4278.3</v>
      </c>
      <c r="N92" s="10">
        <f>+'A) Base RI'!Q92</f>
        <v>58365.03</v>
      </c>
      <c r="O92" s="10">
        <f t="shared" si="7"/>
        <v>195468.25</v>
      </c>
      <c r="P92" s="10">
        <f>+'A) Base RI'!L92</f>
        <v>156374.6</v>
      </c>
      <c r="Q92" s="395">
        <f>'A) Base RI'!Z92</f>
        <v>0.8</v>
      </c>
      <c r="R92" s="387">
        <f t="shared" si="8"/>
        <v>2540016.4899999988</v>
      </c>
      <c r="S92" s="428">
        <f>+'A) Base RI'!U92</f>
        <v>73.5</v>
      </c>
      <c r="T92" s="387">
        <f t="shared" si="9"/>
        <v>2340269.939999999</v>
      </c>
      <c r="U92" s="387">
        <f t="shared" si="10"/>
        <v>34558.047482993185</v>
      </c>
      <c r="V92" s="10">
        <f>+'A) Base RI'!O92</f>
        <v>151480</v>
      </c>
      <c r="W92" s="10">
        <f>+'A) Base RI'!P92</f>
        <v>54638.65</v>
      </c>
      <c r="X92" s="10">
        <f>+'A) Base RI'!R92</f>
        <v>33777.300000000003</v>
      </c>
      <c r="Y92" s="387">
        <f t="shared" si="11"/>
        <v>239895.95</v>
      </c>
      <c r="Z92" s="10">
        <f>+'A) Base RI'!N92</f>
        <v>17971.5</v>
      </c>
      <c r="AA92" s="10">
        <f>'A) Base RI'!V92</f>
        <v>1097</v>
      </c>
    </row>
    <row r="93" spans="1:27" x14ac:dyDescent="0.25">
      <c r="A93" s="8">
        <f>'A) Base RI'!A93</f>
        <v>5540</v>
      </c>
      <c r="B93" s="32" t="str">
        <f>'A) Base RI'!B93</f>
        <v>Montilliez</v>
      </c>
      <c r="C93" s="10">
        <f>'A) Base RI'!C93+'A) Base RI'!D93</f>
        <v>4058277.16</v>
      </c>
      <c r="D93" s="10">
        <f>'A) Base RI'!W93</f>
        <v>-37361.97</v>
      </c>
      <c r="E93" s="384">
        <f>'A) Base RI'!X93</f>
        <v>0</v>
      </c>
      <c r="F93" s="384">
        <f>'A) Base RI'!Y93</f>
        <v>-404.05</v>
      </c>
      <c r="G93" s="387">
        <f t="shared" si="6"/>
        <v>4020511.14</v>
      </c>
      <c r="H93" s="10">
        <f>+'A) Base RI'!E93</f>
        <v>0</v>
      </c>
      <c r="I93" s="10">
        <f>+'A) Base RI'!F93</f>
        <v>0</v>
      </c>
      <c r="J93" s="10">
        <f>+'A) Base RI'!G93+'A) Base RI'!H93+'A) Base RI'!S93</f>
        <v>153810.18999999997</v>
      </c>
      <c r="K93" s="10">
        <f>+'A) Base RI'!I93</f>
        <v>0</v>
      </c>
      <c r="L93" s="10">
        <f>+'A) Base RI'!J93</f>
        <v>46256.83</v>
      </c>
      <c r="M93" s="10">
        <f>+'A) Base RI'!K93</f>
        <v>12051.5</v>
      </c>
      <c r="N93" s="10">
        <f>+'A) Base RI'!Q93</f>
        <v>5243.6</v>
      </c>
      <c r="O93" s="10">
        <f t="shared" si="7"/>
        <v>352536.06249999994</v>
      </c>
      <c r="P93" s="10">
        <f>+'A) Base RI'!L93</f>
        <v>282028.84999999998</v>
      </c>
      <c r="Q93" s="395">
        <f>'A) Base RI'!Z93</f>
        <v>0.8</v>
      </c>
      <c r="R93" s="387">
        <f t="shared" si="8"/>
        <v>4590409.3224999998</v>
      </c>
      <c r="S93" s="428">
        <f>+'A) Base RI'!U93</f>
        <v>72.5</v>
      </c>
      <c r="T93" s="387">
        <f t="shared" si="9"/>
        <v>4225821.76</v>
      </c>
      <c r="U93" s="387">
        <f t="shared" si="10"/>
        <v>63315.990655172413</v>
      </c>
      <c r="V93" s="10">
        <f>+'A) Base RI'!O93</f>
        <v>4751.8999999999996</v>
      </c>
      <c r="W93" s="10">
        <f>+'A) Base RI'!P93</f>
        <v>166342.45000000001</v>
      </c>
      <c r="X93" s="10">
        <f>+'A) Base RI'!R93</f>
        <v>125721.55</v>
      </c>
      <c r="Y93" s="387">
        <f t="shared" si="11"/>
        <v>296815.90000000002</v>
      </c>
      <c r="Z93" s="10">
        <f>+'A) Base RI'!N93</f>
        <v>1152.4000000000001</v>
      </c>
      <c r="AA93" s="10">
        <f>'A) Base RI'!V93</f>
        <v>1883</v>
      </c>
    </row>
    <row r="94" spans="1:27" x14ac:dyDescent="0.25">
      <c r="A94" s="8">
        <f>'A) Base RI'!A94</f>
        <v>5541</v>
      </c>
      <c r="B94" s="32" t="str">
        <f>'A) Base RI'!B94</f>
        <v>Goumoëns</v>
      </c>
      <c r="C94" s="10">
        <f>'A) Base RI'!C94+'A) Base RI'!D94</f>
        <v>2811224.79</v>
      </c>
      <c r="D94" s="10">
        <f>'A) Base RI'!W94</f>
        <v>-15345.72</v>
      </c>
      <c r="E94" s="384">
        <f>'A) Base RI'!X94</f>
        <v>0</v>
      </c>
      <c r="F94" s="384">
        <f>'A) Base RI'!Y94</f>
        <v>-208.48</v>
      </c>
      <c r="G94" s="387">
        <f t="shared" si="6"/>
        <v>2795670.59</v>
      </c>
      <c r="H94" s="10">
        <f>+'A) Base RI'!E94</f>
        <v>0</v>
      </c>
      <c r="I94" s="10">
        <f>+'A) Base RI'!F94</f>
        <v>0</v>
      </c>
      <c r="J94" s="10">
        <f>+'A) Base RI'!G94+'A) Base RI'!H94+'A) Base RI'!S94</f>
        <v>64274.13</v>
      </c>
      <c r="K94" s="10">
        <f>+'A) Base RI'!I94</f>
        <v>0</v>
      </c>
      <c r="L94" s="10">
        <f>+'A) Base RI'!J94</f>
        <v>33424.400000000001</v>
      </c>
      <c r="M94" s="10">
        <f>+'A) Base RI'!K94</f>
        <v>1552.15</v>
      </c>
      <c r="N94" s="10">
        <f>+'A) Base RI'!Q94</f>
        <v>1332.85</v>
      </c>
      <c r="O94" s="10">
        <f t="shared" si="7"/>
        <v>220312.85</v>
      </c>
      <c r="P94" s="10">
        <f>+'A) Base RI'!L94</f>
        <v>220312.85</v>
      </c>
      <c r="Q94" s="395">
        <f>'A) Base RI'!Z94</f>
        <v>1</v>
      </c>
      <c r="R94" s="387">
        <f t="shared" si="8"/>
        <v>3116566.9699999997</v>
      </c>
      <c r="S94" s="428">
        <f>+'A) Base RI'!U94</f>
        <v>75.5</v>
      </c>
      <c r="T94" s="387">
        <f t="shared" si="9"/>
        <v>2894701.9699999997</v>
      </c>
      <c r="U94" s="387">
        <f t="shared" si="10"/>
        <v>41279.032715231784</v>
      </c>
      <c r="V94" s="10">
        <f>+'A) Base RI'!O94</f>
        <v>14546.4</v>
      </c>
      <c r="W94" s="10">
        <f>+'A) Base RI'!P94</f>
        <v>61273.55</v>
      </c>
      <c r="X94" s="10">
        <f>+'A) Base RI'!R94</f>
        <v>79306.350000000006</v>
      </c>
      <c r="Y94" s="387">
        <f t="shared" si="11"/>
        <v>155126.29999999999</v>
      </c>
      <c r="Z94" s="10">
        <f>+'A) Base RI'!N94</f>
        <v>5116.2</v>
      </c>
      <c r="AA94" s="10">
        <f>'A) Base RI'!V94</f>
        <v>1166</v>
      </c>
    </row>
    <row r="95" spans="1:27" x14ac:dyDescent="0.25">
      <c r="A95" s="8">
        <f>'A) Base RI'!A95</f>
        <v>5551</v>
      </c>
      <c r="B95" s="32" t="str">
        <f>'A) Base RI'!B95</f>
        <v>Bonvillars</v>
      </c>
      <c r="C95" s="10">
        <f>'A) Base RI'!C95+'A) Base RI'!D95</f>
        <v>848687.09</v>
      </c>
      <c r="D95" s="10">
        <f>'A) Base RI'!W95</f>
        <v>-96.02</v>
      </c>
      <c r="E95" s="384">
        <f>'A) Base RI'!X95</f>
        <v>0</v>
      </c>
      <c r="F95" s="384">
        <f>'A) Base RI'!Y95</f>
        <v>-509.54</v>
      </c>
      <c r="G95" s="387">
        <f t="shared" si="6"/>
        <v>848081.52999999991</v>
      </c>
      <c r="H95" s="10">
        <f>+'A) Base RI'!E95</f>
        <v>0</v>
      </c>
      <c r="I95" s="10">
        <f>+'A) Base RI'!F95</f>
        <v>0</v>
      </c>
      <c r="J95" s="10">
        <f>+'A) Base RI'!G95+'A) Base RI'!H95+'A) Base RI'!S95</f>
        <v>52199.19</v>
      </c>
      <c r="K95" s="10">
        <f>+'A) Base RI'!I95</f>
        <v>0</v>
      </c>
      <c r="L95" s="10">
        <f>+'A) Base RI'!J95</f>
        <v>2023.19</v>
      </c>
      <c r="M95" s="10">
        <f>+'A) Base RI'!K95</f>
        <v>12424.7</v>
      </c>
      <c r="N95" s="10">
        <f>+'A) Base RI'!Q95</f>
        <v>0</v>
      </c>
      <c r="O95" s="10">
        <f t="shared" si="7"/>
        <v>114179.05</v>
      </c>
      <c r="P95" s="10">
        <f>+'A) Base RI'!L95</f>
        <v>114179.05</v>
      </c>
      <c r="Q95" s="395">
        <f>'A) Base RI'!Z95</f>
        <v>1</v>
      </c>
      <c r="R95" s="387">
        <f t="shared" si="8"/>
        <v>1028907.6599999999</v>
      </c>
      <c r="S95" s="428">
        <f>+'A) Base RI'!U95</f>
        <v>55</v>
      </c>
      <c r="T95" s="387">
        <f t="shared" si="9"/>
        <v>902303.90999999992</v>
      </c>
      <c r="U95" s="387">
        <f t="shared" si="10"/>
        <v>18707.412</v>
      </c>
      <c r="V95" s="10">
        <f>+'A) Base RI'!O95</f>
        <v>8831.7999999999993</v>
      </c>
      <c r="W95" s="10">
        <f>+'A) Base RI'!P95</f>
        <v>66776.45</v>
      </c>
      <c r="X95" s="10">
        <f>+'A) Base RI'!R95</f>
        <v>29720.799999999999</v>
      </c>
      <c r="Y95" s="387">
        <f t="shared" si="11"/>
        <v>105329.05</v>
      </c>
      <c r="Z95" s="10">
        <f>+'A) Base RI'!N95</f>
        <v>6473</v>
      </c>
      <c r="AA95" s="10">
        <f>'A) Base RI'!V95</f>
        <v>481</v>
      </c>
    </row>
    <row r="96" spans="1:27" x14ac:dyDescent="0.25">
      <c r="A96" s="8">
        <f>'A) Base RI'!A96</f>
        <v>5552</v>
      </c>
      <c r="B96" s="32" t="str">
        <f>'A) Base RI'!B96</f>
        <v>Bullet</v>
      </c>
      <c r="C96" s="10">
        <f>'A) Base RI'!C96+'A) Base RI'!D96</f>
        <v>1230077.1000000001</v>
      </c>
      <c r="D96" s="10">
        <f>'A) Base RI'!W96</f>
        <v>-14953.53</v>
      </c>
      <c r="E96" s="384">
        <f>'A) Base RI'!X96</f>
        <v>0</v>
      </c>
      <c r="F96" s="384">
        <f>'A) Base RI'!Y96</f>
        <v>-722.76</v>
      </c>
      <c r="G96" s="387">
        <f t="shared" si="6"/>
        <v>1214400.81</v>
      </c>
      <c r="H96" s="10">
        <f>+'A) Base RI'!E96</f>
        <v>0</v>
      </c>
      <c r="I96" s="10">
        <f>+'A) Base RI'!F96</f>
        <v>0</v>
      </c>
      <c r="J96" s="10">
        <f>+'A) Base RI'!G96+'A) Base RI'!H96+'A) Base RI'!S96</f>
        <v>23561.19</v>
      </c>
      <c r="K96" s="10">
        <f>+'A) Base RI'!I96</f>
        <v>0</v>
      </c>
      <c r="L96" s="10">
        <f>+'A) Base RI'!J96</f>
        <v>17186.439999999999</v>
      </c>
      <c r="M96" s="10">
        <f>+'A) Base RI'!K96</f>
        <v>3712.6</v>
      </c>
      <c r="N96" s="10">
        <f>+'A) Base RI'!Q96</f>
        <v>11328.51</v>
      </c>
      <c r="O96" s="10">
        <f t="shared" si="7"/>
        <v>131181.29999999999</v>
      </c>
      <c r="P96" s="10">
        <f>+'A) Base RI'!L96</f>
        <v>131181.29999999999</v>
      </c>
      <c r="Q96" s="395">
        <f>'A) Base RI'!Z96</f>
        <v>1</v>
      </c>
      <c r="R96" s="387">
        <f t="shared" si="8"/>
        <v>1401370.85</v>
      </c>
      <c r="S96" s="428">
        <f>+'A) Base RI'!U96</f>
        <v>71.5</v>
      </c>
      <c r="T96" s="387">
        <f t="shared" si="9"/>
        <v>1266476.95</v>
      </c>
      <c r="U96" s="387">
        <f t="shared" si="10"/>
        <v>19599.59230769231</v>
      </c>
      <c r="V96" s="10">
        <f>+'A) Base RI'!O96</f>
        <v>227946.4</v>
      </c>
      <c r="W96" s="10">
        <f>+'A) Base RI'!P96</f>
        <v>76656.100000000006</v>
      </c>
      <c r="X96" s="10">
        <f>+'A) Base RI'!R96</f>
        <v>50034.55</v>
      </c>
      <c r="Y96" s="387">
        <f t="shared" si="11"/>
        <v>354637.05</v>
      </c>
      <c r="Z96" s="10">
        <f>+'A) Base RI'!N96</f>
        <v>78794.899999999994</v>
      </c>
      <c r="AA96" s="10">
        <f>'A) Base RI'!V96</f>
        <v>657</v>
      </c>
    </row>
    <row r="97" spans="1:27" x14ac:dyDescent="0.25">
      <c r="A97" s="8">
        <f>'A) Base RI'!A97</f>
        <v>5553</v>
      </c>
      <c r="B97" s="32" t="str">
        <f>'A) Base RI'!B97</f>
        <v>Champagne</v>
      </c>
      <c r="C97" s="10">
        <f>'A) Base RI'!C97+'A) Base RI'!D97</f>
        <v>2113611.94</v>
      </c>
      <c r="D97" s="10">
        <f>'A) Base RI'!W97</f>
        <v>-20140.669999999998</v>
      </c>
      <c r="E97" s="384">
        <f>'A) Base RI'!X97</f>
        <v>0</v>
      </c>
      <c r="F97" s="384">
        <f>'A) Base RI'!Y97</f>
        <v>-7313.13</v>
      </c>
      <c r="G97" s="387">
        <f t="shared" si="6"/>
        <v>2086158.1400000001</v>
      </c>
      <c r="H97" s="10">
        <f>+'A) Base RI'!E97</f>
        <v>0</v>
      </c>
      <c r="I97" s="10">
        <f>+'A) Base RI'!F97</f>
        <v>0</v>
      </c>
      <c r="J97" s="10">
        <f>+'A) Base RI'!G97+'A) Base RI'!H97+'A) Base RI'!S97</f>
        <v>216052.34</v>
      </c>
      <c r="K97" s="10">
        <f>+'A) Base RI'!I97</f>
        <v>0</v>
      </c>
      <c r="L97" s="10">
        <f>+'A) Base RI'!J97</f>
        <v>48540.18</v>
      </c>
      <c r="M97" s="10">
        <f>+'A) Base RI'!K97</f>
        <v>21370.05</v>
      </c>
      <c r="N97" s="10">
        <f>+'A) Base RI'!Q97</f>
        <v>0</v>
      </c>
      <c r="O97" s="10">
        <f t="shared" si="7"/>
        <v>233568.45</v>
      </c>
      <c r="P97" s="10">
        <f>+'A) Base RI'!L97</f>
        <v>233568.45</v>
      </c>
      <c r="Q97" s="395">
        <f>'A) Base RI'!Z97</f>
        <v>1</v>
      </c>
      <c r="R97" s="387">
        <f t="shared" si="8"/>
        <v>2605689.16</v>
      </c>
      <c r="S97" s="428">
        <f>+'A) Base RI'!U97</f>
        <v>65</v>
      </c>
      <c r="T97" s="387">
        <f t="shared" si="9"/>
        <v>2350750.66</v>
      </c>
      <c r="U97" s="387">
        <f t="shared" si="10"/>
        <v>40087.525538461538</v>
      </c>
      <c r="V97" s="10">
        <f>+'A) Base RI'!O97</f>
        <v>28932.5</v>
      </c>
      <c r="W97" s="10">
        <f>+'A) Base RI'!P97</f>
        <v>101171.15</v>
      </c>
      <c r="X97" s="10">
        <f>+'A) Base RI'!R97</f>
        <v>19499.150000000001</v>
      </c>
      <c r="Y97" s="387">
        <f t="shared" si="11"/>
        <v>149602.79999999999</v>
      </c>
      <c r="Z97" s="10">
        <f>+'A) Base RI'!N97</f>
        <v>162665.4</v>
      </c>
      <c r="AA97" s="10">
        <f>'A) Base RI'!V97</f>
        <v>1085</v>
      </c>
    </row>
    <row r="98" spans="1:27" x14ac:dyDescent="0.25">
      <c r="A98" s="8">
        <f>'A) Base RI'!A98</f>
        <v>5554</v>
      </c>
      <c r="B98" s="32" t="str">
        <f>'A) Base RI'!B98</f>
        <v>Concise</v>
      </c>
      <c r="C98" s="10">
        <f>'A) Base RI'!C98+'A) Base RI'!D98</f>
        <v>2116058.58</v>
      </c>
      <c r="D98" s="10">
        <f>'A) Base RI'!W98</f>
        <v>-39597.93</v>
      </c>
      <c r="E98" s="384">
        <f>'A) Base RI'!X98</f>
        <v>0</v>
      </c>
      <c r="F98" s="384">
        <f>'A) Base RI'!Y98</f>
        <v>-1339.63</v>
      </c>
      <c r="G98" s="387">
        <f t="shared" si="6"/>
        <v>2075121.0200000003</v>
      </c>
      <c r="H98" s="10">
        <f>+'A) Base RI'!E98</f>
        <v>0</v>
      </c>
      <c r="I98" s="10">
        <f>+'A) Base RI'!F98</f>
        <v>0</v>
      </c>
      <c r="J98" s="10">
        <f>+'A) Base RI'!G98+'A) Base RI'!H98+'A) Base RI'!S98</f>
        <v>61642.770000000004</v>
      </c>
      <c r="K98" s="10">
        <f>+'A) Base RI'!I98</f>
        <v>0</v>
      </c>
      <c r="L98" s="10">
        <f>+'A) Base RI'!J98</f>
        <v>31332.63</v>
      </c>
      <c r="M98" s="10">
        <f>+'A) Base RI'!K98</f>
        <v>2051.9</v>
      </c>
      <c r="N98" s="10">
        <f>+'A) Base RI'!Q98</f>
        <v>6877.31</v>
      </c>
      <c r="O98" s="10">
        <f t="shared" si="7"/>
        <v>185608.15</v>
      </c>
      <c r="P98" s="10">
        <f>+'A) Base RI'!L98</f>
        <v>185608.15</v>
      </c>
      <c r="Q98" s="395">
        <f>'A) Base RI'!Z98</f>
        <v>1</v>
      </c>
      <c r="R98" s="387">
        <f t="shared" si="8"/>
        <v>2362633.7799999998</v>
      </c>
      <c r="S98" s="428">
        <f>+'A) Base RI'!U98</f>
        <v>75</v>
      </c>
      <c r="T98" s="387">
        <f t="shared" si="9"/>
        <v>2174973.73</v>
      </c>
      <c r="U98" s="387">
        <f t="shared" si="10"/>
        <v>31501.78373333333</v>
      </c>
      <c r="V98" s="10">
        <f>+'A) Base RI'!O98</f>
        <v>1202967</v>
      </c>
      <c r="W98" s="10">
        <f>+'A) Base RI'!P98</f>
        <v>86390.3</v>
      </c>
      <c r="X98" s="10">
        <f>+'A) Base RI'!R98</f>
        <v>48182.400000000001</v>
      </c>
      <c r="Y98" s="387">
        <f t="shared" si="11"/>
        <v>1337539.7</v>
      </c>
      <c r="Z98" s="10">
        <f>+'A) Base RI'!N98</f>
        <v>21995.5</v>
      </c>
      <c r="AA98" s="10">
        <f>'A) Base RI'!V98</f>
        <v>1004</v>
      </c>
    </row>
    <row r="99" spans="1:27" x14ac:dyDescent="0.25">
      <c r="A99" s="8">
        <f>'A) Base RI'!A99</f>
        <v>5555</v>
      </c>
      <c r="B99" s="32" t="str">
        <f>'A) Base RI'!B99</f>
        <v>Corcelles-près-Concise</v>
      </c>
      <c r="C99" s="10">
        <f>'A) Base RI'!C99+'A) Base RI'!D99</f>
        <v>830178.77</v>
      </c>
      <c r="D99" s="10">
        <f>'A) Base RI'!W99</f>
        <v>-7241.25</v>
      </c>
      <c r="E99" s="384">
        <f>'A) Base RI'!X99</f>
        <v>0</v>
      </c>
      <c r="F99" s="384">
        <f>'A) Base RI'!Y99</f>
        <v>-102.53</v>
      </c>
      <c r="G99" s="387">
        <f t="shared" si="6"/>
        <v>822834.99</v>
      </c>
      <c r="H99" s="10">
        <f>+'A) Base RI'!E99</f>
        <v>0</v>
      </c>
      <c r="I99" s="10">
        <f>+'A) Base RI'!F99</f>
        <v>0</v>
      </c>
      <c r="J99" s="10">
        <f>+'A) Base RI'!G99+'A) Base RI'!H99+'A) Base RI'!S99</f>
        <v>12672.54</v>
      </c>
      <c r="K99" s="10">
        <f>+'A) Base RI'!I99</f>
        <v>0</v>
      </c>
      <c r="L99" s="10">
        <f>+'A) Base RI'!J99</f>
        <v>26612.47</v>
      </c>
      <c r="M99" s="10">
        <f>+'A) Base RI'!K99</f>
        <v>2228.6999999999998</v>
      </c>
      <c r="N99" s="10">
        <f>+'A) Base RI'!Q99</f>
        <v>877.19</v>
      </c>
      <c r="O99" s="10">
        <f t="shared" si="7"/>
        <v>92373.15</v>
      </c>
      <c r="P99" s="10">
        <f>+'A) Base RI'!L99</f>
        <v>92373.15</v>
      </c>
      <c r="Q99" s="395">
        <f>'A) Base RI'!Z99</f>
        <v>1</v>
      </c>
      <c r="R99" s="387">
        <f t="shared" si="8"/>
        <v>957599.03999999992</v>
      </c>
      <c r="S99" s="428">
        <f>+'A) Base RI'!U99</f>
        <v>69</v>
      </c>
      <c r="T99" s="387">
        <f t="shared" si="9"/>
        <v>862997.19</v>
      </c>
      <c r="U99" s="387">
        <f t="shared" si="10"/>
        <v>13878.246956521738</v>
      </c>
      <c r="V99" s="10">
        <f>+'A) Base RI'!O99</f>
        <v>84602.9</v>
      </c>
      <c r="W99" s="10">
        <f>+'A) Base RI'!P99</f>
        <v>11110</v>
      </c>
      <c r="X99" s="10">
        <f>+'A) Base RI'!R99</f>
        <v>3845.4</v>
      </c>
      <c r="Y99" s="387">
        <f t="shared" si="11"/>
        <v>99558.299999999988</v>
      </c>
      <c r="Z99" s="10">
        <f>+'A) Base RI'!N99</f>
        <v>10061.950000000001</v>
      </c>
      <c r="AA99" s="10">
        <f>'A) Base RI'!V99</f>
        <v>417</v>
      </c>
    </row>
    <row r="100" spans="1:27" x14ac:dyDescent="0.25">
      <c r="A100" s="8">
        <f>'A) Base RI'!A100</f>
        <v>5556</v>
      </c>
      <c r="B100" s="32" t="str">
        <f>'A) Base RI'!B100</f>
        <v>Fiez</v>
      </c>
      <c r="C100" s="10">
        <f>'A) Base RI'!C100+'A) Base RI'!D100</f>
        <v>814385.51</v>
      </c>
      <c r="D100" s="10">
        <f>'A) Base RI'!W100</f>
        <v>27216.78</v>
      </c>
      <c r="E100" s="384">
        <f>'A) Base RI'!X100</f>
        <v>0</v>
      </c>
      <c r="F100" s="384">
        <f>'A) Base RI'!Y100</f>
        <v>0</v>
      </c>
      <c r="G100" s="387">
        <f t="shared" si="6"/>
        <v>841602.29</v>
      </c>
      <c r="H100" s="10">
        <f>+'A) Base RI'!E100</f>
        <v>0</v>
      </c>
      <c r="I100" s="10">
        <f>+'A) Base RI'!F100</f>
        <v>2480</v>
      </c>
      <c r="J100" s="10">
        <f>+'A) Base RI'!G100+'A) Base RI'!H100+'A) Base RI'!S100</f>
        <v>68896.010000000009</v>
      </c>
      <c r="K100" s="10">
        <f>+'A) Base RI'!I100</f>
        <v>0</v>
      </c>
      <c r="L100" s="10">
        <f>+'A) Base RI'!J100</f>
        <v>16887.919999999998</v>
      </c>
      <c r="M100" s="10">
        <f>+'A) Base RI'!K100</f>
        <v>1271.6500000000001</v>
      </c>
      <c r="N100" s="10">
        <f>+'A) Base RI'!Q100</f>
        <v>0</v>
      </c>
      <c r="O100" s="10">
        <f t="shared" si="7"/>
        <v>74721.208333333328</v>
      </c>
      <c r="P100" s="10">
        <f>+'A) Base RI'!L100</f>
        <v>89665.45</v>
      </c>
      <c r="Q100" s="395">
        <f>'A) Base RI'!Z100</f>
        <v>1.2</v>
      </c>
      <c r="R100" s="387">
        <f t="shared" si="8"/>
        <v>1005859.0783333335</v>
      </c>
      <c r="S100" s="428">
        <f>+'A) Base RI'!U100</f>
        <v>69</v>
      </c>
      <c r="T100" s="387">
        <f t="shared" si="9"/>
        <v>927386.22000000009</v>
      </c>
      <c r="U100" s="387">
        <f t="shared" si="10"/>
        <v>14577.66780193237</v>
      </c>
      <c r="V100" s="10">
        <f>+'A) Base RI'!O100</f>
        <v>163.5</v>
      </c>
      <c r="W100" s="10">
        <f>+'A) Base RI'!P100</f>
        <v>40028.6</v>
      </c>
      <c r="X100" s="10">
        <f>+'A) Base RI'!R100</f>
        <v>17644.650000000001</v>
      </c>
      <c r="Y100" s="387">
        <f t="shared" si="11"/>
        <v>57836.75</v>
      </c>
      <c r="Z100" s="10">
        <f>+'A) Base RI'!N100</f>
        <v>0</v>
      </c>
      <c r="AA100" s="10">
        <f>'A) Base RI'!V100</f>
        <v>442</v>
      </c>
    </row>
    <row r="101" spans="1:27" x14ac:dyDescent="0.25">
      <c r="A101" s="8">
        <f>'A) Base RI'!A101</f>
        <v>5557</v>
      </c>
      <c r="B101" s="32" t="str">
        <f>'A) Base RI'!B101</f>
        <v>Fontaines-sur-Grandson</v>
      </c>
      <c r="C101" s="10">
        <f>'A) Base RI'!C101+'A) Base RI'!D101</f>
        <v>280987.96999999997</v>
      </c>
      <c r="D101" s="10">
        <f>'A) Base RI'!W101</f>
        <v>-26565.58</v>
      </c>
      <c r="E101" s="384">
        <f>'A) Base RI'!X101</f>
        <v>0</v>
      </c>
      <c r="F101" s="384">
        <f>'A) Base RI'!Y101</f>
        <v>-0.03</v>
      </c>
      <c r="G101" s="387">
        <f t="shared" si="6"/>
        <v>254422.35999999996</v>
      </c>
      <c r="H101" s="10">
        <f>+'A) Base RI'!E101</f>
        <v>0</v>
      </c>
      <c r="I101" s="10">
        <f>+'A) Base RI'!F101</f>
        <v>899.15</v>
      </c>
      <c r="J101" s="10">
        <f>+'A) Base RI'!G101+'A) Base RI'!H101+'A) Base RI'!S101</f>
        <v>836.06</v>
      </c>
      <c r="K101" s="10">
        <f>+'A) Base RI'!I101</f>
        <v>0</v>
      </c>
      <c r="L101" s="10">
        <f>+'A) Base RI'!J101</f>
        <v>436.59</v>
      </c>
      <c r="M101" s="10">
        <f>+'A) Base RI'!K101</f>
        <v>-284.55</v>
      </c>
      <c r="N101" s="10">
        <f>+'A) Base RI'!Q101</f>
        <v>0</v>
      </c>
      <c r="O101" s="10">
        <f t="shared" si="7"/>
        <v>35749.800000000003</v>
      </c>
      <c r="P101" s="10">
        <f>+'A) Base RI'!L101</f>
        <v>35749.800000000003</v>
      </c>
      <c r="Q101" s="395">
        <f>'A) Base RI'!Z101</f>
        <v>1</v>
      </c>
      <c r="R101" s="387">
        <f t="shared" si="8"/>
        <v>292059.40999999997</v>
      </c>
      <c r="S101" s="428">
        <f>+'A) Base RI'!U101</f>
        <v>69</v>
      </c>
      <c r="T101" s="387">
        <f t="shared" si="9"/>
        <v>255695.00999999995</v>
      </c>
      <c r="U101" s="387">
        <f t="shared" si="10"/>
        <v>4232.7450724637674</v>
      </c>
      <c r="V101" s="10">
        <f>+'A) Base RI'!O101</f>
        <v>0</v>
      </c>
      <c r="W101" s="10">
        <f>+'A) Base RI'!P101</f>
        <v>10651.8</v>
      </c>
      <c r="X101" s="10">
        <f>+'A) Base RI'!R101</f>
        <v>2611</v>
      </c>
      <c r="Y101" s="387">
        <f t="shared" si="11"/>
        <v>13262.8</v>
      </c>
      <c r="Z101" s="10">
        <f>+'A) Base RI'!N101</f>
        <v>0</v>
      </c>
      <c r="AA101" s="10">
        <f>'A) Base RI'!V101</f>
        <v>220</v>
      </c>
    </row>
    <row r="102" spans="1:27" x14ac:dyDescent="0.25">
      <c r="A102" s="8">
        <f>'A) Base RI'!A102</f>
        <v>5559</v>
      </c>
      <c r="B102" s="32" t="str">
        <f>'A) Base RI'!B102</f>
        <v>Giez</v>
      </c>
      <c r="C102" s="10">
        <f>'A) Base RI'!C102+'A) Base RI'!D102</f>
        <v>1246409.25</v>
      </c>
      <c r="D102" s="10">
        <f>'A) Base RI'!W102</f>
        <v>-15550.54</v>
      </c>
      <c r="E102" s="384">
        <f>'A) Base RI'!X102</f>
        <v>0</v>
      </c>
      <c r="F102" s="384">
        <f>'A) Base RI'!Y102</f>
        <v>-1278.21</v>
      </c>
      <c r="G102" s="387">
        <f t="shared" si="6"/>
        <v>1229580.5</v>
      </c>
      <c r="H102" s="10">
        <f>+'A) Base RI'!E102</f>
        <v>0</v>
      </c>
      <c r="I102" s="10">
        <f>+'A) Base RI'!F102</f>
        <v>0</v>
      </c>
      <c r="J102" s="10">
        <f>+'A) Base RI'!G102+'A) Base RI'!H102+'A) Base RI'!S102</f>
        <v>202832.56999999998</v>
      </c>
      <c r="K102" s="10">
        <f>+'A) Base RI'!I102</f>
        <v>0</v>
      </c>
      <c r="L102" s="10">
        <f>+'A) Base RI'!J102</f>
        <v>18587.939999999999</v>
      </c>
      <c r="M102" s="10">
        <f>+'A) Base RI'!K102</f>
        <v>4011.5</v>
      </c>
      <c r="N102" s="10">
        <f>+'A) Base RI'!Q102</f>
        <v>20.75</v>
      </c>
      <c r="O102" s="10">
        <f t="shared" si="7"/>
        <v>91808.1</v>
      </c>
      <c r="P102" s="10">
        <f>+'A) Base RI'!L102</f>
        <v>91808.1</v>
      </c>
      <c r="Q102" s="395">
        <f>'A) Base RI'!Z102</f>
        <v>1</v>
      </c>
      <c r="R102" s="387">
        <f t="shared" si="8"/>
        <v>1546841.36</v>
      </c>
      <c r="S102" s="428">
        <f>+'A) Base RI'!U102</f>
        <v>66</v>
      </c>
      <c r="T102" s="387">
        <f t="shared" si="9"/>
        <v>1451021.76</v>
      </c>
      <c r="U102" s="387">
        <f t="shared" si="10"/>
        <v>23436.990303030303</v>
      </c>
      <c r="V102" s="10">
        <f>+'A) Base RI'!O102</f>
        <v>132502.20000000001</v>
      </c>
      <c r="W102" s="10">
        <f>+'A) Base RI'!P102</f>
        <v>13186.25</v>
      </c>
      <c r="X102" s="10">
        <f>+'A) Base RI'!R102</f>
        <v>36853.5</v>
      </c>
      <c r="Y102" s="387">
        <f t="shared" si="11"/>
        <v>182541.95</v>
      </c>
      <c r="Z102" s="10">
        <f>+'A) Base RI'!N102</f>
        <v>10451.549999999999</v>
      </c>
      <c r="AA102" s="10">
        <f>'A) Base RI'!V102</f>
        <v>443</v>
      </c>
    </row>
    <row r="103" spans="1:27" x14ac:dyDescent="0.25">
      <c r="A103" s="8">
        <f>'A) Base RI'!A103</f>
        <v>5560</v>
      </c>
      <c r="B103" s="32" t="str">
        <f>'A) Base RI'!B103</f>
        <v>Grandevent</v>
      </c>
      <c r="C103" s="10">
        <f>'A) Base RI'!C103+'A) Base RI'!D103</f>
        <v>412162.55</v>
      </c>
      <c r="D103" s="10">
        <f>'A) Base RI'!W103</f>
        <v>-530.83000000000004</v>
      </c>
      <c r="E103" s="384">
        <f>'A) Base RI'!X103</f>
        <v>0</v>
      </c>
      <c r="F103" s="384">
        <f>'A) Base RI'!Y103</f>
        <v>0</v>
      </c>
      <c r="G103" s="387">
        <f t="shared" si="6"/>
        <v>411631.72</v>
      </c>
      <c r="H103" s="10">
        <f>+'A) Base RI'!E103</f>
        <v>0</v>
      </c>
      <c r="I103" s="10">
        <f>+'A) Base RI'!F103</f>
        <v>0</v>
      </c>
      <c r="J103" s="10">
        <f>+'A) Base RI'!G103+'A) Base RI'!H103+'A) Base RI'!S103</f>
        <v>9807.84</v>
      </c>
      <c r="K103" s="10">
        <f>+'A) Base RI'!I103</f>
        <v>0</v>
      </c>
      <c r="L103" s="10">
        <f>+'A) Base RI'!J103</f>
        <v>11463.26</v>
      </c>
      <c r="M103" s="10">
        <f>+'A) Base RI'!K103</f>
        <v>624.20000000000005</v>
      </c>
      <c r="N103" s="10">
        <f>+'A) Base RI'!Q103</f>
        <v>0</v>
      </c>
      <c r="O103" s="10">
        <f t="shared" si="7"/>
        <v>42727.75</v>
      </c>
      <c r="P103" s="10">
        <f>+'A) Base RI'!L103</f>
        <v>42727.75</v>
      </c>
      <c r="Q103" s="395">
        <f>'A) Base RI'!Z103</f>
        <v>1</v>
      </c>
      <c r="R103" s="387">
        <f t="shared" si="8"/>
        <v>476254.77</v>
      </c>
      <c r="S103" s="428">
        <f>+'A) Base RI'!U103</f>
        <v>68</v>
      </c>
      <c r="T103" s="387">
        <f t="shared" si="9"/>
        <v>432902.82</v>
      </c>
      <c r="U103" s="387">
        <f t="shared" si="10"/>
        <v>7003.7466176470589</v>
      </c>
      <c r="V103" s="10">
        <f>+'A) Base RI'!O103</f>
        <v>0</v>
      </c>
      <c r="W103" s="10">
        <f>+'A) Base RI'!P103</f>
        <v>51709.9</v>
      </c>
      <c r="X103" s="10">
        <f>+'A) Base RI'!R103</f>
        <v>36002.300000000003</v>
      </c>
      <c r="Y103" s="387">
        <f t="shared" si="11"/>
        <v>87712.200000000012</v>
      </c>
      <c r="Z103" s="10">
        <f>+'A) Base RI'!N103</f>
        <v>0</v>
      </c>
      <c r="AA103" s="10">
        <f>'A) Base RI'!V103</f>
        <v>238</v>
      </c>
    </row>
    <row r="104" spans="1:27" x14ac:dyDescent="0.25">
      <c r="A104" s="8">
        <f>'A) Base RI'!A104</f>
        <v>5561</v>
      </c>
      <c r="B104" s="32" t="str">
        <f>'A) Base RI'!B104</f>
        <v>Grandson</v>
      </c>
      <c r="C104" s="10">
        <f>'A) Base RI'!C104+'A) Base RI'!D104</f>
        <v>6987138.8900000006</v>
      </c>
      <c r="D104" s="10">
        <f>'A) Base RI'!W104</f>
        <v>-118347.03</v>
      </c>
      <c r="E104" s="384">
        <f>'A) Base RI'!X104</f>
        <v>0</v>
      </c>
      <c r="F104" s="384">
        <f>'A) Base RI'!Y104</f>
        <v>-2119.89</v>
      </c>
      <c r="G104" s="387">
        <f t="shared" si="6"/>
        <v>6866671.9700000007</v>
      </c>
      <c r="H104" s="10">
        <f>+'A) Base RI'!E104</f>
        <v>0</v>
      </c>
      <c r="I104" s="10">
        <f>+'A) Base RI'!F104</f>
        <v>0</v>
      </c>
      <c r="J104" s="10">
        <f>+'A) Base RI'!G104+'A) Base RI'!H104+'A) Base RI'!S104</f>
        <v>211676.05000000002</v>
      </c>
      <c r="K104" s="10">
        <f>+'A) Base RI'!I104</f>
        <v>0</v>
      </c>
      <c r="L104" s="10">
        <f>+'A) Base RI'!J104</f>
        <v>111885.77</v>
      </c>
      <c r="M104" s="10">
        <f>+'A) Base RI'!K104</f>
        <v>41708.949999999997</v>
      </c>
      <c r="N104" s="10">
        <f>+'A) Base RI'!Q104</f>
        <v>30628.639999999999</v>
      </c>
      <c r="O104" s="10">
        <f t="shared" si="7"/>
        <v>638346.1</v>
      </c>
      <c r="P104" s="10">
        <f>+'A) Base RI'!L104</f>
        <v>638346.1</v>
      </c>
      <c r="Q104" s="395">
        <f>'A) Base RI'!Z104</f>
        <v>1</v>
      </c>
      <c r="R104" s="387">
        <f t="shared" si="8"/>
        <v>7900917.4799999995</v>
      </c>
      <c r="S104" s="428">
        <f>+'A) Base RI'!U104</f>
        <v>69</v>
      </c>
      <c r="T104" s="387">
        <f t="shared" si="9"/>
        <v>7220862.4299999997</v>
      </c>
      <c r="U104" s="387">
        <f t="shared" si="10"/>
        <v>114506.05043478261</v>
      </c>
      <c r="V104" s="10">
        <f>+'A) Base RI'!O104</f>
        <v>540216</v>
      </c>
      <c r="W104" s="10">
        <f>+'A) Base RI'!P104</f>
        <v>312776.40000000002</v>
      </c>
      <c r="X104" s="10">
        <f>+'A) Base RI'!R104</f>
        <v>196038.35</v>
      </c>
      <c r="Y104" s="387">
        <f t="shared" si="11"/>
        <v>1049030.75</v>
      </c>
      <c r="Z104" s="10">
        <f>+'A) Base RI'!N104</f>
        <v>378118.75</v>
      </c>
      <c r="AA104" s="10">
        <f>'A) Base RI'!V104</f>
        <v>3366</v>
      </c>
    </row>
    <row r="105" spans="1:27" x14ac:dyDescent="0.25">
      <c r="A105" s="8">
        <f>'A) Base RI'!A105</f>
        <v>5562</v>
      </c>
      <c r="B105" s="32" t="str">
        <f>'A) Base RI'!B105</f>
        <v>Mauborget</v>
      </c>
      <c r="C105" s="10">
        <f>'A) Base RI'!C105+'A) Base RI'!D105</f>
        <v>386683.26</v>
      </c>
      <c r="D105" s="10">
        <f>'A) Base RI'!W105</f>
        <v>-3768.08</v>
      </c>
      <c r="E105" s="384">
        <f>'A) Base RI'!X105</f>
        <v>0</v>
      </c>
      <c r="F105" s="384">
        <f>'A) Base RI'!Y105</f>
        <v>-38.15</v>
      </c>
      <c r="G105" s="387">
        <f t="shared" si="6"/>
        <v>382877.02999999997</v>
      </c>
      <c r="H105" s="10">
        <f>+'A) Base RI'!E105</f>
        <v>0</v>
      </c>
      <c r="I105" s="10">
        <f>+'A) Base RI'!F105</f>
        <v>920</v>
      </c>
      <c r="J105" s="10">
        <f>+'A) Base RI'!G105+'A) Base RI'!H105+'A) Base RI'!S105</f>
        <v>1476.19</v>
      </c>
      <c r="K105" s="10">
        <f>+'A) Base RI'!I105</f>
        <v>0</v>
      </c>
      <c r="L105" s="10">
        <f>+'A) Base RI'!J105</f>
        <v>5376.73</v>
      </c>
      <c r="M105" s="10">
        <f>+'A) Base RI'!K105</f>
        <v>1974.5</v>
      </c>
      <c r="N105" s="10">
        <f>+'A) Base RI'!Q105</f>
        <v>3932.26</v>
      </c>
      <c r="O105" s="10">
        <f t="shared" si="7"/>
        <v>30407.708333333336</v>
      </c>
      <c r="P105" s="10">
        <f>+'A) Base RI'!L105</f>
        <v>36489.25</v>
      </c>
      <c r="Q105" s="395">
        <f>'A) Base RI'!Z105</f>
        <v>1.2</v>
      </c>
      <c r="R105" s="387">
        <f t="shared" si="8"/>
        <v>426964.41833333328</v>
      </c>
      <c r="S105" s="428">
        <f>+'A) Base RI'!U105</f>
        <v>70</v>
      </c>
      <c r="T105" s="387">
        <f t="shared" si="9"/>
        <v>393662.20999999996</v>
      </c>
      <c r="U105" s="387">
        <f t="shared" si="10"/>
        <v>6099.4916904761894</v>
      </c>
      <c r="V105" s="10">
        <f>+'A) Base RI'!O105</f>
        <v>-5394.6</v>
      </c>
      <c r="W105" s="10">
        <f>+'A) Base RI'!P105</f>
        <v>24640</v>
      </c>
      <c r="X105" s="10">
        <f>+'A) Base RI'!R105</f>
        <v>24614.75</v>
      </c>
      <c r="Y105" s="387">
        <f t="shared" si="11"/>
        <v>43860.15</v>
      </c>
      <c r="Z105" s="10">
        <f>+'A) Base RI'!N105</f>
        <v>278.8</v>
      </c>
      <c r="AA105" s="10">
        <f>'A) Base RI'!V105</f>
        <v>137</v>
      </c>
    </row>
    <row r="106" spans="1:27" x14ac:dyDescent="0.25">
      <c r="A106" s="8">
        <f>'A) Base RI'!A106</f>
        <v>5563</v>
      </c>
      <c r="B106" s="32" t="str">
        <f>'A) Base RI'!B106</f>
        <v>Mutrux</v>
      </c>
      <c r="C106" s="10">
        <f>'A) Base RI'!C106+'A) Base RI'!D106</f>
        <v>321881.7</v>
      </c>
      <c r="D106" s="10">
        <f>'A) Base RI'!W106</f>
        <v>-2986.73</v>
      </c>
      <c r="E106" s="384">
        <f>'A) Base RI'!X106</f>
        <v>0</v>
      </c>
      <c r="F106" s="384">
        <f>'A) Base RI'!Y106</f>
        <v>0</v>
      </c>
      <c r="G106" s="387">
        <f t="shared" si="6"/>
        <v>318894.97000000003</v>
      </c>
      <c r="H106" s="10">
        <f>+'A) Base RI'!E106</f>
        <v>0</v>
      </c>
      <c r="I106" s="10">
        <f>+'A) Base RI'!F106</f>
        <v>540</v>
      </c>
      <c r="J106" s="10">
        <f>+'A) Base RI'!G106+'A) Base RI'!H106+'A) Base RI'!S106</f>
        <v>541.04999999999995</v>
      </c>
      <c r="K106" s="10">
        <f>+'A) Base RI'!I106</f>
        <v>0</v>
      </c>
      <c r="L106" s="10">
        <f>+'A) Base RI'!J106</f>
        <v>728.75</v>
      </c>
      <c r="M106" s="10">
        <f>+'A) Base RI'!K106</f>
        <v>0</v>
      </c>
      <c r="N106" s="10">
        <f>+'A) Base RI'!Q106</f>
        <v>0</v>
      </c>
      <c r="O106" s="10">
        <f t="shared" si="7"/>
        <v>21873.75</v>
      </c>
      <c r="P106" s="10">
        <f>+'A) Base RI'!L106</f>
        <v>21873.75</v>
      </c>
      <c r="Q106" s="395">
        <f>'A) Base RI'!Z106</f>
        <v>1</v>
      </c>
      <c r="R106" s="387">
        <f t="shared" si="8"/>
        <v>342578.52</v>
      </c>
      <c r="S106" s="428">
        <f>+'A) Base RI'!U106</f>
        <v>80</v>
      </c>
      <c r="T106" s="387">
        <f t="shared" si="9"/>
        <v>320164.77</v>
      </c>
      <c r="U106" s="387">
        <f t="shared" si="10"/>
        <v>4282.2314999999999</v>
      </c>
      <c r="V106" s="10">
        <f>+'A) Base RI'!O106</f>
        <v>45.6</v>
      </c>
      <c r="W106" s="10">
        <f>+'A) Base RI'!P106</f>
        <v>36561.25</v>
      </c>
      <c r="X106" s="10">
        <f>+'A) Base RI'!R106</f>
        <v>42313</v>
      </c>
      <c r="Y106" s="387">
        <f t="shared" si="11"/>
        <v>78919.850000000006</v>
      </c>
      <c r="Z106" s="10">
        <f>+'A) Base RI'!N106</f>
        <v>0</v>
      </c>
      <c r="AA106" s="10">
        <f>'A) Base RI'!V106</f>
        <v>151</v>
      </c>
    </row>
    <row r="107" spans="1:27" x14ac:dyDescent="0.25">
      <c r="A107" s="8">
        <f>'A) Base RI'!A107</f>
        <v>5564</v>
      </c>
      <c r="B107" s="32" t="str">
        <f>'A) Base RI'!B107</f>
        <v>Novalles</v>
      </c>
      <c r="C107" s="10">
        <f>'A) Base RI'!C107+'A) Base RI'!D107</f>
        <v>146122.71</v>
      </c>
      <c r="D107" s="10">
        <f>'A) Base RI'!W107</f>
        <v>-916.18</v>
      </c>
      <c r="E107" s="384">
        <f>'A) Base RI'!X107</f>
        <v>0</v>
      </c>
      <c r="F107" s="384">
        <f>'A) Base RI'!Y107</f>
        <v>0</v>
      </c>
      <c r="G107" s="387">
        <f t="shared" si="6"/>
        <v>145206.53</v>
      </c>
      <c r="H107" s="10">
        <f>+'A) Base RI'!E107</f>
        <v>0</v>
      </c>
      <c r="I107" s="10">
        <f>+'A) Base RI'!F107</f>
        <v>0</v>
      </c>
      <c r="J107" s="10">
        <f>+'A) Base RI'!G107+'A) Base RI'!H107+'A) Base RI'!S107</f>
        <v>91.06</v>
      </c>
      <c r="K107" s="10">
        <f>+'A) Base RI'!I107</f>
        <v>0</v>
      </c>
      <c r="L107" s="10">
        <f>+'A) Base RI'!J107</f>
        <v>0</v>
      </c>
      <c r="M107" s="10">
        <f>+'A) Base RI'!K107</f>
        <v>0</v>
      </c>
      <c r="N107" s="10">
        <f>+'A) Base RI'!Q107</f>
        <v>0</v>
      </c>
      <c r="O107" s="10">
        <f t="shared" si="7"/>
        <v>14268.0625</v>
      </c>
      <c r="P107" s="10">
        <f>+'A) Base RI'!L107</f>
        <v>11414.45</v>
      </c>
      <c r="Q107" s="395">
        <f>'A) Base RI'!Z107</f>
        <v>0.8</v>
      </c>
      <c r="R107" s="387">
        <f t="shared" si="8"/>
        <v>159565.6525</v>
      </c>
      <c r="S107" s="428">
        <f>+'A) Base RI'!U107</f>
        <v>76</v>
      </c>
      <c r="T107" s="387">
        <f t="shared" si="9"/>
        <v>145297.59</v>
      </c>
      <c r="U107" s="387">
        <f t="shared" si="10"/>
        <v>2099.5480592105264</v>
      </c>
      <c r="V107" s="10">
        <f>+'A) Base RI'!O107</f>
        <v>736.4</v>
      </c>
      <c r="W107" s="10">
        <f>+'A) Base RI'!P107</f>
        <v>1127.6500000000001</v>
      </c>
      <c r="X107" s="10">
        <f>+'A) Base RI'!R107</f>
        <v>1787.5</v>
      </c>
      <c r="Y107" s="387">
        <f t="shared" si="11"/>
        <v>3651.55</v>
      </c>
      <c r="Z107" s="10">
        <f>+'A) Base RI'!N107</f>
        <v>0</v>
      </c>
      <c r="AA107" s="10">
        <f>'A) Base RI'!V107</f>
        <v>103</v>
      </c>
    </row>
    <row r="108" spans="1:27" x14ac:dyDescent="0.25">
      <c r="A108" s="8">
        <f>'A) Base RI'!A108</f>
        <v>5565</v>
      </c>
      <c r="B108" s="32" t="str">
        <f>'A) Base RI'!B108</f>
        <v>Onnens</v>
      </c>
      <c r="C108" s="10">
        <f>'A) Base RI'!C108+'A) Base RI'!D108</f>
        <v>887833.05999999994</v>
      </c>
      <c r="D108" s="10">
        <f>'A) Base RI'!W108</f>
        <v>-4179</v>
      </c>
      <c r="E108" s="384">
        <f>'A) Base RI'!X108</f>
        <v>0</v>
      </c>
      <c r="F108" s="384">
        <f>'A) Base RI'!Y108</f>
        <v>-0.6</v>
      </c>
      <c r="G108" s="387">
        <f t="shared" si="6"/>
        <v>883653.46</v>
      </c>
      <c r="H108" s="10">
        <f>+'A) Base RI'!E108</f>
        <v>0</v>
      </c>
      <c r="I108" s="10">
        <f>+'A) Base RI'!F108</f>
        <v>0</v>
      </c>
      <c r="J108" s="10">
        <f>+'A) Base RI'!G108+'A) Base RI'!H108+'A) Base RI'!S108</f>
        <v>397005.52999999997</v>
      </c>
      <c r="K108" s="10">
        <f>+'A) Base RI'!I108</f>
        <v>0</v>
      </c>
      <c r="L108" s="10">
        <f>+'A) Base RI'!J108</f>
        <v>6667.67</v>
      </c>
      <c r="M108" s="10">
        <f>+'A) Base RI'!K108</f>
        <v>24118.65</v>
      </c>
      <c r="N108" s="10">
        <f>+'A) Base RI'!Q108</f>
        <v>3.4</v>
      </c>
      <c r="O108" s="10">
        <f t="shared" si="7"/>
        <v>130218.95</v>
      </c>
      <c r="P108" s="10">
        <f>+'A) Base RI'!L108</f>
        <v>130218.95</v>
      </c>
      <c r="Q108" s="395">
        <f>'A) Base RI'!Z108</f>
        <v>1</v>
      </c>
      <c r="R108" s="387">
        <f t="shared" si="8"/>
        <v>1441667.6599999997</v>
      </c>
      <c r="S108" s="428">
        <f>+'A) Base RI'!U108</f>
        <v>63.5</v>
      </c>
      <c r="T108" s="387">
        <f t="shared" si="9"/>
        <v>1287330.0599999998</v>
      </c>
      <c r="U108" s="387">
        <f t="shared" si="10"/>
        <v>22703.427716535429</v>
      </c>
      <c r="V108" s="10">
        <f>+'A) Base RI'!O108</f>
        <v>0</v>
      </c>
      <c r="W108" s="10">
        <f>+'A) Base RI'!P108</f>
        <v>45942.6</v>
      </c>
      <c r="X108" s="10">
        <f>+'A) Base RI'!R108</f>
        <v>29182.05</v>
      </c>
      <c r="Y108" s="387">
        <f t="shared" si="11"/>
        <v>75124.649999999994</v>
      </c>
      <c r="Z108" s="10">
        <f>+'A) Base RI'!N108</f>
        <v>63286.3</v>
      </c>
      <c r="AA108" s="10">
        <f>'A) Base RI'!V108</f>
        <v>495</v>
      </c>
    </row>
    <row r="109" spans="1:27" x14ac:dyDescent="0.25">
      <c r="A109" s="8">
        <f>'A) Base RI'!A109</f>
        <v>5566</v>
      </c>
      <c r="B109" s="32" t="str">
        <f>'A) Base RI'!B109</f>
        <v>Provence</v>
      </c>
      <c r="C109" s="10">
        <f>'A) Base RI'!C109+'A) Base RI'!D109</f>
        <v>681714.19</v>
      </c>
      <c r="D109" s="10">
        <f>'A) Base RI'!W109</f>
        <v>-16284.01</v>
      </c>
      <c r="E109" s="384">
        <f>'A) Base RI'!X109</f>
        <v>0</v>
      </c>
      <c r="F109" s="384">
        <f>'A) Base RI'!Y109</f>
        <v>-0.1</v>
      </c>
      <c r="G109" s="387">
        <f t="shared" si="6"/>
        <v>665430.07999999996</v>
      </c>
      <c r="H109" s="10">
        <f>+'A) Base RI'!E109</f>
        <v>0</v>
      </c>
      <c r="I109" s="10">
        <f>+'A) Base RI'!F109</f>
        <v>2630</v>
      </c>
      <c r="J109" s="10">
        <f>+'A) Base RI'!G109+'A) Base RI'!H109+'A) Base RI'!S109</f>
        <v>16625.07</v>
      </c>
      <c r="K109" s="10">
        <f>+'A) Base RI'!I109</f>
        <v>0</v>
      </c>
      <c r="L109" s="10">
        <f>+'A) Base RI'!J109</f>
        <v>8166.81</v>
      </c>
      <c r="M109" s="10">
        <f>+'A) Base RI'!K109</f>
        <v>371.05</v>
      </c>
      <c r="N109" s="10">
        <f>+'A) Base RI'!Q109</f>
        <v>12552.74</v>
      </c>
      <c r="O109" s="10">
        <f t="shared" si="7"/>
        <v>53829.4</v>
      </c>
      <c r="P109" s="10">
        <f>+'A) Base RI'!L109</f>
        <v>80744.100000000006</v>
      </c>
      <c r="Q109" s="395">
        <f>'A) Base RI'!Z109</f>
        <v>1.5</v>
      </c>
      <c r="R109" s="387">
        <f t="shared" si="8"/>
        <v>759605.15</v>
      </c>
      <c r="S109" s="428">
        <f>+'A) Base RI'!U109</f>
        <v>81</v>
      </c>
      <c r="T109" s="387">
        <f t="shared" si="9"/>
        <v>702774.7</v>
      </c>
      <c r="U109" s="387">
        <f t="shared" si="10"/>
        <v>9377.8413580246925</v>
      </c>
      <c r="V109" s="10">
        <f>+'A) Base RI'!O109</f>
        <v>630</v>
      </c>
      <c r="W109" s="10">
        <f>+'A) Base RI'!P109</f>
        <v>10185.700000000001</v>
      </c>
      <c r="X109" s="10">
        <f>+'A) Base RI'!R109</f>
        <v>39935</v>
      </c>
      <c r="Y109" s="387">
        <f t="shared" si="11"/>
        <v>50750.7</v>
      </c>
      <c r="Z109" s="10">
        <f>+'A) Base RI'!N109</f>
        <v>7185.35</v>
      </c>
      <c r="AA109" s="10">
        <f>'A) Base RI'!V109</f>
        <v>403</v>
      </c>
    </row>
    <row r="110" spans="1:27" x14ac:dyDescent="0.25">
      <c r="A110" s="8">
        <f>'A) Base RI'!A110</f>
        <v>5568</v>
      </c>
      <c r="B110" s="32" t="str">
        <f>'A) Base RI'!B110</f>
        <v>Sainte-Croix</v>
      </c>
      <c r="C110" s="10">
        <f>'A) Base RI'!C110+'A) Base RI'!D110</f>
        <v>6477301.0600000005</v>
      </c>
      <c r="D110" s="10">
        <f>'A) Base RI'!W110</f>
        <v>-188721.09</v>
      </c>
      <c r="E110" s="384">
        <f>'A) Base RI'!X110</f>
        <v>0</v>
      </c>
      <c r="F110" s="384">
        <f>'A) Base RI'!Y110</f>
        <v>-3069.98</v>
      </c>
      <c r="G110" s="387">
        <f t="shared" si="6"/>
        <v>6285509.9900000002</v>
      </c>
      <c r="H110" s="10">
        <f>+'A) Base RI'!E110</f>
        <v>0</v>
      </c>
      <c r="I110" s="10">
        <f>+'A) Base RI'!F110</f>
        <v>0</v>
      </c>
      <c r="J110" s="10">
        <f>+'A) Base RI'!G110+'A) Base RI'!H110+'A) Base RI'!S110</f>
        <v>449237.56</v>
      </c>
      <c r="K110" s="10">
        <f>+'A) Base RI'!I110</f>
        <v>45476.55</v>
      </c>
      <c r="L110" s="10">
        <f>+'A) Base RI'!J110</f>
        <v>118781.81</v>
      </c>
      <c r="M110" s="10">
        <f>+'A) Base RI'!K110</f>
        <v>58362.9</v>
      </c>
      <c r="N110" s="10">
        <f>+'A) Base RI'!Q110</f>
        <v>43024.68</v>
      </c>
      <c r="O110" s="10">
        <f t="shared" si="7"/>
        <v>641637.55000000005</v>
      </c>
      <c r="P110" s="10">
        <f>+'A) Base RI'!L110</f>
        <v>641637.55000000005</v>
      </c>
      <c r="Q110" s="395">
        <f>'A) Base RI'!Z110</f>
        <v>1</v>
      </c>
      <c r="R110" s="387">
        <f t="shared" si="8"/>
        <v>7642031.0399999991</v>
      </c>
      <c r="S110" s="428">
        <f>+'A) Base RI'!U110</f>
        <v>70</v>
      </c>
      <c r="T110" s="387">
        <f t="shared" si="9"/>
        <v>6942030.5899999989</v>
      </c>
      <c r="U110" s="387">
        <f t="shared" si="10"/>
        <v>109171.87199999999</v>
      </c>
      <c r="V110" s="10">
        <f>+'A) Base RI'!O110</f>
        <v>599088.19999999995</v>
      </c>
      <c r="W110" s="10">
        <f>+'A) Base RI'!P110</f>
        <v>382005</v>
      </c>
      <c r="X110" s="10">
        <f>+'A) Base RI'!R110</f>
        <v>289286.59999999998</v>
      </c>
      <c r="Y110" s="387">
        <f t="shared" si="11"/>
        <v>1270379.7999999998</v>
      </c>
      <c r="Z110" s="10">
        <f>+'A) Base RI'!N110</f>
        <v>2053229.95</v>
      </c>
      <c r="AA110" s="10">
        <f>'A) Base RI'!V110</f>
        <v>4948</v>
      </c>
    </row>
    <row r="111" spans="1:27" x14ac:dyDescent="0.25">
      <c r="A111" s="8">
        <f>'A) Base RI'!A111</f>
        <v>5571</v>
      </c>
      <c r="B111" s="32" t="str">
        <f>'A) Base RI'!B111</f>
        <v>Tévenon</v>
      </c>
      <c r="C111" s="10">
        <f>'A) Base RI'!C111+'A) Base RI'!D111</f>
        <v>1612117.02</v>
      </c>
      <c r="D111" s="10">
        <f>'A) Base RI'!W111</f>
        <v>-8173.95</v>
      </c>
      <c r="E111" s="384">
        <f>'A) Base RI'!X111</f>
        <v>0</v>
      </c>
      <c r="F111" s="384">
        <f>'A) Base RI'!Y111</f>
        <v>0</v>
      </c>
      <c r="G111" s="387">
        <f t="shared" si="6"/>
        <v>1603943.07</v>
      </c>
      <c r="H111" s="10">
        <f>+'A) Base RI'!E111</f>
        <v>0</v>
      </c>
      <c r="I111" s="10">
        <f>+'A) Base RI'!F111</f>
        <v>0</v>
      </c>
      <c r="J111" s="10">
        <f>+'A) Base RI'!G111+'A) Base RI'!H111+'A) Base RI'!S111</f>
        <v>9842.9599999999991</v>
      </c>
      <c r="K111" s="10">
        <f>+'A) Base RI'!I111</f>
        <v>0</v>
      </c>
      <c r="L111" s="10">
        <f>+'A) Base RI'!J111</f>
        <v>21713.79</v>
      </c>
      <c r="M111" s="10">
        <f>+'A) Base RI'!K111</f>
        <v>7355.2</v>
      </c>
      <c r="N111" s="10">
        <f>+'A) Base RI'!Q111</f>
        <v>0</v>
      </c>
      <c r="O111" s="10">
        <f t="shared" si="7"/>
        <v>167899.625</v>
      </c>
      <c r="P111" s="10">
        <f>+'A) Base RI'!L111</f>
        <v>201479.55</v>
      </c>
      <c r="Q111" s="395">
        <f>'A) Base RI'!Z111</f>
        <v>1.2</v>
      </c>
      <c r="R111" s="387">
        <f t="shared" si="8"/>
        <v>1810754.645</v>
      </c>
      <c r="S111" s="428">
        <f>+'A) Base RI'!U111</f>
        <v>71.5</v>
      </c>
      <c r="T111" s="387">
        <f t="shared" si="9"/>
        <v>1635499.82</v>
      </c>
      <c r="U111" s="387">
        <f t="shared" si="10"/>
        <v>25325.239790209791</v>
      </c>
      <c r="V111" s="10">
        <f>+'A) Base RI'!O111</f>
        <v>26526.2</v>
      </c>
      <c r="W111" s="10">
        <f>+'A) Base RI'!P111</f>
        <v>73000.05</v>
      </c>
      <c r="X111" s="10">
        <f>+'A) Base RI'!R111</f>
        <v>112137.25</v>
      </c>
      <c r="Y111" s="387">
        <f t="shared" si="11"/>
        <v>211663.5</v>
      </c>
      <c r="Z111" s="10">
        <f>+'A) Base RI'!N111</f>
        <v>51246.7</v>
      </c>
      <c r="AA111" s="10">
        <f>'A) Base RI'!V111</f>
        <v>883</v>
      </c>
    </row>
    <row r="112" spans="1:27" x14ac:dyDescent="0.25">
      <c r="A112" s="8">
        <f>'A) Base RI'!A112</f>
        <v>5581</v>
      </c>
      <c r="B112" s="32" t="str">
        <f>'A) Base RI'!B112</f>
        <v>Belmont-sur-Lausanne</v>
      </c>
      <c r="C112" s="10">
        <f>'A) Base RI'!C112+'A) Base RI'!D112</f>
        <v>14292407.800000001</v>
      </c>
      <c r="D112" s="10">
        <f>'A) Base RI'!W112</f>
        <v>-65096.46</v>
      </c>
      <c r="E112" s="384">
        <f>'A) Base RI'!X112</f>
        <v>0</v>
      </c>
      <c r="F112" s="384">
        <f>'A) Base RI'!Y112</f>
        <v>-15831.7</v>
      </c>
      <c r="G112" s="387">
        <f t="shared" si="6"/>
        <v>14211479.640000001</v>
      </c>
      <c r="H112" s="10">
        <f>+'A) Base RI'!E112</f>
        <v>0</v>
      </c>
      <c r="I112" s="10">
        <f>+'A) Base RI'!F112</f>
        <v>0</v>
      </c>
      <c r="J112" s="10">
        <f>+'A) Base RI'!G112+'A) Base RI'!H112+'A) Base RI'!S112</f>
        <v>169940.52000000002</v>
      </c>
      <c r="K112" s="10">
        <f>+'A) Base RI'!I112</f>
        <v>59666.6</v>
      </c>
      <c r="L112" s="10">
        <f>+'A) Base RI'!J112</f>
        <v>50492.89</v>
      </c>
      <c r="M112" s="10">
        <f>+'A) Base RI'!K112</f>
        <v>35196.15</v>
      </c>
      <c r="N112" s="10">
        <f>+'A) Base RI'!Q112</f>
        <v>13964.06</v>
      </c>
      <c r="O112" s="10">
        <f t="shared" si="7"/>
        <v>970648.03333333333</v>
      </c>
      <c r="P112" s="10">
        <f>+'A) Base RI'!L112</f>
        <v>1455972.05</v>
      </c>
      <c r="Q112" s="395">
        <f>'A) Base RI'!Z112</f>
        <v>1.5</v>
      </c>
      <c r="R112" s="387">
        <f t="shared" si="8"/>
        <v>15511387.893333334</v>
      </c>
      <c r="S112" s="428">
        <f>+'A) Base RI'!U112</f>
        <v>72</v>
      </c>
      <c r="T112" s="387">
        <f t="shared" si="9"/>
        <v>14505543.710000001</v>
      </c>
      <c r="U112" s="387">
        <f t="shared" si="10"/>
        <v>215435.94296296299</v>
      </c>
      <c r="V112" s="10">
        <f>+'A) Base RI'!O112</f>
        <v>72349.5</v>
      </c>
      <c r="W112" s="10">
        <f>+'A) Base RI'!P112</f>
        <v>820976.65</v>
      </c>
      <c r="X112" s="10">
        <f>+'A) Base RI'!R112</f>
        <v>713701.5</v>
      </c>
      <c r="Y112" s="387">
        <f t="shared" si="11"/>
        <v>1607027.65</v>
      </c>
      <c r="Z112" s="10">
        <f>+'A) Base RI'!N112</f>
        <v>9474.2999999999993</v>
      </c>
      <c r="AA112" s="10">
        <f>'A) Base RI'!V112</f>
        <v>3871</v>
      </c>
    </row>
    <row r="113" spans="1:27" x14ac:dyDescent="0.25">
      <c r="A113" s="8">
        <f>'A) Base RI'!A113</f>
        <v>5582</v>
      </c>
      <c r="B113" s="32" t="str">
        <f>'A) Base RI'!B113</f>
        <v>Cheseaux-sur-Lausanne</v>
      </c>
      <c r="C113" s="10">
        <f>'A) Base RI'!C113+'A) Base RI'!D113</f>
        <v>10548941.83</v>
      </c>
      <c r="D113" s="10">
        <f>'A) Base RI'!W113</f>
        <v>-145996.04999999999</v>
      </c>
      <c r="E113" s="384">
        <f>'A) Base RI'!X113</f>
        <v>0</v>
      </c>
      <c r="F113" s="384">
        <f>'A) Base RI'!Y113</f>
        <v>-12825.31</v>
      </c>
      <c r="G113" s="387">
        <f t="shared" si="6"/>
        <v>10390120.469999999</v>
      </c>
      <c r="H113" s="10">
        <f>+'A) Base RI'!E113</f>
        <v>0</v>
      </c>
      <c r="I113" s="10">
        <f>+'A) Base RI'!F113</f>
        <v>0</v>
      </c>
      <c r="J113" s="10">
        <f>+'A) Base RI'!G113+'A) Base RI'!H113+'A) Base RI'!S113</f>
        <v>485194.31000000006</v>
      </c>
      <c r="K113" s="10">
        <f>+'A) Base RI'!I113</f>
        <v>-27176.23</v>
      </c>
      <c r="L113" s="10">
        <f>+'A) Base RI'!J113</f>
        <v>312399.43</v>
      </c>
      <c r="M113" s="10">
        <f>+'A) Base RI'!K113</f>
        <v>83192.45</v>
      </c>
      <c r="N113" s="10">
        <f>+'A) Base RI'!Q113</f>
        <v>32911</v>
      </c>
      <c r="O113" s="10">
        <f t="shared" si="7"/>
        <v>951358.4</v>
      </c>
      <c r="P113" s="10">
        <f>+'A) Base RI'!L113</f>
        <v>951358.4</v>
      </c>
      <c r="Q113" s="395">
        <f>'A) Base RI'!Z113</f>
        <v>1</v>
      </c>
      <c r="R113" s="387">
        <f t="shared" si="8"/>
        <v>12227999.829999998</v>
      </c>
      <c r="S113" s="428">
        <f>+'A) Base RI'!U113</f>
        <v>73</v>
      </c>
      <c r="T113" s="387">
        <f t="shared" si="9"/>
        <v>11193448.979999999</v>
      </c>
      <c r="U113" s="387">
        <f t="shared" si="10"/>
        <v>167506.84698630136</v>
      </c>
      <c r="V113" s="10">
        <f>+'A) Base RI'!O113</f>
        <v>461920.2</v>
      </c>
      <c r="W113" s="10">
        <f>+'A) Base RI'!P113</f>
        <v>546244.75</v>
      </c>
      <c r="X113" s="10">
        <f>+'A) Base RI'!R113</f>
        <v>773876.4</v>
      </c>
      <c r="Y113" s="387">
        <f t="shared" si="11"/>
        <v>1782041.35</v>
      </c>
      <c r="Z113" s="10">
        <f>+'A) Base RI'!N113</f>
        <v>449844.65</v>
      </c>
      <c r="AA113" s="10">
        <f>'A) Base RI'!V113</f>
        <v>4449</v>
      </c>
    </row>
    <row r="114" spans="1:27" x14ac:dyDescent="0.25">
      <c r="A114" s="8">
        <f>'A) Base RI'!A114</f>
        <v>5583</v>
      </c>
      <c r="B114" s="32" t="str">
        <f>'A) Base RI'!B114</f>
        <v>Crissier</v>
      </c>
      <c r="C114" s="10">
        <f>'A) Base RI'!C114+'A) Base RI'!D114</f>
        <v>13412336.809999999</v>
      </c>
      <c r="D114" s="10">
        <f>'A) Base RI'!W114</f>
        <v>-222182.55</v>
      </c>
      <c r="E114" s="384">
        <f>'A) Base RI'!X114</f>
        <v>0</v>
      </c>
      <c r="F114" s="384">
        <f>'A) Base RI'!Y114</f>
        <v>-2314.4499999999998</v>
      </c>
      <c r="G114" s="387">
        <f t="shared" si="6"/>
        <v>13187839.809999999</v>
      </c>
      <c r="H114" s="10">
        <f>+'A) Base RI'!E114</f>
        <v>0</v>
      </c>
      <c r="I114" s="10">
        <f>+'A) Base RI'!F114</f>
        <v>0</v>
      </c>
      <c r="J114" s="10">
        <f>+'A) Base RI'!G114+'A) Base RI'!H114+'A) Base RI'!S114</f>
        <v>4340737.33</v>
      </c>
      <c r="K114" s="10">
        <f>+'A) Base RI'!I114</f>
        <v>0</v>
      </c>
      <c r="L114" s="10">
        <f>+'A) Base RI'!J114</f>
        <v>969801.07</v>
      </c>
      <c r="M114" s="10">
        <f>+'A) Base RI'!K114</f>
        <v>388664.15</v>
      </c>
      <c r="N114" s="10">
        <f>+'A) Base RI'!Q114</f>
        <v>43662.31</v>
      </c>
      <c r="O114" s="10">
        <f t="shared" si="7"/>
        <v>2503743.2999999998</v>
      </c>
      <c r="P114" s="10">
        <f>+'A) Base RI'!L114</f>
        <v>2503743.2999999998</v>
      </c>
      <c r="Q114" s="395">
        <f>'A) Base RI'!Z114</f>
        <v>1</v>
      </c>
      <c r="R114" s="387">
        <f t="shared" si="8"/>
        <v>21434447.969999999</v>
      </c>
      <c r="S114" s="428">
        <f>+'A) Base RI'!U114</f>
        <v>63.5</v>
      </c>
      <c r="T114" s="387">
        <f t="shared" si="9"/>
        <v>18542040.52</v>
      </c>
      <c r="U114" s="387">
        <f t="shared" si="10"/>
        <v>337550.36173228343</v>
      </c>
      <c r="V114" s="10">
        <f>+'A) Base RI'!O114</f>
        <v>245089.6</v>
      </c>
      <c r="W114" s="10">
        <f>+'A) Base RI'!P114</f>
        <v>1501884.75</v>
      </c>
      <c r="X114" s="10">
        <f>+'A) Base RI'!R114</f>
        <v>1165005.55</v>
      </c>
      <c r="Y114" s="387">
        <f t="shared" si="11"/>
        <v>2911979.9000000004</v>
      </c>
      <c r="Z114" s="10">
        <f>+'A) Base RI'!N114</f>
        <v>2173154.15</v>
      </c>
      <c r="AA114" s="10">
        <f>'A) Base RI'!V114</f>
        <v>8974</v>
      </c>
    </row>
    <row r="115" spans="1:27" x14ac:dyDescent="0.25">
      <c r="A115" s="8">
        <f>'A) Base RI'!A115</f>
        <v>5584</v>
      </c>
      <c r="B115" s="32" t="str">
        <f>'A) Base RI'!B115</f>
        <v>Epalinges</v>
      </c>
      <c r="C115" s="10">
        <f>'A) Base RI'!C115+'A) Base RI'!D115</f>
        <v>28814473.259999998</v>
      </c>
      <c r="D115" s="10">
        <f>'A) Base RI'!W115</f>
        <v>-363450.84</v>
      </c>
      <c r="E115" s="384">
        <f>'A) Base RI'!X115</f>
        <v>0</v>
      </c>
      <c r="F115" s="384">
        <f>'A) Base RI'!Y115</f>
        <v>-32342.31</v>
      </c>
      <c r="G115" s="387">
        <f t="shared" si="6"/>
        <v>28418680.109999999</v>
      </c>
      <c r="H115" s="10">
        <f>+'A) Base RI'!E115</f>
        <v>0</v>
      </c>
      <c r="I115" s="10">
        <f>+'A) Base RI'!F115</f>
        <v>0</v>
      </c>
      <c r="J115" s="10">
        <f>+'A) Base RI'!G115+'A) Base RI'!H115+'A) Base RI'!S115</f>
        <v>1768818.72</v>
      </c>
      <c r="K115" s="10">
        <f>+'A) Base RI'!I115</f>
        <v>318905.75</v>
      </c>
      <c r="L115" s="10">
        <f>+'A) Base RI'!J115</f>
        <v>249842.53</v>
      </c>
      <c r="M115" s="10">
        <f>+'A) Base RI'!K115</f>
        <v>165858.70000000001</v>
      </c>
      <c r="N115" s="10">
        <f>+'A) Base RI'!Q115</f>
        <v>60504.7</v>
      </c>
      <c r="O115" s="10">
        <f t="shared" si="7"/>
        <v>2348850.7999999998</v>
      </c>
      <c r="P115" s="10">
        <f>+'A) Base RI'!L115</f>
        <v>2348850.7999999998</v>
      </c>
      <c r="Q115" s="395">
        <f>'A) Base RI'!Z115</f>
        <v>1</v>
      </c>
      <c r="R115" s="387">
        <f t="shared" si="8"/>
        <v>33331461.309999999</v>
      </c>
      <c r="S115" s="428">
        <f>+'A) Base RI'!U115</f>
        <v>64.5</v>
      </c>
      <c r="T115" s="387">
        <f t="shared" si="9"/>
        <v>30816751.809999999</v>
      </c>
      <c r="U115" s="387">
        <f t="shared" si="10"/>
        <v>516766.84201550385</v>
      </c>
      <c r="V115" s="10">
        <f>+'A) Base RI'!O115</f>
        <v>585788.80000000005</v>
      </c>
      <c r="W115" s="10">
        <f>+'A) Base RI'!P115</f>
        <v>1803696.3</v>
      </c>
      <c r="X115" s="10">
        <f>+'A) Base RI'!R115</f>
        <v>1193095.95</v>
      </c>
      <c r="Y115" s="387">
        <f t="shared" si="11"/>
        <v>3582581.05</v>
      </c>
      <c r="Z115" s="10">
        <f>+'A) Base RI'!N115</f>
        <v>293562.8</v>
      </c>
      <c r="AA115" s="10">
        <f>'A) Base RI'!V115</f>
        <v>9813</v>
      </c>
    </row>
    <row r="116" spans="1:27" x14ac:dyDescent="0.25">
      <c r="A116" s="8">
        <f>'A) Base RI'!A116</f>
        <v>5585</v>
      </c>
      <c r="B116" s="32" t="str">
        <f>'A) Base RI'!B116</f>
        <v>Jouxtens-Mézery</v>
      </c>
      <c r="C116" s="10">
        <f>'A) Base RI'!C116+'A) Base RI'!D116</f>
        <v>10509398.02</v>
      </c>
      <c r="D116" s="10">
        <f>'A) Base RI'!W116</f>
        <v>-15901.99</v>
      </c>
      <c r="E116" s="384">
        <f>'A) Base RI'!X116</f>
        <v>0</v>
      </c>
      <c r="F116" s="384">
        <f>'A) Base RI'!Y116</f>
        <v>-2588.84</v>
      </c>
      <c r="G116" s="387">
        <f t="shared" si="6"/>
        <v>10490907.189999999</v>
      </c>
      <c r="H116" s="10">
        <f>+'A) Base RI'!E116</f>
        <v>0</v>
      </c>
      <c r="I116" s="10">
        <f>+'A) Base RI'!F116</f>
        <v>0</v>
      </c>
      <c r="J116" s="10">
        <f>+'A) Base RI'!G116+'A) Base RI'!H116+'A) Base RI'!S116</f>
        <v>47497.94</v>
      </c>
      <c r="K116" s="10">
        <f>+'A) Base RI'!I116</f>
        <v>144304.92000000001</v>
      </c>
      <c r="L116" s="10">
        <f>+'A) Base RI'!J116</f>
        <v>46659.46</v>
      </c>
      <c r="M116" s="10">
        <f>+'A) Base RI'!K116</f>
        <v>7803.5</v>
      </c>
      <c r="N116" s="10">
        <f>+'A) Base RI'!Q116</f>
        <v>0</v>
      </c>
      <c r="O116" s="10">
        <f t="shared" si="7"/>
        <v>575774.35</v>
      </c>
      <c r="P116" s="10">
        <f>+'A) Base RI'!L116</f>
        <v>575774.35</v>
      </c>
      <c r="Q116" s="395">
        <f>'A) Base RI'!Z116</f>
        <v>1</v>
      </c>
      <c r="R116" s="387">
        <f t="shared" si="8"/>
        <v>11312947.359999999</v>
      </c>
      <c r="S116" s="428">
        <f>+'A) Base RI'!U116</f>
        <v>59</v>
      </c>
      <c r="T116" s="387">
        <f t="shared" si="9"/>
        <v>10729369.51</v>
      </c>
      <c r="U116" s="387">
        <f t="shared" si="10"/>
        <v>191744.87050847456</v>
      </c>
      <c r="V116" s="10">
        <f>+'A) Base RI'!O116</f>
        <v>34254.1</v>
      </c>
      <c r="W116" s="10">
        <f>+'A) Base RI'!P116</f>
        <v>400119.55</v>
      </c>
      <c r="X116" s="10">
        <f>+'A) Base RI'!R116</f>
        <v>450464.3</v>
      </c>
      <c r="Y116" s="387">
        <f t="shared" si="11"/>
        <v>884837.95</v>
      </c>
      <c r="Z116" s="10">
        <f>+'A) Base RI'!N116</f>
        <v>1366.85</v>
      </c>
      <c r="AA116" s="10">
        <f>'A) Base RI'!V116</f>
        <v>1460</v>
      </c>
    </row>
    <row r="117" spans="1:27" x14ac:dyDescent="0.25">
      <c r="A117" s="8">
        <f>'A) Base RI'!A117</f>
        <v>5586</v>
      </c>
      <c r="B117" s="32" t="str">
        <f>'A) Base RI'!B117</f>
        <v>Lausanne</v>
      </c>
      <c r="C117" s="10">
        <f>'A) Base RI'!C117+'A) Base RI'!D117</f>
        <v>358279754.54000002</v>
      </c>
      <c r="D117" s="10">
        <f>'A) Base RI'!W117</f>
        <v>-7446520.7599999998</v>
      </c>
      <c r="E117" s="384">
        <f>'A) Base RI'!X117</f>
        <v>0</v>
      </c>
      <c r="F117" s="384">
        <f>'A) Base RI'!Y117</f>
        <v>-598538.9</v>
      </c>
      <c r="G117" s="387">
        <f t="shared" si="6"/>
        <v>350234694.88000005</v>
      </c>
      <c r="H117" s="10">
        <f>+'A) Base RI'!E117</f>
        <v>0</v>
      </c>
      <c r="I117" s="10">
        <f>+'A) Base RI'!F117</f>
        <v>0</v>
      </c>
      <c r="J117" s="10">
        <f>+'A) Base RI'!G117+'A) Base RI'!H117+'A) Base RI'!S117</f>
        <v>91492716.010000005</v>
      </c>
      <c r="K117" s="10">
        <f>+'A) Base RI'!I117</f>
        <v>6608887.4400000004</v>
      </c>
      <c r="L117" s="10">
        <f>+'A) Base RI'!J117</f>
        <v>20383530.43</v>
      </c>
      <c r="M117" s="10">
        <f>+'A) Base RI'!K117</f>
        <v>6198102.4000000004</v>
      </c>
      <c r="N117" s="10">
        <f>+'A) Base RI'!Q117</f>
        <v>2236041.6</v>
      </c>
      <c r="O117" s="10">
        <f t="shared" si="7"/>
        <v>30073126.766666666</v>
      </c>
      <c r="P117" s="10">
        <f>+'A) Base RI'!L117</f>
        <v>45109690.149999999</v>
      </c>
      <c r="Q117" s="395">
        <f>'A) Base RI'!Z117</f>
        <v>1.5</v>
      </c>
      <c r="R117" s="387">
        <f t="shared" si="8"/>
        <v>507227099.5266667</v>
      </c>
      <c r="S117" s="428">
        <f>+'A) Base RI'!U117</f>
        <v>78.5</v>
      </c>
      <c r="T117" s="387">
        <f t="shared" si="9"/>
        <v>470955870.36000007</v>
      </c>
      <c r="U117" s="387">
        <f t="shared" si="10"/>
        <v>6461491.7137154993</v>
      </c>
      <c r="V117" s="10">
        <f>+'A) Base RI'!O117</f>
        <v>22230070.300000001</v>
      </c>
      <c r="W117" s="10">
        <f>+'A) Base RI'!P117</f>
        <v>13693939.9</v>
      </c>
      <c r="X117" s="10">
        <f>+'A) Base RI'!R117</f>
        <v>12379655.1</v>
      </c>
      <c r="Y117" s="387">
        <f t="shared" si="11"/>
        <v>48303665.300000004</v>
      </c>
      <c r="Z117" s="10">
        <f>+'A) Base RI'!N117</f>
        <v>13203708.65</v>
      </c>
      <c r="AA117" s="10">
        <f>'A) Base RI'!V117</f>
        <v>140824</v>
      </c>
    </row>
    <row r="118" spans="1:27" x14ac:dyDescent="0.25">
      <c r="A118" s="8">
        <f>'A) Base RI'!A118</f>
        <v>5587</v>
      </c>
      <c r="B118" s="32" t="str">
        <f>'A) Base RI'!B118</f>
        <v>Le Mont-sur-Lausanne</v>
      </c>
      <c r="C118" s="10">
        <f>'A) Base RI'!C118+'A) Base RI'!D118</f>
        <v>29290460.959999997</v>
      </c>
      <c r="D118" s="10">
        <f>'A) Base RI'!W118</f>
        <v>-292181.78000000003</v>
      </c>
      <c r="E118" s="384">
        <f>'A) Base RI'!X118</f>
        <v>0</v>
      </c>
      <c r="F118" s="384">
        <f>'A) Base RI'!Y118</f>
        <v>-37059.47</v>
      </c>
      <c r="G118" s="387">
        <f t="shared" si="6"/>
        <v>28961219.709999997</v>
      </c>
      <c r="H118" s="10">
        <f>+'A) Base RI'!E118</f>
        <v>0</v>
      </c>
      <c r="I118" s="10">
        <f>+'A) Base RI'!F118</f>
        <v>0</v>
      </c>
      <c r="J118" s="10">
        <f>+'A) Base RI'!G118+'A) Base RI'!H118+'A) Base RI'!S118</f>
        <v>3475710.95</v>
      </c>
      <c r="K118" s="10">
        <f>+'A) Base RI'!I118</f>
        <v>278338.5</v>
      </c>
      <c r="L118" s="10">
        <f>+'A) Base RI'!J118</f>
        <v>552894.36</v>
      </c>
      <c r="M118" s="10">
        <f>+'A) Base RI'!K118</f>
        <v>369721.85</v>
      </c>
      <c r="N118" s="10">
        <f>+'A) Base RI'!Q118</f>
        <v>49691.75</v>
      </c>
      <c r="O118" s="10">
        <f t="shared" si="7"/>
        <v>2699189.8333333335</v>
      </c>
      <c r="P118" s="10">
        <f>+'A) Base RI'!L118</f>
        <v>3239027.8</v>
      </c>
      <c r="Q118" s="395">
        <f>'A) Base RI'!Z118</f>
        <v>1.2</v>
      </c>
      <c r="R118" s="387">
        <f t="shared" si="8"/>
        <v>36386766.953333333</v>
      </c>
      <c r="S118" s="428">
        <f>+'A) Base RI'!U118</f>
        <v>73.5</v>
      </c>
      <c r="T118" s="387">
        <f t="shared" si="9"/>
        <v>33317855.269999996</v>
      </c>
      <c r="U118" s="387">
        <f t="shared" si="10"/>
        <v>495058.05378684809</v>
      </c>
      <c r="V118" s="10">
        <f>+'A) Base RI'!O118</f>
        <v>495075.8</v>
      </c>
      <c r="W118" s="10">
        <f>+'A) Base RI'!P118</f>
        <v>2138196.2999999998</v>
      </c>
      <c r="X118" s="10">
        <f>+'A) Base RI'!R118</f>
        <v>2298626.15</v>
      </c>
      <c r="Y118" s="387">
        <f t="shared" si="11"/>
        <v>4931898.25</v>
      </c>
      <c r="Z118" s="10">
        <f>+'A) Base RI'!N118</f>
        <v>766350.2</v>
      </c>
      <c r="AA118" s="10">
        <f>'A) Base RI'!V118</f>
        <v>9217</v>
      </c>
    </row>
    <row r="119" spans="1:27" x14ac:dyDescent="0.25">
      <c r="A119" s="8">
        <f>'A) Base RI'!A119</f>
        <v>5588</v>
      </c>
      <c r="B119" s="32" t="str">
        <f>'A) Base RI'!B119</f>
        <v>Paudex</v>
      </c>
      <c r="C119" s="10">
        <f>'A) Base RI'!C119+'A) Base RI'!D119</f>
        <v>11858671.880000001</v>
      </c>
      <c r="D119" s="10">
        <f>'A) Base RI'!W119</f>
        <v>-30681.040000000001</v>
      </c>
      <c r="E119" s="384">
        <f>'A) Base RI'!X119</f>
        <v>0</v>
      </c>
      <c r="F119" s="384">
        <f>'A) Base RI'!Y119</f>
        <v>-45516.02</v>
      </c>
      <c r="G119" s="387">
        <f t="shared" si="6"/>
        <v>11782474.820000002</v>
      </c>
      <c r="H119" s="10">
        <f>+'A) Base RI'!E119</f>
        <v>0</v>
      </c>
      <c r="I119" s="10">
        <f>+'A) Base RI'!F119</f>
        <v>0</v>
      </c>
      <c r="J119" s="10">
        <f>+'A) Base RI'!G119+'A) Base RI'!H119+'A) Base RI'!S119</f>
        <v>918132.04</v>
      </c>
      <c r="K119" s="10">
        <f>+'A) Base RI'!I119</f>
        <v>649215.15</v>
      </c>
      <c r="L119" s="10">
        <f>+'A) Base RI'!J119</f>
        <v>391193.39</v>
      </c>
      <c r="M119" s="10">
        <f>+'A) Base RI'!K119</f>
        <v>39501.050000000003</v>
      </c>
      <c r="N119" s="10">
        <f>+'A) Base RI'!Q119</f>
        <v>2535</v>
      </c>
      <c r="O119" s="10">
        <f t="shared" si="7"/>
        <v>564742.35714285716</v>
      </c>
      <c r="P119" s="10">
        <f>+'A) Base RI'!L119</f>
        <v>395319.65</v>
      </c>
      <c r="Q119" s="395">
        <f>'A) Base RI'!Z119</f>
        <v>0.7</v>
      </c>
      <c r="R119" s="387">
        <f t="shared" si="8"/>
        <v>14347793.807142861</v>
      </c>
      <c r="S119" s="428">
        <f>+'A) Base RI'!U119</f>
        <v>66.5</v>
      </c>
      <c r="T119" s="387">
        <f t="shared" si="9"/>
        <v>13743550.400000004</v>
      </c>
      <c r="U119" s="387">
        <f t="shared" si="10"/>
        <v>215756.29785177234</v>
      </c>
      <c r="V119" s="10">
        <f>+'A) Base RI'!O119</f>
        <v>15108.4</v>
      </c>
      <c r="W119" s="10">
        <f>+'A) Base RI'!P119</f>
        <v>205920</v>
      </c>
      <c r="X119" s="10">
        <f>+'A) Base RI'!R119</f>
        <v>153893.79999999999</v>
      </c>
      <c r="Y119" s="387">
        <f t="shared" si="11"/>
        <v>374922.19999999995</v>
      </c>
      <c r="Z119" s="10">
        <f>+'A) Base RI'!N119</f>
        <v>24260.799999999999</v>
      </c>
      <c r="AA119" s="10">
        <f>'A) Base RI'!V119</f>
        <v>1545</v>
      </c>
    </row>
    <row r="120" spans="1:27" x14ac:dyDescent="0.25">
      <c r="A120" s="8">
        <f>'A) Base RI'!A120</f>
        <v>5589</v>
      </c>
      <c r="B120" s="32" t="str">
        <f>'A) Base RI'!B120</f>
        <v>Prilly</v>
      </c>
      <c r="C120" s="10">
        <f>'A) Base RI'!C120+'A) Base RI'!D120</f>
        <v>21752919.669999998</v>
      </c>
      <c r="D120" s="10">
        <f>'A) Base RI'!W120</f>
        <v>-426252.15</v>
      </c>
      <c r="E120" s="384">
        <f>'A) Base RI'!X120</f>
        <v>0</v>
      </c>
      <c r="F120" s="384">
        <f>'A) Base RI'!Y120</f>
        <v>-96008.36</v>
      </c>
      <c r="G120" s="387">
        <f t="shared" si="6"/>
        <v>21230659.16</v>
      </c>
      <c r="H120" s="10">
        <f>+'A) Base RI'!E120</f>
        <v>0</v>
      </c>
      <c r="I120" s="10">
        <f>+'A) Base RI'!F120</f>
        <v>0</v>
      </c>
      <c r="J120" s="10">
        <f>+'A) Base RI'!G120+'A) Base RI'!H120+'A) Base RI'!S120</f>
        <v>4992739.6100000003</v>
      </c>
      <c r="K120" s="10">
        <f>+'A) Base RI'!I120</f>
        <v>58264.7</v>
      </c>
      <c r="L120" s="10">
        <f>+'A) Base RI'!J120</f>
        <v>1230431.6399999999</v>
      </c>
      <c r="M120" s="10">
        <f>+'A) Base RI'!K120</f>
        <v>520616.25</v>
      </c>
      <c r="N120" s="10">
        <f>+'A) Base RI'!Q120</f>
        <v>118142.6</v>
      </c>
      <c r="O120" s="10">
        <f t="shared" si="7"/>
        <v>2266507.7307692305</v>
      </c>
      <c r="P120" s="10">
        <f>+'A) Base RI'!L120</f>
        <v>2946460.05</v>
      </c>
      <c r="Q120" s="395">
        <f>'A) Base RI'!Z120</f>
        <v>1.3</v>
      </c>
      <c r="R120" s="387">
        <f t="shared" si="8"/>
        <v>30417361.690769233</v>
      </c>
      <c r="S120" s="428">
        <f>+'A) Base RI'!U120</f>
        <v>72.5</v>
      </c>
      <c r="T120" s="387">
        <f t="shared" si="9"/>
        <v>27630237.710000001</v>
      </c>
      <c r="U120" s="387">
        <f t="shared" si="10"/>
        <v>419549.81642440322</v>
      </c>
      <c r="V120" s="10">
        <f>+'A) Base RI'!O120</f>
        <v>204544.1</v>
      </c>
      <c r="W120" s="10">
        <f>+'A) Base RI'!P120</f>
        <v>1178246.7</v>
      </c>
      <c r="X120" s="10">
        <f>+'A) Base RI'!R120</f>
        <v>1156634.1000000001</v>
      </c>
      <c r="Y120" s="387">
        <f t="shared" si="11"/>
        <v>2539424.9000000004</v>
      </c>
      <c r="Z120" s="10">
        <f>+'A) Base RI'!N120</f>
        <v>1267619.8999999999</v>
      </c>
      <c r="AA120" s="10">
        <f>'A) Base RI'!V120</f>
        <v>12341</v>
      </c>
    </row>
    <row r="121" spans="1:27" x14ac:dyDescent="0.25">
      <c r="A121" s="8">
        <f>'A) Base RI'!A121</f>
        <v>5590</v>
      </c>
      <c r="B121" s="32" t="str">
        <f>'A) Base RI'!B121</f>
        <v>Pully</v>
      </c>
      <c r="C121" s="10">
        <f>'A) Base RI'!C121+'A) Base RI'!D121</f>
        <v>74651093.030000001</v>
      </c>
      <c r="D121" s="10">
        <f>'A) Base RI'!W121</f>
        <v>-686682.37</v>
      </c>
      <c r="E121" s="384">
        <f>'A) Base RI'!X121</f>
        <v>0</v>
      </c>
      <c r="F121" s="384">
        <f>'A) Base RI'!Y121</f>
        <v>-1109983.06</v>
      </c>
      <c r="G121" s="387">
        <f t="shared" si="6"/>
        <v>72854427.599999994</v>
      </c>
      <c r="H121" s="10">
        <f>+'A) Base RI'!E121</f>
        <v>0</v>
      </c>
      <c r="I121" s="10">
        <f>+'A) Base RI'!F121</f>
        <v>0</v>
      </c>
      <c r="J121" s="10">
        <f>+'A) Base RI'!G121+'A) Base RI'!H121+'A) Base RI'!S121</f>
        <v>16019020.560000001</v>
      </c>
      <c r="K121" s="10">
        <f>+'A) Base RI'!I121</f>
        <v>2088944.34</v>
      </c>
      <c r="L121" s="10">
        <f>+'A) Base RI'!J121</f>
        <v>899998.49</v>
      </c>
      <c r="M121" s="10">
        <f>+'A) Base RI'!K121</f>
        <v>443570.25</v>
      </c>
      <c r="N121" s="10">
        <f>+'A) Base RI'!Q121</f>
        <v>154132.1</v>
      </c>
      <c r="O121" s="10">
        <f t="shared" si="7"/>
        <v>5324795.7857142854</v>
      </c>
      <c r="P121" s="10">
        <f>+'A) Base RI'!L121</f>
        <v>3727357.05</v>
      </c>
      <c r="Q121" s="395">
        <f>'A) Base RI'!Z121</f>
        <v>0.7</v>
      </c>
      <c r="R121" s="387">
        <f t="shared" si="8"/>
        <v>97784889.125714272</v>
      </c>
      <c r="S121" s="428">
        <f>+'A) Base RI'!U121</f>
        <v>61</v>
      </c>
      <c r="T121" s="387">
        <f t="shared" si="9"/>
        <v>92016523.089999989</v>
      </c>
      <c r="U121" s="387">
        <f t="shared" si="10"/>
        <v>1603030.9692740045</v>
      </c>
      <c r="V121" s="10">
        <f>+'A) Base RI'!O121</f>
        <v>2095407.6</v>
      </c>
      <c r="W121" s="10">
        <f>+'A) Base RI'!P121</f>
        <v>4347950.2</v>
      </c>
      <c r="X121" s="10">
        <f>+'A) Base RI'!R121</f>
        <v>3076179.35</v>
      </c>
      <c r="Y121" s="387">
        <f t="shared" si="11"/>
        <v>9519537.1500000004</v>
      </c>
      <c r="Z121" s="10">
        <f>+'A) Base RI'!N121</f>
        <v>176020.55</v>
      </c>
      <c r="AA121" s="10">
        <f>'A) Base RI'!V121</f>
        <v>18946</v>
      </c>
    </row>
    <row r="122" spans="1:27" x14ac:dyDescent="0.25">
      <c r="A122" s="8">
        <f>'A) Base RI'!A122</f>
        <v>5591</v>
      </c>
      <c r="B122" s="32" t="str">
        <f>'A) Base RI'!B122</f>
        <v>Renens</v>
      </c>
      <c r="C122" s="10">
        <f>'A) Base RI'!C122+'A) Base RI'!D122</f>
        <v>32272385.270000003</v>
      </c>
      <c r="D122" s="10">
        <f>'A) Base RI'!W122</f>
        <v>-1255483.56</v>
      </c>
      <c r="E122" s="384">
        <f>'A) Base RI'!X122</f>
        <v>0</v>
      </c>
      <c r="F122" s="384">
        <f>'A) Base RI'!Y122</f>
        <v>-10126.68</v>
      </c>
      <c r="G122" s="387">
        <f t="shared" si="6"/>
        <v>31006775.030000005</v>
      </c>
      <c r="H122" s="10">
        <f>+'A) Base RI'!E122</f>
        <v>0</v>
      </c>
      <c r="I122" s="10">
        <f>+'A) Base RI'!F122</f>
        <v>0</v>
      </c>
      <c r="J122" s="10">
        <f>+'A) Base RI'!G122+'A) Base RI'!H122+'A) Base RI'!S122</f>
        <v>5860621.8399999999</v>
      </c>
      <c r="K122" s="10">
        <f>+'A) Base RI'!I122</f>
        <v>0</v>
      </c>
      <c r="L122" s="10">
        <f>+'A) Base RI'!J122</f>
        <v>2166767.0299999998</v>
      </c>
      <c r="M122" s="10">
        <f>+'A) Base RI'!K122</f>
        <v>808812.05</v>
      </c>
      <c r="N122" s="10">
        <f>+'A) Base RI'!Q122</f>
        <v>342466.65</v>
      </c>
      <c r="O122" s="10">
        <f t="shared" si="7"/>
        <v>3687961.6785714286</v>
      </c>
      <c r="P122" s="10">
        <f>+'A) Base RI'!L122</f>
        <v>5163146.3499999996</v>
      </c>
      <c r="Q122" s="395">
        <f>'A) Base RI'!Z122</f>
        <v>1.4</v>
      </c>
      <c r="R122" s="387">
        <f t="shared" si="8"/>
        <v>43873404.278571427</v>
      </c>
      <c r="S122" s="428">
        <f>+'A) Base RI'!U122</f>
        <v>77</v>
      </c>
      <c r="T122" s="387">
        <f t="shared" si="9"/>
        <v>39376630.550000004</v>
      </c>
      <c r="U122" s="387">
        <f t="shared" si="10"/>
        <v>569784.47115027823</v>
      </c>
      <c r="V122" s="10">
        <f>+'A) Base RI'!O122</f>
        <v>1122802</v>
      </c>
      <c r="W122" s="10">
        <f>+'A) Base RI'!P122</f>
        <v>1814775.2</v>
      </c>
      <c r="X122" s="10">
        <f>+'A) Base RI'!R122</f>
        <v>1995224.9</v>
      </c>
      <c r="Y122" s="387">
        <f t="shared" si="11"/>
        <v>4932802.0999999996</v>
      </c>
      <c r="Z122" s="10">
        <f>+'A) Base RI'!N122</f>
        <v>2185480.2999999998</v>
      </c>
      <c r="AA122" s="10">
        <f>'A) Base RI'!V122</f>
        <v>20917</v>
      </c>
    </row>
    <row r="123" spans="1:27" x14ac:dyDescent="0.25">
      <c r="A123" s="8">
        <f>'A) Base RI'!A123</f>
        <v>5592</v>
      </c>
      <c r="B123" s="32" t="str">
        <f>'A) Base RI'!B123</f>
        <v>Romanel-sur-Lausanne</v>
      </c>
      <c r="C123" s="10">
        <f>'A) Base RI'!C123+'A) Base RI'!D123</f>
        <v>6912367.1699999999</v>
      </c>
      <c r="D123" s="10">
        <f>'A) Base RI'!W123</f>
        <v>-98222.399999999994</v>
      </c>
      <c r="E123" s="384">
        <f>'A) Base RI'!X123</f>
        <v>0</v>
      </c>
      <c r="F123" s="384">
        <f>'A) Base RI'!Y123</f>
        <v>-1524.84</v>
      </c>
      <c r="G123" s="387">
        <f t="shared" si="6"/>
        <v>6812619.9299999997</v>
      </c>
      <c r="H123" s="10">
        <f>+'A) Base RI'!E123</f>
        <v>0</v>
      </c>
      <c r="I123" s="10">
        <f>+'A) Base RI'!F123</f>
        <v>0</v>
      </c>
      <c r="J123" s="10">
        <f>+'A) Base RI'!G123+'A) Base RI'!H123+'A) Base RI'!S123</f>
        <v>638431.39</v>
      </c>
      <c r="K123" s="10">
        <f>+'A) Base RI'!I123</f>
        <v>49520.55</v>
      </c>
      <c r="L123" s="10">
        <f>+'A) Base RI'!J123</f>
        <v>193586.8</v>
      </c>
      <c r="M123" s="10">
        <f>+'A) Base RI'!K123</f>
        <v>68343.199999999997</v>
      </c>
      <c r="N123" s="10">
        <f>+'A) Base RI'!Q123</f>
        <v>51183.95</v>
      </c>
      <c r="O123" s="10">
        <f t="shared" si="7"/>
        <v>722916.92</v>
      </c>
      <c r="P123" s="10">
        <f>+'A) Base RI'!L123</f>
        <v>903646.15</v>
      </c>
      <c r="Q123" s="395">
        <f>'A) Base RI'!Z123</f>
        <v>1.25</v>
      </c>
      <c r="R123" s="387">
        <f t="shared" si="8"/>
        <v>8536602.7400000002</v>
      </c>
      <c r="S123" s="428">
        <f>+'A) Base RI'!U123</f>
        <v>70.5</v>
      </c>
      <c r="T123" s="387">
        <f t="shared" si="9"/>
        <v>7745342.6199999992</v>
      </c>
      <c r="U123" s="387">
        <f t="shared" si="10"/>
        <v>121086.56368794327</v>
      </c>
      <c r="V123" s="10">
        <f>+'A) Base RI'!O123</f>
        <v>608500</v>
      </c>
      <c r="W123" s="10">
        <f>+'A) Base RI'!P123</f>
        <v>657763.5</v>
      </c>
      <c r="X123" s="10">
        <f>+'A) Base RI'!R123</f>
        <v>322052.90000000002</v>
      </c>
      <c r="Y123" s="387">
        <f t="shared" si="11"/>
        <v>1588316.4</v>
      </c>
      <c r="Z123" s="10">
        <f>+'A) Base RI'!N123</f>
        <v>243903.85</v>
      </c>
      <c r="AA123" s="10">
        <f>'A) Base RI'!V123</f>
        <v>3482</v>
      </c>
    </row>
    <row r="124" spans="1:27" x14ac:dyDescent="0.25">
      <c r="A124" s="8">
        <f>'A) Base RI'!A124</f>
        <v>5601</v>
      </c>
      <c r="B124" s="32" t="str">
        <f>'A) Base RI'!B124</f>
        <v>Chexbres</v>
      </c>
      <c r="C124" s="10">
        <f>'A) Base RI'!C124+'A) Base RI'!D124</f>
        <v>6361149.5</v>
      </c>
      <c r="D124" s="10">
        <f>'A) Base RI'!W124</f>
        <v>-37059.879999999997</v>
      </c>
      <c r="E124" s="384">
        <f>'A) Base RI'!X124</f>
        <v>0</v>
      </c>
      <c r="F124" s="384">
        <f>'A) Base RI'!Y124</f>
        <v>-5527.33</v>
      </c>
      <c r="G124" s="387">
        <f t="shared" si="6"/>
        <v>6318562.29</v>
      </c>
      <c r="H124" s="10">
        <f>+'A) Base RI'!E124</f>
        <v>0</v>
      </c>
      <c r="I124" s="10">
        <f>+'A) Base RI'!F124</f>
        <v>0</v>
      </c>
      <c r="J124" s="10">
        <f>+'A) Base RI'!G124+'A) Base RI'!H124+'A) Base RI'!S124</f>
        <v>189861.79</v>
      </c>
      <c r="K124" s="10">
        <f>+'A) Base RI'!I124</f>
        <v>30402.67</v>
      </c>
      <c r="L124" s="10">
        <f>+'A) Base RI'!J124</f>
        <v>76507.83</v>
      </c>
      <c r="M124" s="10">
        <f>+'A) Base RI'!K124</f>
        <v>25888.799999999999</v>
      </c>
      <c r="N124" s="10">
        <f>+'A) Base RI'!Q124</f>
        <v>20962.3</v>
      </c>
      <c r="O124" s="10">
        <f t="shared" si="7"/>
        <v>490995.9</v>
      </c>
      <c r="P124" s="10">
        <f>+'A) Base RI'!L124</f>
        <v>490995.9</v>
      </c>
      <c r="Q124" s="395">
        <f>'A) Base RI'!Z124</f>
        <v>1</v>
      </c>
      <c r="R124" s="387">
        <f t="shared" si="8"/>
        <v>7153181.5800000001</v>
      </c>
      <c r="S124" s="428">
        <f>+'A) Base RI'!U124</f>
        <v>67.5</v>
      </c>
      <c r="T124" s="387">
        <f t="shared" si="9"/>
        <v>6636296.8799999999</v>
      </c>
      <c r="U124" s="387">
        <f t="shared" si="10"/>
        <v>105973.06044444445</v>
      </c>
      <c r="V124" s="10">
        <f>+'A) Base RI'!O124</f>
        <v>73217</v>
      </c>
      <c r="W124" s="10">
        <f>+'A) Base RI'!P124</f>
        <v>219762.2</v>
      </c>
      <c r="X124" s="10">
        <f>+'A) Base RI'!R124</f>
        <v>241082.4</v>
      </c>
      <c r="Y124" s="387">
        <f t="shared" si="11"/>
        <v>534061.6</v>
      </c>
      <c r="Z124" s="10">
        <f>+'A) Base RI'!N124</f>
        <v>52235.25</v>
      </c>
      <c r="AA124" s="10">
        <f>'A) Base RI'!V124</f>
        <v>2229</v>
      </c>
    </row>
    <row r="125" spans="1:27" x14ac:dyDescent="0.25">
      <c r="A125" s="8">
        <f>'A) Base RI'!A125</f>
        <v>5604</v>
      </c>
      <c r="B125" s="32" t="str">
        <f>'A) Base RI'!B125</f>
        <v>Forel (Lavaux)</v>
      </c>
      <c r="C125" s="10">
        <f>'A) Base RI'!C125+'A) Base RI'!D125</f>
        <v>4443256.25</v>
      </c>
      <c r="D125" s="10">
        <f>'A) Base RI'!W125</f>
        <v>-40994.79</v>
      </c>
      <c r="E125" s="384">
        <f>'A) Base RI'!X125</f>
        <v>0</v>
      </c>
      <c r="F125" s="384">
        <f>'A) Base RI'!Y125</f>
        <v>-3483.99</v>
      </c>
      <c r="G125" s="387">
        <f t="shared" si="6"/>
        <v>4398777.47</v>
      </c>
      <c r="H125" s="10">
        <f>+'A) Base RI'!E125</f>
        <v>0</v>
      </c>
      <c r="I125" s="10">
        <f>+'A) Base RI'!F125</f>
        <v>0</v>
      </c>
      <c r="J125" s="10">
        <f>+'A) Base RI'!G125+'A) Base RI'!H125+'A) Base RI'!S125</f>
        <v>274889.24</v>
      </c>
      <c r="K125" s="10">
        <f>+'A) Base RI'!I125</f>
        <v>0</v>
      </c>
      <c r="L125" s="10">
        <f>+'A) Base RI'!J125</f>
        <v>82763.87</v>
      </c>
      <c r="M125" s="10">
        <f>+'A) Base RI'!K125</f>
        <v>29910.35</v>
      </c>
      <c r="N125" s="10">
        <f>+'A) Base RI'!Q125</f>
        <v>30434.84</v>
      </c>
      <c r="O125" s="10">
        <f t="shared" si="7"/>
        <v>414729.65</v>
      </c>
      <c r="P125" s="10">
        <f>+'A) Base RI'!L125</f>
        <v>414729.65</v>
      </c>
      <c r="Q125" s="395">
        <f>'A) Base RI'!Z125</f>
        <v>1</v>
      </c>
      <c r="R125" s="387">
        <f t="shared" si="8"/>
        <v>5231505.42</v>
      </c>
      <c r="S125" s="428">
        <f>+'A) Base RI'!U125</f>
        <v>69</v>
      </c>
      <c r="T125" s="387">
        <f t="shared" si="9"/>
        <v>4786865.42</v>
      </c>
      <c r="U125" s="387">
        <f t="shared" si="10"/>
        <v>75818.919130434777</v>
      </c>
      <c r="V125" s="10">
        <f>+'A) Base RI'!O125</f>
        <v>1253.8</v>
      </c>
      <c r="W125" s="10">
        <f>+'A) Base RI'!P125</f>
        <v>241497.8</v>
      </c>
      <c r="X125" s="10">
        <f>+'A) Base RI'!R125</f>
        <v>140152.4</v>
      </c>
      <c r="Y125" s="387">
        <f t="shared" si="11"/>
        <v>382904</v>
      </c>
      <c r="Z125" s="10">
        <f>+'A) Base RI'!N125</f>
        <v>112458.65</v>
      </c>
      <c r="AA125" s="10">
        <f>'A) Base RI'!V125</f>
        <v>2110</v>
      </c>
    </row>
    <row r="126" spans="1:27" x14ac:dyDescent="0.25">
      <c r="A126" s="8">
        <f>'A) Base RI'!A126</f>
        <v>5606</v>
      </c>
      <c r="B126" s="32" t="str">
        <f>'A) Base RI'!B126</f>
        <v>Lutry</v>
      </c>
      <c r="C126" s="10">
        <f>'A) Base RI'!C126+'A) Base RI'!D126</f>
        <v>41345098.869999997</v>
      </c>
      <c r="D126" s="10">
        <f>'A) Base RI'!W126</f>
        <v>-370372.63</v>
      </c>
      <c r="E126" s="384">
        <f>'A) Base RI'!X126</f>
        <v>0</v>
      </c>
      <c r="F126" s="384">
        <f>'A) Base RI'!Y126</f>
        <v>-132133.51999999999</v>
      </c>
      <c r="G126" s="387">
        <f t="shared" si="6"/>
        <v>40842592.719999991</v>
      </c>
      <c r="H126" s="10">
        <f>+'A) Base RI'!E126</f>
        <v>0</v>
      </c>
      <c r="I126" s="10">
        <f>+'A) Base RI'!F126</f>
        <v>0</v>
      </c>
      <c r="J126" s="10">
        <f>+'A) Base RI'!G126+'A) Base RI'!H126+'A) Base RI'!S126</f>
        <v>4717063.7899999991</v>
      </c>
      <c r="K126" s="10">
        <f>+'A) Base RI'!I126</f>
        <v>1236629.21</v>
      </c>
      <c r="L126" s="10">
        <f>+'A) Base RI'!J126</f>
        <v>547446.17000000004</v>
      </c>
      <c r="M126" s="10">
        <f>+'A) Base RI'!K126</f>
        <v>35287.949999999997</v>
      </c>
      <c r="N126" s="10">
        <f>+'A) Base RI'!Q126</f>
        <v>103618.92</v>
      </c>
      <c r="O126" s="10">
        <f t="shared" si="7"/>
        <v>3338769.7857142859</v>
      </c>
      <c r="P126" s="10">
        <f>+'A) Base RI'!L126</f>
        <v>2337138.85</v>
      </c>
      <c r="Q126" s="395">
        <f>'A) Base RI'!Z126</f>
        <v>0.7</v>
      </c>
      <c r="R126" s="387">
        <f t="shared" si="8"/>
        <v>50821408.545714281</v>
      </c>
      <c r="S126" s="428">
        <f>+'A) Base RI'!U126</f>
        <v>54</v>
      </c>
      <c r="T126" s="387">
        <f t="shared" si="9"/>
        <v>47447350.809999995</v>
      </c>
      <c r="U126" s="387">
        <f t="shared" si="10"/>
        <v>941137.19529100519</v>
      </c>
      <c r="V126" s="10">
        <f>+'A) Base RI'!O126</f>
        <v>7043997.2999999998</v>
      </c>
      <c r="W126" s="10">
        <f>+'A) Base RI'!P126</f>
        <v>3582499.15</v>
      </c>
      <c r="X126" s="10">
        <f>+'A) Base RI'!R126</f>
        <v>1350568.4</v>
      </c>
      <c r="Y126" s="387">
        <f t="shared" si="11"/>
        <v>11977064.85</v>
      </c>
      <c r="Z126" s="10">
        <f>+'A) Base RI'!N126</f>
        <v>86204.6</v>
      </c>
      <c r="AA126" s="10">
        <f>'A) Base RI'!V126</f>
        <v>10704</v>
      </c>
    </row>
    <row r="127" spans="1:27" x14ac:dyDescent="0.25">
      <c r="A127" s="8">
        <f>'A) Base RI'!A127</f>
        <v>5607</v>
      </c>
      <c r="B127" s="32" t="str">
        <f>'A) Base RI'!B127</f>
        <v>Puidoux</v>
      </c>
      <c r="C127" s="10">
        <f>'A) Base RI'!C127+'A) Base RI'!D127</f>
        <v>5770201.9100000001</v>
      </c>
      <c r="D127" s="10">
        <f>'A) Base RI'!W127</f>
        <v>-59486.57</v>
      </c>
      <c r="E127" s="384">
        <f>'A) Base RI'!X127</f>
        <v>0</v>
      </c>
      <c r="F127" s="384">
        <f>'A) Base RI'!Y127</f>
        <v>-8236.2000000000007</v>
      </c>
      <c r="G127" s="387">
        <f t="shared" si="6"/>
        <v>5702479.1399999997</v>
      </c>
      <c r="H127" s="10">
        <f>+'A) Base RI'!E127</f>
        <v>0</v>
      </c>
      <c r="I127" s="10">
        <f>+'A) Base RI'!F127</f>
        <v>0</v>
      </c>
      <c r="J127" s="10">
        <f>+'A) Base RI'!G127+'A) Base RI'!H127+'A) Base RI'!S127</f>
        <v>933206.95</v>
      </c>
      <c r="K127" s="10">
        <f>+'A) Base RI'!I127</f>
        <v>398.5</v>
      </c>
      <c r="L127" s="10">
        <f>+'A) Base RI'!J127</f>
        <v>170524.94</v>
      </c>
      <c r="M127" s="10">
        <f>+'A) Base RI'!K127</f>
        <v>113211.4</v>
      </c>
      <c r="N127" s="10">
        <f>+'A) Base RI'!Q127</f>
        <v>19247.150000000001</v>
      </c>
      <c r="O127" s="10">
        <f t="shared" si="7"/>
        <v>704188.04347826098</v>
      </c>
      <c r="P127" s="10">
        <f>+'A) Base RI'!L127</f>
        <v>809816.25</v>
      </c>
      <c r="Q127" s="395">
        <f>'A) Base RI'!Z127</f>
        <v>1.1499999999999999</v>
      </c>
      <c r="R127" s="387">
        <f t="shared" si="8"/>
        <v>7643256.1234782618</v>
      </c>
      <c r="S127" s="428">
        <f>+'A) Base RI'!U127</f>
        <v>68.5</v>
      </c>
      <c r="T127" s="387">
        <f t="shared" si="9"/>
        <v>6825856.6800000006</v>
      </c>
      <c r="U127" s="387">
        <f t="shared" si="10"/>
        <v>111580.38136464616</v>
      </c>
      <c r="V127" s="10">
        <f>+'A) Base RI'!O127</f>
        <v>72171.3</v>
      </c>
      <c r="W127" s="10">
        <f>+'A) Base RI'!P127</f>
        <v>605599.94999999995</v>
      </c>
      <c r="X127" s="10">
        <f>+'A) Base RI'!R127</f>
        <v>237600.65</v>
      </c>
      <c r="Y127" s="387">
        <f t="shared" si="11"/>
        <v>915371.9</v>
      </c>
      <c r="Z127" s="10">
        <f>+'A) Base RI'!N127</f>
        <v>335399.25</v>
      </c>
      <c r="AA127" s="10">
        <f>'A) Base RI'!V127</f>
        <v>2924</v>
      </c>
    </row>
    <row r="128" spans="1:27" x14ac:dyDescent="0.25">
      <c r="A128" s="8">
        <f>'A) Base RI'!A128</f>
        <v>5609</v>
      </c>
      <c r="B128" s="32" t="str">
        <f>'A) Base RI'!B128</f>
        <v>Rivaz</v>
      </c>
      <c r="C128" s="10">
        <f>'A) Base RI'!C128+'A) Base RI'!D128</f>
        <v>893966.39</v>
      </c>
      <c r="D128" s="10">
        <f>'A) Base RI'!W128</f>
        <v>-101.79</v>
      </c>
      <c r="E128" s="384">
        <f>'A) Base RI'!X128</f>
        <v>0</v>
      </c>
      <c r="F128" s="384">
        <f>'A) Base RI'!Y128</f>
        <v>-91.08</v>
      </c>
      <c r="G128" s="387">
        <f t="shared" si="6"/>
        <v>893773.52</v>
      </c>
      <c r="H128" s="10">
        <f>+'A) Base RI'!E128</f>
        <v>0</v>
      </c>
      <c r="I128" s="10">
        <f>+'A) Base RI'!F128</f>
        <v>0</v>
      </c>
      <c r="J128" s="10">
        <f>+'A) Base RI'!G128+'A) Base RI'!H128+'A) Base RI'!S128</f>
        <v>12494.86</v>
      </c>
      <c r="K128" s="10">
        <f>+'A) Base RI'!I128</f>
        <v>0</v>
      </c>
      <c r="L128" s="10">
        <f>+'A) Base RI'!J128</f>
        <v>-48435.360000000001</v>
      </c>
      <c r="M128" s="10">
        <f>+'A) Base RI'!K128</f>
        <v>1050.4000000000001</v>
      </c>
      <c r="N128" s="10">
        <f>+'A) Base RI'!Q128</f>
        <v>2806.56</v>
      </c>
      <c r="O128" s="10">
        <f t="shared" si="7"/>
        <v>61893.65</v>
      </c>
      <c r="P128" s="10">
        <f>+'A) Base RI'!L128</f>
        <v>61893.65</v>
      </c>
      <c r="Q128" s="395">
        <f>'A) Base RI'!Z128</f>
        <v>1</v>
      </c>
      <c r="R128" s="387">
        <f t="shared" si="8"/>
        <v>923583.63000000012</v>
      </c>
      <c r="S128" s="428">
        <f>+'A) Base RI'!U128</f>
        <v>62</v>
      </c>
      <c r="T128" s="387">
        <f t="shared" si="9"/>
        <v>860639.58000000007</v>
      </c>
      <c r="U128" s="387">
        <f t="shared" si="10"/>
        <v>14896.510161290325</v>
      </c>
      <c r="V128" s="10">
        <f>+'A) Base RI'!O128</f>
        <v>0</v>
      </c>
      <c r="W128" s="10">
        <f>+'A) Base RI'!P128</f>
        <v>20130</v>
      </c>
      <c r="X128" s="10">
        <f>+'A) Base RI'!R128</f>
        <v>17919.900000000001</v>
      </c>
      <c r="Y128" s="387">
        <f t="shared" si="11"/>
        <v>38049.9</v>
      </c>
      <c r="Z128" s="10">
        <f>+'A) Base RI'!N128</f>
        <v>0</v>
      </c>
      <c r="AA128" s="10">
        <f>'A) Base RI'!V128</f>
        <v>331</v>
      </c>
    </row>
    <row r="129" spans="1:27" x14ac:dyDescent="0.25">
      <c r="A129" s="8">
        <f>'A) Base RI'!A129</f>
        <v>5610</v>
      </c>
      <c r="B129" s="32" t="str">
        <f>'A) Base RI'!B129</f>
        <v>St-Saphorin (Lavaux)</v>
      </c>
      <c r="C129" s="10">
        <f>'A) Base RI'!C129+'A) Base RI'!D129</f>
        <v>1484069.74</v>
      </c>
      <c r="D129" s="10">
        <f>'A) Base RI'!W129</f>
        <v>-6313.85</v>
      </c>
      <c r="E129" s="384">
        <f>'A) Base RI'!X129</f>
        <v>0</v>
      </c>
      <c r="F129" s="384">
        <f>'A) Base RI'!Y129</f>
        <v>3687.37</v>
      </c>
      <c r="G129" s="387">
        <f t="shared" si="6"/>
        <v>1481443.26</v>
      </c>
      <c r="H129" s="10">
        <f>+'A) Base RI'!E129</f>
        <v>0</v>
      </c>
      <c r="I129" s="10">
        <f>+'A) Base RI'!F129</f>
        <v>0</v>
      </c>
      <c r="J129" s="10">
        <f>+'A) Base RI'!G129+'A) Base RI'!H129+'A) Base RI'!S129</f>
        <v>15349.27</v>
      </c>
      <c r="K129" s="10">
        <f>+'A) Base RI'!I129</f>
        <v>50486.1</v>
      </c>
      <c r="L129" s="10">
        <f>+'A) Base RI'!J129</f>
        <v>24275.42</v>
      </c>
      <c r="M129" s="10">
        <f>+'A) Base RI'!K129</f>
        <v>7110.45</v>
      </c>
      <c r="N129" s="10">
        <f>+'A) Base RI'!Q129</f>
        <v>2963.4</v>
      </c>
      <c r="O129" s="10">
        <f t="shared" si="7"/>
        <v>106661.375</v>
      </c>
      <c r="P129" s="10">
        <f>+'A) Base RI'!L129</f>
        <v>127993.65</v>
      </c>
      <c r="Q129" s="395">
        <f>'A) Base RI'!Z129</f>
        <v>1.2</v>
      </c>
      <c r="R129" s="387">
        <f t="shared" si="8"/>
        <v>1688289.2749999999</v>
      </c>
      <c r="S129" s="428">
        <f>+'A) Base RI'!U129</f>
        <v>72</v>
      </c>
      <c r="T129" s="387">
        <f t="shared" si="9"/>
        <v>1574517.45</v>
      </c>
      <c r="U129" s="387">
        <f t="shared" si="10"/>
        <v>23448.462152777778</v>
      </c>
      <c r="V129" s="10">
        <f>+'A) Base RI'!O129</f>
        <v>538286.75</v>
      </c>
      <c r="W129" s="10">
        <f>+'A) Base RI'!P129</f>
        <v>31076.15</v>
      </c>
      <c r="X129" s="10">
        <f>+'A) Base RI'!R129</f>
        <v>10281.9</v>
      </c>
      <c r="Y129" s="387">
        <f t="shared" si="11"/>
        <v>579644.80000000005</v>
      </c>
      <c r="Z129" s="10">
        <f>+'A) Base RI'!N129</f>
        <v>0</v>
      </c>
      <c r="AA129" s="10">
        <f>'A) Base RI'!V129</f>
        <v>396</v>
      </c>
    </row>
    <row r="130" spans="1:27" x14ac:dyDescent="0.25">
      <c r="A130" s="8">
        <f>'A) Base RI'!A130</f>
        <v>5611</v>
      </c>
      <c r="B130" s="32" t="str">
        <f>'A) Base RI'!B130</f>
        <v>Savigny</v>
      </c>
      <c r="C130" s="10">
        <f>'A) Base RI'!C130+'A) Base RI'!D130</f>
        <v>8359482.3099999996</v>
      </c>
      <c r="D130" s="10">
        <f>'A) Base RI'!W130</f>
        <v>-75255.460000000006</v>
      </c>
      <c r="E130" s="384">
        <f>'A) Base RI'!X130</f>
        <v>0</v>
      </c>
      <c r="F130" s="384">
        <f>'A) Base RI'!Y130</f>
        <v>-2819.69</v>
      </c>
      <c r="G130" s="387">
        <f t="shared" si="6"/>
        <v>8281407.1599999992</v>
      </c>
      <c r="H130" s="10">
        <f>+'A) Base RI'!E130</f>
        <v>0</v>
      </c>
      <c r="I130" s="10">
        <f>+'A) Base RI'!F130</f>
        <v>0</v>
      </c>
      <c r="J130" s="10">
        <f>+'A) Base RI'!G130+'A) Base RI'!H130+'A) Base RI'!S130</f>
        <v>478741.9</v>
      </c>
      <c r="K130" s="10">
        <f>+'A) Base RI'!I130</f>
        <v>133186.6</v>
      </c>
      <c r="L130" s="10">
        <f>+'A) Base RI'!J130</f>
        <v>137123.69</v>
      </c>
      <c r="M130" s="10">
        <f>+'A) Base RI'!K130</f>
        <v>11840.85</v>
      </c>
      <c r="N130" s="10">
        <f>+'A) Base RI'!Q130</f>
        <v>7310.04</v>
      </c>
      <c r="O130" s="10">
        <f t="shared" si="7"/>
        <v>678225.95833333337</v>
      </c>
      <c r="P130" s="10">
        <f>+'A) Base RI'!L130</f>
        <v>813871.15</v>
      </c>
      <c r="Q130" s="395">
        <f>'A) Base RI'!Z130</f>
        <v>1.2</v>
      </c>
      <c r="R130" s="387">
        <f t="shared" si="8"/>
        <v>9727836.1983333305</v>
      </c>
      <c r="S130" s="428">
        <f>+'A) Base RI'!U130</f>
        <v>69</v>
      </c>
      <c r="T130" s="387">
        <f t="shared" si="9"/>
        <v>9037769.3899999969</v>
      </c>
      <c r="U130" s="387">
        <f t="shared" si="10"/>
        <v>140983.13330917869</v>
      </c>
      <c r="V130" s="10">
        <f>+'A) Base RI'!O130</f>
        <v>125415.8</v>
      </c>
      <c r="W130" s="10">
        <f>+'A) Base RI'!P130</f>
        <v>371230.05</v>
      </c>
      <c r="X130" s="10">
        <f>+'A) Base RI'!R130</f>
        <v>321922.34999999998</v>
      </c>
      <c r="Y130" s="387">
        <f t="shared" si="11"/>
        <v>818568.2</v>
      </c>
      <c r="Z130" s="10">
        <f>+'A) Base RI'!N130</f>
        <v>118228.5</v>
      </c>
      <c r="AA130" s="10">
        <f>'A) Base RI'!V130</f>
        <v>3370</v>
      </c>
    </row>
    <row r="131" spans="1:27" x14ac:dyDescent="0.25">
      <c r="A131" s="8">
        <f>'A) Base RI'!A131</f>
        <v>5613</v>
      </c>
      <c r="B131" s="32" t="str">
        <f>'A) Base RI'!B131</f>
        <v>Bourg-en-Lavaux</v>
      </c>
      <c r="C131" s="10">
        <f>'A) Base RI'!C131+'A) Base RI'!D131</f>
        <v>20480376.380000003</v>
      </c>
      <c r="D131" s="10">
        <f>'A) Base RI'!W131</f>
        <v>-108315.66</v>
      </c>
      <c r="E131" s="384">
        <f>'A) Base RI'!X131</f>
        <v>0</v>
      </c>
      <c r="F131" s="384">
        <f>'A) Base RI'!Y131</f>
        <v>-37799.4</v>
      </c>
      <c r="G131" s="387">
        <f t="shared" si="6"/>
        <v>20334261.320000004</v>
      </c>
      <c r="H131" s="10">
        <f>+'A) Base RI'!E131</f>
        <v>0</v>
      </c>
      <c r="I131" s="10">
        <f>+'A) Base RI'!F131</f>
        <v>0</v>
      </c>
      <c r="J131" s="10">
        <f>+'A) Base RI'!G131+'A) Base RI'!H131+'A) Base RI'!S131</f>
        <v>202859.68000000002</v>
      </c>
      <c r="K131" s="10">
        <f>+'A) Base RI'!I131</f>
        <v>133620.6</v>
      </c>
      <c r="L131" s="10">
        <f>+'A) Base RI'!J131</f>
        <v>108768.4</v>
      </c>
      <c r="M131" s="10">
        <f>+'A) Base RI'!K131</f>
        <v>27904.85</v>
      </c>
      <c r="N131" s="10">
        <f>+'A) Base RI'!Q131</f>
        <v>15380.43</v>
      </c>
      <c r="O131" s="10">
        <f t="shared" si="7"/>
        <v>1502865.4333333333</v>
      </c>
      <c r="P131" s="10">
        <f>+'A) Base RI'!L131</f>
        <v>2254298.15</v>
      </c>
      <c r="Q131" s="395">
        <f>'A) Base RI'!Z131</f>
        <v>1.5</v>
      </c>
      <c r="R131" s="387">
        <f t="shared" si="8"/>
        <v>22325660.713333338</v>
      </c>
      <c r="S131" s="428">
        <f>+'A) Base RI'!U131</f>
        <v>62.5</v>
      </c>
      <c r="T131" s="387">
        <f t="shared" si="9"/>
        <v>20794890.430000003</v>
      </c>
      <c r="U131" s="387">
        <f t="shared" si="10"/>
        <v>357210.57141333341</v>
      </c>
      <c r="V131" s="10">
        <f>+'A) Base RI'!O131</f>
        <v>464844</v>
      </c>
      <c r="W131" s="10">
        <f>+'A) Base RI'!P131</f>
        <v>931263.75</v>
      </c>
      <c r="X131" s="10">
        <f>+'A) Base RI'!R131</f>
        <v>632690.35</v>
      </c>
      <c r="Y131" s="387">
        <f t="shared" si="11"/>
        <v>2028798.1</v>
      </c>
      <c r="Z131" s="10">
        <f>+'A) Base RI'!N131</f>
        <v>21021.599999999999</v>
      </c>
      <c r="AA131" s="10">
        <f>'A) Base RI'!V131</f>
        <v>5367</v>
      </c>
    </row>
    <row r="132" spans="1:27" x14ac:dyDescent="0.25">
      <c r="A132" s="8">
        <f>'A) Base RI'!A132</f>
        <v>5621</v>
      </c>
      <c r="B132" s="32" t="str">
        <f>'A) Base RI'!B132</f>
        <v>Aclens</v>
      </c>
      <c r="C132" s="10">
        <f>'A) Base RI'!C132+'A) Base RI'!D132</f>
        <v>1138637.58</v>
      </c>
      <c r="D132" s="10">
        <f>'A) Base RI'!W132</f>
        <v>-15984.06</v>
      </c>
      <c r="E132" s="384">
        <f>'A) Base RI'!X132</f>
        <v>0</v>
      </c>
      <c r="F132" s="384">
        <f>'A) Base RI'!Y132</f>
        <v>-2607.86</v>
      </c>
      <c r="G132" s="387">
        <f t="shared" si="6"/>
        <v>1120045.6599999999</v>
      </c>
      <c r="H132" s="10">
        <f>+'A) Base RI'!E132</f>
        <v>0</v>
      </c>
      <c r="I132" s="10">
        <f>+'A) Base RI'!F132</f>
        <v>0</v>
      </c>
      <c r="J132" s="10">
        <f>+'A) Base RI'!G132+'A) Base RI'!H132+'A) Base RI'!S132</f>
        <v>526036.5</v>
      </c>
      <c r="K132" s="10">
        <f>+'A) Base RI'!I132</f>
        <v>0</v>
      </c>
      <c r="L132" s="10">
        <f>+'A) Base RI'!J132</f>
        <v>52181.27</v>
      </c>
      <c r="M132" s="10">
        <f>+'A) Base RI'!K132</f>
        <v>5486.25</v>
      </c>
      <c r="N132" s="10">
        <f>+'A) Base RI'!Q132</f>
        <v>2681.08</v>
      </c>
      <c r="O132" s="10">
        <f t="shared" si="7"/>
        <v>294389.45454545453</v>
      </c>
      <c r="P132" s="10">
        <f>+'A) Base RI'!L132</f>
        <v>323828.40000000002</v>
      </c>
      <c r="Q132" s="395">
        <f>'A) Base RI'!Z132</f>
        <v>1.1000000000000001</v>
      </c>
      <c r="R132" s="387">
        <f t="shared" si="8"/>
        <v>2000820.2145454546</v>
      </c>
      <c r="S132" s="428">
        <f>+'A) Base RI'!U132</f>
        <v>62</v>
      </c>
      <c r="T132" s="387">
        <f t="shared" si="9"/>
        <v>1700944.51</v>
      </c>
      <c r="U132" s="387">
        <f t="shared" si="10"/>
        <v>32271.293782991204</v>
      </c>
      <c r="V132" s="10">
        <f>+'A) Base RI'!O132</f>
        <v>34896.5</v>
      </c>
      <c r="W132" s="10">
        <f>+'A) Base RI'!P132</f>
        <v>186875.15</v>
      </c>
      <c r="X132" s="10">
        <f>+'A) Base RI'!R132</f>
        <v>72467.8</v>
      </c>
      <c r="Y132" s="387">
        <f t="shared" si="11"/>
        <v>294239.45</v>
      </c>
      <c r="Z132" s="10">
        <f>+'A) Base RI'!N132</f>
        <v>227041.5</v>
      </c>
      <c r="AA132" s="10">
        <f>'A) Base RI'!V132</f>
        <v>517</v>
      </c>
    </row>
    <row r="133" spans="1:27" x14ac:dyDescent="0.25">
      <c r="A133" s="8">
        <f>'A) Base RI'!A133</f>
        <v>5622</v>
      </c>
      <c r="B133" s="32" t="str">
        <f>'A) Base RI'!B133</f>
        <v>Bremblens</v>
      </c>
      <c r="C133" s="10">
        <f>'A) Base RI'!C133+'A) Base RI'!D133</f>
        <v>1775237.06</v>
      </c>
      <c r="D133" s="10">
        <f>'A) Base RI'!W133</f>
        <v>-1341</v>
      </c>
      <c r="E133" s="384">
        <f>'A) Base RI'!X133</f>
        <v>0</v>
      </c>
      <c r="F133" s="384">
        <f>'A) Base RI'!Y133</f>
        <v>-273.10000000000002</v>
      </c>
      <c r="G133" s="387">
        <f t="shared" si="6"/>
        <v>1773622.96</v>
      </c>
      <c r="H133" s="10">
        <f>+'A) Base RI'!E133</f>
        <v>0</v>
      </c>
      <c r="I133" s="10">
        <f>+'A) Base RI'!F133</f>
        <v>0</v>
      </c>
      <c r="J133" s="10">
        <f>+'A) Base RI'!G133+'A) Base RI'!H133+'A) Base RI'!S133</f>
        <v>29783.38</v>
      </c>
      <c r="K133" s="10">
        <f>+'A) Base RI'!I133</f>
        <v>0</v>
      </c>
      <c r="L133" s="10">
        <f>+'A) Base RI'!J133</f>
        <v>-16815.63</v>
      </c>
      <c r="M133" s="10">
        <f>+'A) Base RI'!K133</f>
        <v>5220.5</v>
      </c>
      <c r="N133" s="10">
        <f>+'A) Base RI'!Q133</f>
        <v>2408.12</v>
      </c>
      <c r="O133" s="10">
        <f t="shared" si="7"/>
        <v>153568.5</v>
      </c>
      <c r="P133" s="10">
        <f>+'A) Base RI'!L133</f>
        <v>153568.5</v>
      </c>
      <c r="Q133" s="395">
        <f>'A) Base RI'!Z133</f>
        <v>1</v>
      </c>
      <c r="R133" s="387">
        <f t="shared" si="8"/>
        <v>1947787.83</v>
      </c>
      <c r="S133" s="428">
        <f>+'A) Base RI'!U133</f>
        <v>68</v>
      </c>
      <c r="T133" s="387">
        <f t="shared" si="9"/>
        <v>1788998.83</v>
      </c>
      <c r="U133" s="387">
        <f t="shared" si="10"/>
        <v>28643.938676470589</v>
      </c>
      <c r="V133" s="10">
        <f>+'A) Base RI'!O133</f>
        <v>58413.9</v>
      </c>
      <c r="W133" s="10">
        <f>+'A) Base RI'!P133</f>
        <v>105639.8</v>
      </c>
      <c r="X133" s="10">
        <f>+'A) Base RI'!R133</f>
        <v>45174.25</v>
      </c>
      <c r="Y133" s="387">
        <f t="shared" si="11"/>
        <v>209227.95</v>
      </c>
      <c r="Z133" s="10">
        <f>+'A) Base RI'!N133</f>
        <v>30722.9</v>
      </c>
      <c r="AA133" s="10">
        <f>'A) Base RI'!V133</f>
        <v>607</v>
      </c>
    </row>
    <row r="134" spans="1:27" x14ac:dyDescent="0.25">
      <c r="A134" s="8">
        <f>'A) Base RI'!A134</f>
        <v>5623</v>
      </c>
      <c r="B134" s="32" t="str">
        <f>'A) Base RI'!B134</f>
        <v>Buchillon</v>
      </c>
      <c r="C134" s="10">
        <f>'A) Base RI'!C134+'A) Base RI'!D134</f>
        <v>4027324.67</v>
      </c>
      <c r="D134" s="10">
        <f>'A) Base RI'!W134</f>
        <v>-5919.64</v>
      </c>
      <c r="E134" s="384">
        <f>'A) Base RI'!X134</f>
        <v>0</v>
      </c>
      <c r="F134" s="384">
        <f>'A) Base RI'!Y134</f>
        <v>-27725.95</v>
      </c>
      <c r="G134" s="387">
        <f t="shared" si="6"/>
        <v>3993679.0799999996</v>
      </c>
      <c r="H134" s="10">
        <f>+'A) Base RI'!E134</f>
        <v>0</v>
      </c>
      <c r="I134" s="10">
        <f>+'A) Base RI'!F134</f>
        <v>0</v>
      </c>
      <c r="J134" s="10">
        <f>+'A) Base RI'!G134+'A) Base RI'!H134+'A) Base RI'!S134</f>
        <v>134646.33000000002</v>
      </c>
      <c r="K134" s="10">
        <f>+'A) Base RI'!I134</f>
        <v>70477.600000000006</v>
      </c>
      <c r="L134" s="10">
        <f>+'A) Base RI'!J134</f>
        <v>78045.86</v>
      </c>
      <c r="M134" s="10">
        <f>+'A) Base RI'!K134</f>
        <v>956.5</v>
      </c>
      <c r="N134" s="10">
        <f>+'A) Base RI'!Q134</f>
        <v>3281.99</v>
      </c>
      <c r="O134" s="10">
        <f t="shared" si="7"/>
        <v>358974.1</v>
      </c>
      <c r="P134" s="10">
        <f>+'A) Base RI'!L134</f>
        <v>358974.1</v>
      </c>
      <c r="Q134" s="395">
        <f>'A) Base RI'!Z134</f>
        <v>1</v>
      </c>
      <c r="R134" s="387">
        <f t="shared" si="8"/>
        <v>4640061.46</v>
      </c>
      <c r="S134" s="428">
        <f>+'A) Base RI'!U134</f>
        <v>52</v>
      </c>
      <c r="T134" s="387">
        <f t="shared" si="9"/>
        <v>4280130.8600000003</v>
      </c>
      <c r="U134" s="387">
        <f t="shared" si="10"/>
        <v>89231.951153846152</v>
      </c>
      <c r="V134" s="10">
        <f>+'A) Base RI'!O134</f>
        <v>10586.6</v>
      </c>
      <c r="W134" s="10">
        <f>+'A) Base RI'!P134</f>
        <v>137176.4</v>
      </c>
      <c r="X134" s="10">
        <f>+'A) Base RI'!R134</f>
        <v>76700.600000000006</v>
      </c>
      <c r="Y134" s="387">
        <f t="shared" si="11"/>
        <v>224463.6</v>
      </c>
      <c r="Z134" s="10">
        <f>+'A) Base RI'!N134</f>
        <v>1734.05</v>
      </c>
      <c r="AA134" s="10">
        <f>'A) Base RI'!V134</f>
        <v>669</v>
      </c>
    </row>
    <row r="135" spans="1:27" x14ac:dyDescent="0.25">
      <c r="A135" s="8">
        <f>'A) Base RI'!A135</f>
        <v>5624</v>
      </c>
      <c r="B135" s="32" t="str">
        <f>'A) Base RI'!B135</f>
        <v>Bussigny</v>
      </c>
      <c r="C135" s="10">
        <f>'A) Base RI'!C135+'A) Base RI'!D135</f>
        <v>17706760.689999998</v>
      </c>
      <c r="D135" s="10">
        <f>'A) Base RI'!W135</f>
        <v>-239467.34</v>
      </c>
      <c r="E135" s="384">
        <f>'A) Base RI'!X135</f>
        <v>0</v>
      </c>
      <c r="F135" s="384">
        <f>'A) Base RI'!Y135</f>
        <v>-875.77</v>
      </c>
      <c r="G135" s="387">
        <f t="shared" si="6"/>
        <v>17466417.579999998</v>
      </c>
      <c r="H135" s="10">
        <f>+'A) Base RI'!E135</f>
        <v>0</v>
      </c>
      <c r="I135" s="10">
        <f>+'A) Base RI'!F135</f>
        <v>0</v>
      </c>
      <c r="J135" s="10">
        <f>+'A) Base RI'!G135+'A) Base RI'!H135+'A) Base RI'!S135</f>
        <v>6633219.8499999996</v>
      </c>
      <c r="K135" s="10">
        <f>+'A) Base RI'!I135</f>
        <v>0</v>
      </c>
      <c r="L135" s="10">
        <f>+'A) Base RI'!J135</f>
        <v>829962.01</v>
      </c>
      <c r="M135" s="10">
        <f>+'A) Base RI'!K135</f>
        <v>374353.85</v>
      </c>
      <c r="N135" s="10">
        <f>+'A) Base RI'!Q135</f>
        <v>40187.81</v>
      </c>
      <c r="O135" s="10">
        <f t="shared" si="7"/>
        <v>2279584.12</v>
      </c>
      <c r="P135" s="10">
        <f>+'A) Base RI'!L135</f>
        <v>2849480.15</v>
      </c>
      <c r="Q135" s="395">
        <f>'A) Base RI'!Z135</f>
        <v>1.25</v>
      </c>
      <c r="R135" s="387">
        <f t="shared" si="8"/>
        <v>27623725.220000003</v>
      </c>
      <c r="S135" s="428">
        <f>+'A) Base RI'!U135</f>
        <v>62.5</v>
      </c>
      <c r="T135" s="387">
        <f t="shared" si="9"/>
        <v>24969787.25</v>
      </c>
      <c r="U135" s="387">
        <f t="shared" si="10"/>
        <v>441979.60352000006</v>
      </c>
      <c r="V135" s="10">
        <f>+'A) Base RI'!O135</f>
        <v>24489.3</v>
      </c>
      <c r="W135" s="10">
        <f>+'A) Base RI'!P135</f>
        <v>2047366.75</v>
      </c>
      <c r="X135" s="10">
        <f>+'A) Base RI'!R135</f>
        <v>1687978.45</v>
      </c>
      <c r="Y135" s="387">
        <f t="shared" si="11"/>
        <v>3759834.5</v>
      </c>
      <c r="Z135" s="10">
        <f>+'A) Base RI'!N135</f>
        <v>1445680.75</v>
      </c>
      <c r="AA135" s="10">
        <f>'A) Base RI'!V135</f>
        <v>10253</v>
      </c>
    </row>
    <row r="136" spans="1:27" x14ac:dyDescent="0.25">
      <c r="A136" s="8">
        <f>'A) Base RI'!A136</f>
        <v>5625</v>
      </c>
      <c r="B136" s="32" t="str">
        <f>'A) Base RI'!B136</f>
        <v>Bussy-Chardonney</v>
      </c>
      <c r="C136" s="10">
        <f>'A) Base RI'!C136+'A) Base RI'!D136</f>
        <v>1335252.3</v>
      </c>
      <c r="D136" s="10">
        <f>'A) Base RI'!W136</f>
        <v>-450.54</v>
      </c>
      <c r="E136" s="384">
        <f>'A) Base RI'!X136</f>
        <v>0</v>
      </c>
      <c r="F136" s="384">
        <f>'A) Base RI'!Y136</f>
        <v>-127.35</v>
      </c>
      <c r="G136" s="387">
        <f t="shared" ref="G136:G199" si="12">SUM(C136:F136)</f>
        <v>1334674.4099999999</v>
      </c>
      <c r="H136" s="10">
        <f>+'A) Base RI'!E136</f>
        <v>0</v>
      </c>
      <c r="I136" s="10">
        <f>+'A) Base RI'!F136</f>
        <v>0</v>
      </c>
      <c r="J136" s="10">
        <f>+'A) Base RI'!G136+'A) Base RI'!H136+'A) Base RI'!S136</f>
        <v>20597.8</v>
      </c>
      <c r="K136" s="10">
        <f>+'A) Base RI'!I136</f>
        <v>46834.9</v>
      </c>
      <c r="L136" s="10">
        <f>+'A) Base RI'!J136</f>
        <v>8242.8799999999992</v>
      </c>
      <c r="M136" s="10">
        <f>+'A) Base RI'!K136</f>
        <v>6599</v>
      </c>
      <c r="N136" s="10">
        <f>+'A) Base RI'!Q136</f>
        <v>402.12</v>
      </c>
      <c r="O136" s="10">
        <f t="shared" ref="O136:O199" si="13">(P136/Q136)*1</f>
        <v>102460.58333333333</v>
      </c>
      <c r="P136" s="10">
        <f>+'A) Base RI'!L136</f>
        <v>122952.7</v>
      </c>
      <c r="Q136" s="395">
        <f>'A) Base RI'!Z136</f>
        <v>1.2</v>
      </c>
      <c r="R136" s="387">
        <f t="shared" ref="R136:R199" si="14">SUM(G136:O136)</f>
        <v>1519811.6933333331</v>
      </c>
      <c r="S136" s="428">
        <f>+'A) Base RI'!U136</f>
        <v>72</v>
      </c>
      <c r="T136" s="387">
        <f t="shared" ref="T136:T199" si="15">(G136+H136+J136+K136+L136+N136)</f>
        <v>1410752.1099999999</v>
      </c>
      <c r="U136" s="387">
        <f t="shared" ref="U136:U199" si="16">R136/S136</f>
        <v>21108.495740740738</v>
      </c>
      <c r="V136" s="10">
        <f>+'A) Base RI'!O136</f>
        <v>0</v>
      </c>
      <c r="W136" s="10">
        <f>+'A) Base RI'!P136</f>
        <v>13690.85</v>
      </c>
      <c r="X136" s="10">
        <f>+'A) Base RI'!R136</f>
        <v>11553.2</v>
      </c>
      <c r="Y136" s="387">
        <f t="shared" ref="Y136:Y199" si="17">SUM(V136:X136)</f>
        <v>25244.050000000003</v>
      </c>
      <c r="Z136" s="10">
        <f>+'A) Base RI'!N136</f>
        <v>0</v>
      </c>
      <c r="AA136" s="10">
        <f>'A) Base RI'!V136</f>
        <v>412</v>
      </c>
    </row>
    <row r="137" spans="1:27" x14ac:dyDescent="0.25">
      <c r="A137" s="8">
        <f>'A) Base RI'!A137</f>
        <v>5627</v>
      </c>
      <c r="B137" s="32" t="str">
        <f>'A) Base RI'!B137</f>
        <v>Chavannes-près-Renens</v>
      </c>
      <c r="C137" s="10">
        <f>'A) Base RI'!C137+'A) Base RI'!D137</f>
        <v>11493061.02</v>
      </c>
      <c r="D137" s="10">
        <f>'A) Base RI'!W137</f>
        <v>-417827.59</v>
      </c>
      <c r="E137" s="384">
        <f>'A) Base RI'!X137</f>
        <v>0</v>
      </c>
      <c r="F137" s="384">
        <f>'A) Base RI'!Y137</f>
        <v>-561.55999999999995</v>
      </c>
      <c r="G137" s="387">
        <f t="shared" si="12"/>
        <v>11074671.869999999</v>
      </c>
      <c r="H137" s="10">
        <f>+'A) Base RI'!E137</f>
        <v>0</v>
      </c>
      <c r="I137" s="10">
        <f>+'A) Base RI'!F137</f>
        <v>0</v>
      </c>
      <c r="J137" s="10">
        <f>+'A) Base RI'!G137+'A) Base RI'!H137+'A) Base RI'!S137</f>
        <v>1489571.83</v>
      </c>
      <c r="K137" s="10">
        <f>+'A) Base RI'!I137</f>
        <v>0</v>
      </c>
      <c r="L137" s="10">
        <f>+'A) Base RI'!J137</f>
        <v>842647.95</v>
      </c>
      <c r="M137" s="10">
        <f>+'A) Base RI'!K137</f>
        <v>355316.4</v>
      </c>
      <c r="N137" s="10">
        <f>+'A) Base RI'!Q137</f>
        <v>69857.63</v>
      </c>
      <c r="O137" s="10">
        <f t="shared" si="13"/>
        <v>1208585.2</v>
      </c>
      <c r="P137" s="10">
        <f>+'A) Base RI'!L137</f>
        <v>1812877.8</v>
      </c>
      <c r="Q137" s="395">
        <f>'A) Base RI'!Z137</f>
        <v>1.5</v>
      </c>
      <c r="R137" s="387">
        <f t="shared" si="14"/>
        <v>15040650.879999999</v>
      </c>
      <c r="S137" s="428">
        <f>+'A) Base RI'!U137</f>
        <v>77.5</v>
      </c>
      <c r="T137" s="387">
        <f t="shared" si="15"/>
        <v>13476749.279999999</v>
      </c>
      <c r="U137" s="387">
        <f t="shared" si="16"/>
        <v>194072.91458064516</v>
      </c>
      <c r="V137" s="10">
        <f>+'A) Base RI'!O137</f>
        <v>62654.1</v>
      </c>
      <c r="W137" s="10">
        <f>+'A) Base RI'!P137</f>
        <v>1034028.65</v>
      </c>
      <c r="X137" s="10">
        <f>+'A) Base RI'!R137</f>
        <v>765142.4</v>
      </c>
      <c r="Y137" s="387">
        <f t="shared" si="17"/>
        <v>1861825.15</v>
      </c>
      <c r="Z137" s="10">
        <f>+'A) Base RI'!N137</f>
        <v>446341</v>
      </c>
      <c r="AA137" s="10">
        <f>'A) Base RI'!V137</f>
        <v>8767</v>
      </c>
    </row>
    <row r="138" spans="1:27" x14ac:dyDescent="0.25">
      <c r="A138" s="8">
        <f>'A) Base RI'!A138</f>
        <v>5628</v>
      </c>
      <c r="B138" s="32" t="str">
        <f>'A) Base RI'!B138</f>
        <v>Chigny</v>
      </c>
      <c r="C138" s="10">
        <f>'A) Base RI'!C138+'A) Base RI'!D138</f>
        <v>1484669.19</v>
      </c>
      <c r="D138" s="10">
        <f>'A) Base RI'!W138</f>
        <v>-1325.01</v>
      </c>
      <c r="E138" s="384">
        <f>'A) Base RI'!X138</f>
        <v>0</v>
      </c>
      <c r="F138" s="384">
        <f>'A) Base RI'!Y138</f>
        <v>-57.45</v>
      </c>
      <c r="G138" s="387">
        <f t="shared" si="12"/>
        <v>1483286.73</v>
      </c>
      <c r="H138" s="10">
        <f>+'A) Base RI'!E138</f>
        <v>0</v>
      </c>
      <c r="I138" s="10">
        <f>+'A) Base RI'!F138</f>
        <v>0</v>
      </c>
      <c r="J138" s="10">
        <f>+'A) Base RI'!G138+'A) Base RI'!H138+'A) Base RI'!S138</f>
        <v>4931.1399999999994</v>
      </c>
      <c r="K138" s="10">
        <f>+'A) Base RI'!I138</f>
        <v>0</v>
      </c>
      <c r="L138" s="10">
        <f>+'A) Base RI'!J138</f>
        <v>3631.2</v>
      </c>
      <c r="M138" s="10">
        <f>+'A) Base RI'!K138</f>
        <v>859.5</v>
      </c>
      <c r="N138" s="10">
        <f>+'A) Base RI'!Q138</f>
        <v>0</v>
      </c>
      <c r="O138" s="10">
        <f t="shared" si="13"/>
        <v>106327.3</v>
      </c>
      <c r="P138" s="10">
        <f>+'A) Base RI'!L138</f>
        <v>106327.3</v>
      </c>
      <c r="Q138" s="395">
        <f>'A) Base RI'!Z138</f>
        <v>1</v>
      </c>
      <c r="R138" s="387">
        <f t="shared" si="14"/>
        <v>1599035.8699999999</v>
      </c>
      <c r="S138" s="428">
        <f>+'A) Base RI'!U138</f>
        <v>62</v>
      </c>
      <c r="T138" s="387">
        <f t="shared" si="15"/>
        <v>1491849.0699999998</v>
      </c>
      <c r="U138" s="387">
        <f t="shared" si="16"/>
        <v>25790.901129032256</v>
      </c>
      <c r="V138" s="10">
        <f>+'A) Base RI'!O138</f>
        <v>0</v>
      </c>
      <c r="W138" s="10">
        <f>+'A) Base RI'!P138</f>
        <v>20350</v>
      </c>
      <c r="X138" s="10">
        <f>+'A) Base RI'!R138</f>
        <v>32439.95</v>
      </c>
      <c r="Y138" s="387">
        <f t="shared" si="17"/>
        <v>52789.95</v>
      </c>
      <c r="Z138" s="10">
        <f>+'A) Base RI'!N138</f>
        <v>2656.6</v>
      </c>
      <c r="AA138" s="10">
        <f>'A) Base RI'!V138</f>
        <v>405</v>
      </c>
    </row>
    <row r="139" spans="1:27" x14ac:dyDescent="0.25">
      <c r="A139" s="8">
        <f>'A) Base RI'!A139</f>
        <v>5629</v>
      </c>
      <c r="B139" s="32" t="str">
        <f>'A) Base RI'!B139</f>
        <v>Clarmont</v>
      </c>
      <c r="C139" s="10">
        <f>'A) Base RI'!C139+'A) Base RI'!D139</f>
        <v>694425.01</v>
      </c>
      <c r="D139" s="10">
        <f>'A) Base RI'!W139</f>
        <v>-5124.25</v>
      </c>
      <c r="E139" s="384">
        <f>'A) Base RI'!X139</f>
        <v>0</v>
      </c>
      <c r="F139" s="384">
        <f>'A) Base RI'!Y139</f>
        <v>0</v>
      </c>
      <c r="G139" s="387">
        <f t="shared" si="12"/>
        <v>689300.76</v>
      </c>
      <c r="H139" s="10">
        <f>+'A) Base RI'!E139</f>
        <v>0</v>
      </c>
      <c r="I139" s="10">
        <f>+'A) Base RI'!F139</f>
        <v>0</v>
      </c>
      <c r="J139" s="10">
        <f>+'A) Base RI'!G139+'A) Base RI'!H139+'A) Base RI'!S139</f>
        <v>2934.89</v>
      </c>
      <c r="K139" s="10">
        <f>+'A) Base RI'!I139</f>
        <v>0</v>
      </c>
      <c r="L139" s="10">
        <f>+'A) Base RI'!J139</f>
        <v>1562.05</v>
      </c>
      <c r="M139" s="10">
        <f>+'A) Base RI'!K139</f>
        <v>334.05</v>
      </c>
      <c r="N139" s="10">
        <f>+'A) Base RI'!Q139</f>
        <v>120.52</v>
      </c>
      <c r="O139" s="10">
        <f t="shared" si="13"/>
        <v>36930.25</v>
      </c>
      <c r="P139" s="10">
        <f>+'A) Base RI'!L139</f>
        <v>36930.25</v>
      </c>
      <c r="Q139" s="395">
        <f>'A) Base RI'!Z139</f>
        <v>1</v>
      </c>
      <c r="R139" s="387">
        <f t="shared" si="14"/>
        <v>731182.52000000014</v>
      </c>
      <c r="S139" s="428">
        <f>+'A) Base RI'!U139</f>
        <v>73.5</v>
      </c>
      <c r="T139" s="387">
        <f t="shared" si="15"/>
        <v>693918.22000000009</v>
      </c>
      <c r="U139" s="387">
        <f t="shared" si="16"/>
        <v>9948.0614965986406</v>
      </c>
      <c r="V139" s="10">
        <f>+'A) Base RI'!O139</f>
        <v>0</v>
      </c>
      <c r="W139" s="10">
        <f>+'A) Base RI'!P139</f>
        <v>12450.85</v>
      </c>
      <c r="X139" s="10">
        <f>+'A) Base RI'!R139</f>
        <v>14621.2</v>
      </c>
      <c r="Y139" s="387">
        <f t="shared" si="17"/>
        <v>27072.050000000003</v>
      </c>
      <c r="Z139" s="10">
        <f>+'A) Base RI'!N139</f>
        <v>0</v>
      </c>
      <c r="AA139" s="10">
        <f>'A) Base RI'!V139</f>
        <v>211</v>
      </c>
    </row>
    <row r="140" spans="1:27" x14ac:dyDescent="0.25">
      <c r="A140" s="8">
        <f>'A) Base RI'!A140</f>
        <v>5631</v>
      </c>
      <c r="B140" s="32" t="str">
        <f>'A) Base RI'!B140</f>
        <v>Denens</v>
      </c>
      <c r="C140" s="10">
        <f>'A) Base RI'!C140+'A) Base RI'!D140</f>
        <v>2493325.6799999997</v>
      </c>
      <c r="D140" s="10">
        <f>'A) Base RI'!W140</f>
        <v>-8475.25</v>
      </c>
      <c r="E140" s="384">
        <f>'A) Base RI'!X140</f>
        <v>0</v>
      </c>
      <c r="F140" s="384">
        <f>'A) Base RI'!Y140</f>
        <v>-2872.06</v>
      </c>
      <c r="G140" s="387">
        <f t="shared" si="12"/>
        <v>2481978.3699999996</v>
      </c>
      <c r="H140" s="10">
        <f>+'A) Base RI'!E140</f>
        <v>0</v>
      </c>
      <c r="I140" s="10">
        <f>+'A) Base RI'!F140</f>
        <v>0</v>
      </c>
      <c r="J140" s="10">
        <f>+'A) Base RI'!G140+'A) Base RI'!H140+'A) Base RI'!S140</f>
        <v>8435.69</v>
      </c>
      <c r="K140" s="10">
        <f>+'A) Base RI'!I140</f>
        <v>187945.55</v>
      </c>
      <c r="L140" s="10">
        <f>+'A) Base RI'!J140</f>
        <v>48989.72</v>
      </c>
      <c r="M140" s="10">
        <f>+'A) Base RI'!K140</f>
        <v>2815.65</v>
      </c>
      <c r="N140" s="10">
        <f>+'A) Base RI'!Q140</f>
        <v>994.86</v>
      </c>
      <c r="O140" s="10">
        <f t="shared" si="13"/>
        <v>212575.75</v>
      </c>
      <c r="P140" s="10">
        <f>+'A) Base RI'!L140</f>
        <v>212575.75</v>
      </c>
      <c r="Q140" s="395">
        <f>'A) Base RI'!Z140</f>
        <v>1</v>
      </c>
      <c r="R140" s="387">
        <f t="shared" si="14"/>
        <v>2943735.5899999994</v>
      </c>
      <c r="S140" s="428">
        <f>+'A) Base RI'!U140</f>
        <v>68</v>
      </c>
      <c r="T140" s="387">
        <f t="shared" si="15"/>
        <v>2728344.1899999995</v>
      </c>
      <c r="U140" s="387">
        <f t="shared" si="16"/>
        <v>43290.229264705871</v>
      </c>
      <c r="V140" s="10">
        <f>+'A) Base RI'!O140</f>
        <v>131406</v>
      </c>
      <c r="W140" s="10">
        <f>+'A) Base RI'!P140</f>
        <v>260616.4</v>
      </c>
      <c r="X140" s="10">
        <f>+'A) Base RI'!R140</f>
        <v>147694.75</v>
      </c>
      <c r="Y140" s="387">
        <f t="shared" si="17"/>
        <v>539717.15</v>
      </c>
      <c r="Z140" s="10">
        <f>+'A) Base RI'!N140</f>
        <v>1887.85</v>
      </c>
      <c r="AA140" s="10">
        <f>'A) Base RI'!V140</f>
        <v>733</v>
      </c>
    </row>
    <row r="141" spans="1:27" x14ac:dyDescent="0.25">
      <c r="A141" s="8">
        <f>'A) Base RI'!A141</f>
        <v>5632</v>
      </c>
      <c r="B141" s="32" t="str">
        <f>'A) Base RI'!B141</f>
        <v>Denges</v>
      </c>
      <c r="C141" s="10">
        <f>'A) Base RI'!C141+'A) Base RI'!D141</f>
        <v>4071634.88</v>
      </c>
      <c r="D141" s="10">
        <f>'A) Base RI'!W141</f>
        <v>-49186.16</v>
      </c>
      <c r="E141" s="384">
        <f>'A) Base RI'!X141</f>
        <v>0</v>
      </c>
      <c r="F141" s="384">
        <f>'A) Base RI'!Y141</f>
        <v>-1965.9</v>
      </c>
      <c r="G141" s="387">
        <f t="shared" si="12"/>
        <v>4020482.82</v>
      </c>
      <c r="H141" s="10">
        <f>+'A) Base RI'!E141</f>
        <v>0</v>
      </c>
      <c r="I141" s="10">
        <f>+'A) Base RI'!F141</f>
        <v>0</v>
      </c>
      <c r="J141" s="10">
        <f>+'A) Base RI'!G141+'A) Base RI'!H141+'A) Base RI'!S141</f>
        <v>336105.80999999994</v>
      </c>
      <c r="K141" s="10">
        <f>+'A) Base RI'!I141</f>
        <v>0</v>
      </c>
      <c r="L141" s="10">
        <f>+'A) Base RI'!J141</f>
        <v>210065.67</v>
      </c>
      <c r="M141" s="10">
        <f>+'A) Base RI'!K141</f>
        <v>51013.1</v>
      </c>
      <c r="N141" s="10">
        <f>+'A) Base RI'!Q141</f>
        <v>3743.49</v>
      </c>
      <c r="O141" s="10">
        <f t="shared" si="13"/>
        <v>370904.4</v>
      </c>
      <c r="P141" s="10">
        <f>+'A) Base RI'!L141</f>
        <v>370904.4</v>
      </c>
      <c r="Q141" s="395">
        <f>'A) Base RI'!Z141</f>
        <v>1</v>
      </c>
      <c r="R141" s="387">
        <f t="shared" si="14"/>
        <v>4992315.29</v>
      </c>
      <c r="S141" s="428">
        <f>+'A) Base RI'!U141</f>
        <v>62</v>
      </c>
      <c r="T141" s="387">
        <f t="shared" si="15"/>
        <v>4570397.79</v>
      </c>
      <c r="U141" s="387">
        <f t="shared" si="16"/>
        <v>80521.21435483871</v>
      </c>
      <c r="V141" s="10">
        <f>+'A) Base RI'!O141</f>
        <v>127197.5</v>
      </c>
      <c r="W141" s="10">
        <f>+'A) Base RI'!P141</f>
        <v>170829.35</v>
      </c>
      <c r="X141" s="10">
        <f>+'A) Base RI'!R141</f>
        <v>115364.9</v>
      </c>
      <c r="Y141" s="387">
        <f t="shared" si="17"/>
        <v>413391.75</v>
      </c>
      <c r="Z141" s="10">
        <f>+'A) Base RI'!N141</f>
        <v>105185.35</v>
      </c>
      <c r="AA141" s="10">
        <f>'A) Base RI'!V141</f>
        <v>1744</v>
      </c>
    </row>
    <row r="142" spans="1:27" x14ac:dyDescent="0.25">
      <c r="A142" s="8">
        <f>'A) Base RI'!A142</f>
        <v>5633</v>
      </c>
      <c r="B142" s="32" t="str">
        <f>'A) Base RI'!B142</f>
        <v>Echandens</v>
      </c>
      <c r="C142" s="10">
        <f>'A) Base RI'!C142+'A) Base RI'!D142</f>
        <v>8998839.4600000009</v>
      </c>
      <c r="D142" s="10">
        <f>'A) Base RI'!W142</f>
        <v>-152465.9</v>
      </c>
      <c r="E142" s="384">
        <f>'A) Base RI'!X142</f>
        <v>0</v>
      </c>
      <c r="F142" s="384">
        <f>'A) Base RI'!Y142</f>
        <v>-4028.35</v>
      </c>
      <c r="G142" s="387">
        <f t="shared" si="12"/>
        <v>8842345.2100000009</v>
      </c>
      <c r="H142" s="10">
        <f>+'A) Base RI'!E142</f>
        <v>0</v>
      </c>
      <c r="I142" s="10">
        <f>+'A) Base RI'!F142</f>
        <v>0</v>
      </c>
      <c r="J142" s="10">
        <f>+'A) Base RI'!G142+'A) Base RI'!H142+'A) Base RI'!S142</f>
        <v>502834.62</v>
      </c>
      <c r="K142" s="10">
        <f>+'A) Base RI'!I142</f>
        <v>0</v>
      </c>
      <c r="L142" s="10">
        <f>+'A) Base RI'!J142</f>
        <v>111804.69</v>
      </c>
      <c r="M142" s="10">
        <f>+'A) Base RI'!K142</f>
        <v>35892.25</v>
      </c>
      <c r="N142" s="10">
        <f>+'A) Base RI'!Q142</f>
        <v>50546.16</v>
      </c>
      <c r="O142" s="10">
        <f t="shared" si="13"/>
        <v>671730.3</v>
      </c>
      <c r="P142" s="10">
        <f>+'A) Base RI'!L142</f>
        <v>671730.3</v>
      </c>
      <c r="Q142" s="395">
        <f>'A) Base RI'!Z142</f>
        <v>1</v>
      </c>
      <c r="R142" s="387">
        <f t="shared" si="14"/>
        <v>10215153.23</v>
      </c>
      <c r="S142" s="428">
        <f>+'A) Base RI'!U142</f>
        <v>60.5</v>
      </c>
      <c r="T142" s="387">
        <f t="shared" si="15"/>
        <v>9507530.6799999997</v>
      </c>
      <c r="U142" s="387">
        <f t="shared" si="16"/>
        <v>168845.50793388431</v>
      </c>
      <c r="V142" s="10">
        <f>+'A) Base RI'!O142</f>
        <v>41597.1</v>
      </c>
      <c r="W142" s="10">
        <f>+'A) Base RI'!P142</f>
        <v>340604.65</v>
      </c>
      <c r="X142" s="10">
        <f>+'A) Base RI'!R142</f>
        <v>191341.2</v>
      </c>
      <c r="Y142" s="387">
        <f t="shared" si="17"/>
        <v>573542.94999999995</v>
      </c>
      <c r="Z142" s="10">
        <f>+'A) Base RI'!N142</f>
        <v>127028.65</v>
      </c>
      <c r="AA142" s="10">
        <f>'A) Base RI'!V142</f>
        <v>2775</v>
      </c>
    </row>
    <row r="143" spans="1:27" x14ac:dyDescent="0.25">
      <c r="A143" s="8">
        <f>'A) Base RI'!A143</f>
        <v>5634</v>
      </c>
      <c r="B143" s="32" t="str">
        <f>'A) Base RI'!B143</f>
        <v>Echichens</v>
      </c>
      <c r="C143" s="10">
        <f>'A) Base RI'!C143+'A) Base RI'!D143</f>
        <v>8991360.6500000004</v>
      </c>
      <c r="D143" s="10">
        <f>'A) Base RI'!W143</f>
        <v>-17917.09</v>
      </c>
      <c r="E143" s="384">
        <f>'A) Base RI'!X143</f>
        <v>0</v>
      </c>
      <c r="F143" s="384">
        <f>'A) Base RI'!Y143</f>
        <v>-8112.3</v>
      </c>
      <c r="G143" s="387">
        <f t="shared" si="12"/>
        <v>8965331.2599999998</v>
      </c>
      <c r="H143" s="10">
        <f>+'A) Base RI'!E143</f>
        <v>0</v>
      </c>
      <c r="I143" s="10">
        <f>+'A) Base RI'!F143</f>
        <v>0</v>
      </c>
      <c r="J143" s="10">
        <f>+'A) Base RI'!G143+'A) Base RI'!H143+'A) Base RI'!S143</f>
        <v>171881.33000000002</v>
      </c>
      <c r="K143" s="10">
        <f>+'A) Base RI'!I143</f>
        <v>67961.05</v>
      </c>
      <c r="L143" s="10">
        <f>+'A) Base RI'!J143</f>
        <v>96837.51</v>
      </c>
      <c r="M143" s="10">
        <f>+'A) Base RI'!K143</f>
        <v>28641.9</v>
      </c>
      <c r="N143" s="10">
        <f>+'A) Base RI'!Q143</f>
        <v>7269.84</v>
      </c>
      <c r="O143" s="10">
        <f t="shared" si="13"/>
        <v>731624</v>
      </c>
      <c r="P143" s="10">
        <f>+'A) Base RI'!L143</f>
        <v>731624</v>
      </c>
      <c r="Q143" s="395">
        <f>'A) Base RI'!Z143</f>
        <v>1</v>
      </c>
      <c r="R143" s="387">
        <f t="shared" si="14"/>
        <v>10069546.890000001</v>
      </c>
      <c r="S143" s="428">
        <f>+'A) Base RI'!U143</f>
        <v>66</v>
      </c>
      <c r="T143" s="387">
        <f t="shared" si="15"/>
        <v>9309280.9900000002</v>
      </c>
      <c r="U143" s="387">
        <f t="shared" si="16"/>
        <v>152568.89227272727</v>
      </c>
      <c r="V143" s="10">
        <f>+'A) Base RI'!O143</f>
        <v>194459</v>
      </c>
      <c r="W143" s="10">
        <f>+'A) Base RI'!P143</f>
        <v>576328.75</v>
      </c>
      <c r="X143" s="10">
        <f>+'A) Base RI'!R143</f>
        <v>282681</v>
      </c>
      <c r="Y143" s="387">
        <f t="shared" si="17"/>
        <v>1053468.75</v>
      </c>
      <c r="Z143" s="10">
        <f>+'A) Base RI'!N143</f>
        <v>49103.199999999997</v>
      </c>
      <c r="AA143" s="10">
        <f>'A) Base RI'!V143</f>
        <v>3142</v>
      </c>
    </row>
    <row r="144" spans="1:27" x14ac:dyDescent="0.25">
      <c r="A144" s="8">
        <f>'A) Base RI'!A144</f>
        <v>5635</v>
      </c>
      <c r="B144" s="32" t="str">
        <f>'A) Base RI'!B144</f>
        <v>Ecublens</v>
      </c>
      <c r="C144" s="10">
        <f>'A) Base RI'!C144+'A) Base RI'!D144</f>
        <v>20422841.82</v>
      </c>
      <c r="D144" s="10">
        <f>'A) Base RI'!W144</f>
        <v>-398566.14</v>
      </c>
      <c r="E144" s="384">
        <f>'A) Base RI'!X144</f>
        <v>0</v>
      </c>
      <c r="F144" s="384">
        <f>'A) Base RI'!Y144</f>
        <v>-20305.93</v>
      </c>
      <c r="G144" s="387">
        <f t="shared" si="12"/>
        <v>20003969.75</v>
      </c>
      <c r="H144" s="10">
        <f>+'A) Base RI'!E144</f>
        <v>0</v>
      </c>
      <c r="I144" s="10">
        <f>+'A) Base RI'!F144</f>
        <v>0</v>
      </c>
      <c r="J144" s="10">
        <f>+'A) Base RI'!G144+'A) Base RI'!H144+'A) Base RI'!S144</f>
        <v>30157304.48</v>
      </c>
      <c r="K144" s="10">
        <f>+'A) Base RI'!I144</f>
        <v>0</v>
      </c>
      <c r="L144" s="10">
        <f>+'A) Base RI'!J144</f>
        <v>1224895.53</v>
      </c>
      <c r="M144" s="10">
        <f>+'A) Base RI'!K144</f>
        <v>330560.59999999998</v>
      </c>
      <c r="N144" s="10">
        <f>+'A) Base RI'!Q144</f>
        <v>89322.18</v>
      </c>
      <c r="O144" s="10">
        <f t="shared" si="13"/>
        <v>2716889.9583333335</v>
      </c>
      <c r="P144" s="10">
        <f>+'A) Base RI'!L144</f>
        <v>3260267.95</v>
      </c>
      <c r="Q144" s="395">
        <f>'A) Base RI'!Z144</f>
        <v>1.2</v>
      </c>
      <c r="R144" s="387">
        <f t="shared" si="14"/>
        <v>54522942.498333342</v>
      </c>
      <c r="S144" s="428">
        <f>+'A) Base RI'!U144</f>
        <v>62.5</v>
      </c>
      <c r="T144" s="387">
        <f t="shared" si="15"/>
        <v>51475491.940000005</v>
      </c>
      <c r="U144" s="387">
        <f t="shared" si="16"/>
        <v>872367.07997333352</v>
      </c>
      <c r="V144" s="10">
        <f>+'A) Base RI'!O144</f>
        <v>629100.5</v>
      </c>
      <c r="W144" s="10">
        <f>+'A) Base RI'!P144</f>
        <v>1817345.3</v>
      </c>
      <c r="X144" s="10">
        <f>+'A) Base RI'!R144</f>
        <v>657972.1</v>
      </c>
      <c r="Y144" s="387">
        <f t="shared" si="17"/>
        <v>3104417.9</v>
      </c>
      <c r="Z144" s="10">
        <f>+'A) Base RI'!N144</f>
        <v>1875328.15</v>
      </c>
      <c r="AA144" s="10">
        <f>'A) Base RI'!V144</f>
        <v>13214</v>
      </c>
    </row>
    <row r="145" spans="1:27" x14ac:dyDescent="0.25">
      <c r="A145" s="8">
        <f>'A) Base RI'!A145</f>
        <v>5636</v>
      </c>
      <c r="B145" s="32" t="str">
        <f>'A) Base RI'!B145</f>
        <v>Etoy</v>
      </c>
      <c r="C145" s="10">
        <f>'A) Base RI'!C145+'A) Base RI'!D145</f>
        <v>7000237.3600000003</v>
      </c>
      <c r="D145" s="10">
        <f>'A) Base RI'!W145</f>
        <v>-82175.960000000006</v>
      </c>
      <c r="E145" s="384">
        <f>'A) Base RI'!X145</f>
        <v>0</v>
      </c>
      <c r="F145" s="384">
        <f>'A) Base RI'!Y145</f>
        <v>-3730.07</v>
      </c>
      <c r="G145" s="387">
        <f t="shared" si="12"/>
        <v>6914331.3300000001</v>
      </c>
      <c r="H145" s="10">
        <f>+'A) Base RI'!E145</f>
        <v>0</v>
      </c>
      <c r="I145" s="10">
        <f>+'A) Base RI'!F145</f>
        <v>0</v>
      </c>
      <c r="J145" s="10">
        <f>+'A) Base RI'!G145+'A) Base RI'!H145+'A) Base RI'!S145</f>
        <v>2381359.4700000002</v>
      </c>
      <c r="K145" s="10">
        <f>+'A) Base RI'!I145</f>
        <v>1173.25</v>
      </c>
      <c r="L145" s="10">
        <f>+'A) Base RI'!J145</f>
        <v>473653.92</v>
      </c>
      <c r="M145" s="10">
        <f>+'A) Base RI'!K145</f>
        <v>259740.79999999999</v>
      </c>
      <c r="N145" s="10">
        <f>+'A) Base RI'!Q145</f>
        <v>6392.63</v>
      </c>
      <c r="O145" s="10">
        <f t="shared" si="13"/>
        <v>1187161</v>
      </c>
      <c r="P145" s="10">
        <f>+'A) Base RI'!L145</f>
        <v>1187161</v>
      </c>
      <c r="Q145" s="395">
        <f>'A) Base RI'!Z145</f>
        <v>1</v>
      </c>
      <c r="R145" s="387">
        <f t="shared" si="14"/>
        <v>11223812.400000002</v>
      </c>
      <c r="S145" s="428">
        <f>+'A) Base RI'!U145</f>
        <v>60</v>
      </c>
      <c r="T145" s="387">
        <f t="shared" si="15"/>
        <v>9776910.6000000015</v>
      </c>
      <c r="U145" s="387">
        <f t="shared" si="16"/>
        <v>187063.54000000004</v>
      </c>
      <c r="V145" s="10">
        <f>+'A) Base RI'!O145</f>
        <v>372820.6</v>
      </c>
      <c r="W145" s="10">
        <f>+'A) Base RI'!P145</f>
        <v>1116343.6499999999</v>
      </c>
      <c r="X145" s="10">
        <f>+'A) Base RI'!R145</f>
        <v>388089.35</v>
      </c>
      <c r="Y145" s="387">
        <f t="shared" si="17"/>
        <v>1877253.6</v>
      </c>
      <c r="Z145" s="10">
        <f>+'A) Base RI'!N145</f>
        <v>570633.05000000005</v>
      </c>
      <c r="AA145" s="10">
        <f>'A) Base RI'!V145</f>
        <v>2918</v>
      </c>
    </row>
    <row r="146" spans="1:27" x14ac:dyDescent="0.25">
      <c r="A146" s="8">
        <f>'A) Base RI'!A146</f>
        <v>5637</v>
      </c>
      <c r="B146" s="32" t="str">
        <f>'A) Base RI'!B146</f>
        <v>Lavigny</v>
      </c>
      <c r="C146" s="10">
        <f>'A) Base RI'!C146+'A) Base RI'!D146</f>
        <v>2538315.11</v>
      </c>
      <c r="D146" s="10">
        <f>'A) Base RI'!W146</f>
        <v>-14815.91</v>
      </c>
      <c r="E146" s="384">
        <f>'A) Base RI'!X146</f>
        <v>0</v>
      </c>
      <c r="F146" s="384">
        <f>'A) Base RI'!Y146</f>
        <v>-1570.94</v>
      </c>
      <c r="G146" s="387">
        <f t="shared" si="12"/>
        <v>2521928.2599999998</v>
      </c>
      <c r="H146" s="10">
        <f>+'A) Base RI'!E146</f>
        <v>0</v>
      </c>
      <c r="I146" s="10">
        <f>+'A) Base RI'!F146</f>
        <v>0</v>
      </c>
      <c r="J146" s="10">
        <f>+'A) Base RI'!G146+'A) Base RI'!H146+'A) Base RI'!S146</f>
        <v>37822.750000000007</v>
      </c>
      <c r="K146" s="10">
        <f>+'A) Base RI'!I146</f>
        <v>0</v>
      </c>
      <c r="L146" s="10">
        <f>+'A) Base RI'!J146</f>
        <v>2127.4499999999998</v>
      </c>
      <c r="M146" s="10">
        <f>+'A) Base RI'!K146</f>
        <v>8991.35</v>
      </c>
      <c r="N146" s="10">
        <f>+'A) Base RI'!Q146</f>
        <v>0</v>
      </c>
      <c r="O146" s="10">
        <f t="shared" si="13"/>
        <v>195903</v>
      </c>
      <c r="P146" s="10">
        <f>+'A) Base RI'!L146</f>
        <v>293854.5</v>
      </c>
      <c r="Q146" s="395">
        <f>'A) Base RI'!Z146</f>
        <v>1.5</v>
      </c>
      <c r="R146" s="387">
        <f t="shared" si="14"/>
        <v>2766772.81</v>
      </c>
      <c r="S146" s="428">
        <f>+'A) Base RI'!U146</f>
        <v>73</v>
      </c>
      <c r="T146" s="387">
        <f t="shared" si="15"/>
        <v>2561878.46</v>
      </c>
      <c r="U146" s="387">
        <f t="shared" si="16"/>
        <v>37900.997397260275</v>
      </c>
      <c r="V146" s="10">
        <f>+'A) Base RI'!O146</f>
        <v>0</v>
      </c>
      <c r="W146" s="10">
        <f>+'A) Base RI'!P146</f>
        <v>194767.4</v>
      </c>
      <c r="X146" s="10">
        <f>+'A) Base RI'!R146</f>
        <v>153664.9</v>
      </c>
      <c r="Y146" s="387">
        <f t="shared" si="17"/>
        <v>348432.3</v>
      </c>
      <c r="Z146" s="10">
        <f>+'A) Base RI'!N146</f>
        <v>231727.1</v>
      </c>
      <c r="AA146" s="10">
        <f>'A) Base RI'!V146</f>
        <v>1026</v>
      </c>
    </row>
    <row r="147" spans="1:27" x14ac:dyDescent="0.25">
      <c r="A147" s="8">
        <f>'A) Base RI'!A147</f>
        <v>5638</v>
      </c>
      <c r="B147" s="32" t="str">
        <f>'A) Base RI'!B147</f>
        <v>Lonay</v>
      </c>
      <c r="C147" s="10">
        <f>'A) Base RI'!C147+'A) Base RI'!D147</f>
        <v>7579507.8999999994</v>
      </c>
      <c r="D147" s="10">
        <f>'A) Base RI'!W147</f>
        <v>-26311.53</v>
      </c>
      <c r="E147" s="384">
        <f>'A) Base RI'!X147</f>
        <v>0</v>
      </c>
      <c r="F147" s="384">
        <f>'A) Base RI'!Y147</f>
        <v>-9128.07</v>
      </c>
      <c r="G147" s="387">
        <f t="shared" si="12"/>
        <v>7544068.2999999989</v>
      </c>
      <c r="H147" s="10">
        <f>+'A) Base RI'!E147</f>
        <v>0</v>
      </c>
      <c r="I147" s="10">
        <f>+'A) Base RI'!F147</f>
        <v>0</v>
      </c>
      <c r="J147" s="10">
        <f>+'A) Base RI'!G147+'A) Base RI'!H147+'A) Base RI'!S147</f>
        <v>825310.03</v>
      </c>
      <c r="K147" s="10">
        <f>+'A) Base RI'!I147</f>
        <v>248392.75</v>
      </c>
      <c r="L147" s="10">
        <f>+'A) Base RI'!J147</f>
        <v>173538.12</v>
      </c>
      <c r="M147" s="10">
        <f>+'A) Base RI'!K147</f>
        <v>66248.100000000006</v>
      </c>
      <c r="N147" s="10">
        <f>+'A) Base RI'!Q147</f>
        <v>46639.73</v>
      </c>
      <c r="O147" s="10">
        <f t="shared" si="13"/>
        <v>674733</v>
      </c>
      <c r="P147" s="10">
        <f>+'A) Base RI'!L147</f>
        <v>674733</v>
      </c>
      <c r="Q147" s="395">
        <f>'A) Base RI'!Z147</f>
        <v>1</v>
      </c>
      <c r="R147" s="387">
        <f t="shared" si="14"/>
        <v>9578930.0299999975</v>
      </c>
      <c r="S147" s="428">
        <f>+'A) Base RI'!U147</f>
        <v>55</v>
      </c>
      <c r="T147" s="387">
        <f t="shared" si="15"/>
        <v>8837948.9299999978</v>
      </c>
      <c r="U147" s="387">
        <f t="shared" si="16"/>
        <v>174162.36418181815</v>
      </c>
      <c r="V147" s="10">
        <f>+'A) Base RI'!O147</f>
        <v>7497652.7999999998</v>
      </c>
      <c r="W147" s="10">
        <f>+'A) Base RI'!P147</f>
        <v>464147</v>
      </c>
      <c r="X147" s="10">
        <f>+'A) Base RI'!R147</f>
        <v>296329.65000000002</v>
      </c>
      <c r="Y147" s="387">
        <f t="shared" si="17"/>
        <v>8258129.4500000002</v>
      </c>
      <c r="Z147" s="10">
        <f>+'A) Base RI'!N147</f>
        <v>319329.59999999998</v>
      </c>
      <c r="AA147" s="10">
        <f>'A) Base RI'!V147</f>
        <v>2751</v>
      </c>
    </row>
    <row r="148" spans="1:27" x14ac:dyDescent="0.25">
      <c r="A148" s="8">
        <f>'A) Base RI'!A148</f>
        <v>5639</v>
      </c>
      <c r="B148" s="32" t="str">
        <f>'A) Base RI'!B148</f>
        <v>Lully</v>
      </c>
      <c r="C148" s="10">
        <f>'A) Base RI'!C148+'A) Base RI'!D148</f>
        <v>2967105.21</v>
      </c>
      <c r="D148" s="10">
        <f>'A) Base RI'!W148</f>
        <v>-3113.34</v>
      </c>
      <c r="E148" s="384">
        <f>'A) Base RI'!X148</f>
        <v>0</v>
      </c>
      <c r="F148" s="384">
        <f>'A) Base RI'!Y148</f>
        <v>-1123.2</v>
      </c>
      <c r="G148" s="387">
        <f t="shared" si="12"/>
        <v>2962868.67</v>
      </c>
      <c r="H148" s="10">
        <f>+'A) Base RI'!E148</f>
        <v>0</v>
      </c>
      <c r="I148" s="10">
        <f>+'A) Base RI'!F148</f>
        <v>0</v>
      </c>
      <c r="J148" s="10">
        <f>+'A) Base RI'!G148+'A) Base RI'!H148+'A) Base RI'!S148</f>
        <v>97688.42</v>
      </c>
      <c r="K148" s="10">
        <f>+'A) Base RI'!I148</f>
        <v>0</v>
      </c>
      <c r="L148" s="10">
        <f>+'A) Base RI'!J148</f>
        <v>8717.4699999999993</v>
      </c>
      <c r="M148" s="10">
        <f>+'A) Base RI'!K148</f>
        <v>-2986.65</v>
      </c>
      <c r="N148" s="10">
        <f>+'A) Base RI'!Q148</f>
        <v>100</v>
      </c>
      <c r="O148" s="10">
        <f t="shared" si="13"/>
        <v>209999.52000000002</v>
      </c>
      <c r="P148" s="10">
        <f>+'A) Base RI'!L148</f>
        <v>262499.40000000002</v>
      </c>
      <c r="Q148" s="395">
        <f>'A) Base RI'!Z148</f>
        <v>1.25</v>
      </c>
      <c r="R148" s="387">
        <f t="shared" si="14"/>
        <v>3276387.43</v>
      </c>
      <c r="S148" s="428">
        <f>+'A) Base RI'!U148</f>
        <v>61</v>
      </c>
      <c r="T148" s="387">
        <f t="shared" si="15"/>
        <v>3069374.56</v>
      </c>
      <c r="U148" s="387">
        <f t="shared" si="16"/>
        <v>53711.269344262299</v>
      </c>
      <c r="V148" s="10">
        <f>+'A) Base RI'!O148</f>
        <v>3958.3</v>
      </c>
      <c r="W148" s="10">
        <f>+'A) Base RI'!P148</f>
        <v>115570.05</v>
      </c>
      <c r="X148" s="10">
        <f>+'A) Base RI'!R148</f>
        <v>61535.75</v>
      </c>
      <c r="Y148" s="387">
        <f t="shared" si="17"/>
        <v>181064.1</v>
      </c>
      <c r="Z148" s="10">
        <f>+'A) Base RI'!N148</f>
        <v>20293.95</v>
      </c>
      <c r="AA148" s="10">
        <f>'A) Base RI'!V148</f>
        <v>828</v>
      </c>
    </row>
    <row r="149" spans="1:27" x14ac:dyDescent="0.25">
      <c r="A149" s="8">
        <f>'A) Base RI'!A149</f>
        <v>5640</v>
      </c>
      <c r="B149" s="32" t="str">
        <f>'A) Base RI'!B149</f>
        <v>Lussy-sur-Morges</v>
      </c>
      <c r="C149" s="10">
        <f>'A) Base RI'!C149+'A) Base RI'!D149</f>
        <v>4196947.04</v>
      </c>
      <c r="D149" s="10">
        <f>'A) Base RI'!W149</f>
        <v>-4482.5200000000004</v>
      </c>
      <c r="E149" s="384">
        <f>'A) Base RI'!X149</f>
        <v>0</v>
      </c>
      <c r="F149" s="384">
        <f>'A) Base RI'!Y149</f>
        <v>-24599.439999999999</v>
      </c>
      <c r="G149" s="387">
        <f t="shared" si="12"/>
        <v>4167865.08</v>
      </c>
      <c r="H149" s="10">
        <f>+'A) Base RI'!E149</f>
        <v>0</v>
      </c>
      <c r="I149" s="10">
        <f>+'A) Base RI'!F149</f>
        <v>0</v>
      </c>
      <c r="J149" s="10">
        <f>+'A) Base RI'!G149+'A) Base RI'!H149+'A) Base RI'!S149</f>
        <v>57199.909999999996</v>
      </c>
      <c r="K149" s="10">
        <f>+'A) Base RI'!I149</f>
        <v>91375.2</v>
      </c>
      <c r="L149" s="10">
        <f>+'A) Base RI'!J149</f>
        <v>3882.25</v>
      </c>
      <c r="M149" s="10">
        <f>+'A) Base RI'!K149</f>
        <v>10428.75</v>
      </c>
      <c r="N149" s="10">
        <f>+'A) Base RI'!Q149</f>
        <v>2635.17</v>
      </c>
      <c r="O149" s="10">
        <f t="shared" si="13"/>
        <v>215657.65</v>
      </c>
      <c r="P149" s="10">
        <f>+'A) Base RI'!L149</f>
        <v>215657.65</v>
      </c>
      <c r="Q149" s="395">
        <f>'A) Base RI'!Z149</f>
        <v>1</v>
      </c>
      <c r="R149" s="387">
        <f t="shared" si="14"/>
        <v>4549044.0100000007</v>
      </c>
      <c r="S149" s="428">
        <f>+'A) Base RI'!U149</f>
        <v>64.5</v>
      </c>
      <c r="T149" s="387">
        <f t="shared" si="15"/>
        <v>4322957.6100000003</v>
      </c>
      <c r="U149" s="387">
        <f t="shared" si="16"/>
        <v>70527.814108527149</v>
      </c>
      <c r="V149" s="10">
        <f>+'A) Base RI'!O149</f>
        <v>309842.59999999998</v>
      </c>
      <c r="W149" s="10">
        <f>+'A) Base RI'!P149</f>
        <v>263911.8</v>
      </c>
      <c r="X149" s="10">
        <f>+'A) Base RI'!R149</f>
        <v>163436</v>
      </c>
      <c r="Y149" s="387">
        <f t="shared" si="17"/>
        <v>737190.39999999991</v>
      </c>
      <c r="Z149" s="10">
        <f>+'A) Base RI'!N149</f>
        <v>20984.3</v>
      </c>
      <c r="AA149" s="10">
        <f>'A) Base RI'!V149</f>
        <v>740</v>
      </c>
    </row>
    <row r="150" spans="1:27" x14ac:dyDescent="0.25">
      <c r="A150" s="8">
        <f>'A) Base RI'!A150</f>
        <v>5642</v>
      </c>
      <c r="B150" s="32" t="str">
        <f>'A) Base RI'!B150</f>
        <v>Morges</v>
      </c>
      <c r="C150" s="10">
        <f>'A) Base RI'!C150+'A) Base RI'!D150</f>
        <v>42027966.07</v>
      </c>
      <c r="D150" s="10">
        <f>'A) Base RI'!W150</f>
        <v>-539005.03</v>
      </c>
      <c r="E150" s="384">
        <f>'A) Base RI'!X150</f>
        <v>0</v>
      </c>
      <c r="F150" s="384">
        <f>'A) Base RI'!Y150</f>
        <v>-94427.27</v>
      </c>
      <c r="G150" s="387">
        <f t="shared" si="12"/>
        <v>41394533.769999996</v>
      </c>
      <c r="H150" s="10">
        <f>+'A) Base RI'!E150</f>
        <v>0</v>
      </c>
      <c r="I150" s="10">
        <f>+'A) Base RI'!F150</f>
        <v>0</v>
      </c>
      <c r="J150" s="10">
        <f>+'A) Base RI'!G150+'A) Base RI'!H150+'A) Base RI'!S150</f>
        <v>20352288.590000004</v>
      </c>
      <c r="K150" s="10">
        <f>+'A) Base RI'!I150</f>
        <v>-886329.76</v>
      </c>
      <c r="L150" s="10">
        <f>+'A) Base RI'!J150</f>
        <v>2165278.56</v>
      </c>
      <c r="M150" s="10">
        <f>+'A) Base RI'!K150</f>
        <v>524306.9</v>
      </c>
      <c r="N150" s="10">
        <f>+'A) Base RI'!Q150</f>
        <v>51028.26</v>
      </c>
      <c r="O150" s="10">
        <f t="shared" si="13"/>
        <v>3380590.7</v>
      </c>
      <c r="P150" s="10">
        <f>+'A) Base RI'!L150</f>
        <v>3380590.7</v>
      </c>
      <c r="Q150" s="395">
        <f>'A) Base RI'!Z150</f>
        <v>1</v>
      </c>
      <c r="R150" s="387">
        <f t="shared" si="14"/>
        <v>66981697.020000003</v>
      </c>
      <c r="S150" s="428">
        <f>+'A) Base RI'!U150</f>
        <v>67</v>
      </c>
      <c r="T150" s="387">
        <f t="shared" si="15"/>
        <v>63076799.420000002</v>
      </c>
      <c r="U150" s="387">
        <f t="shared" si="16"/>
        <v>999726.82119402988</v>
      </c>
      <c r="V150" s="10">
        <f>+'A) Base RI'!O150</f>
        <v>2837589.9</v>
      </c>
      <c r="W150" s="10">
        <f>+'A) Base RI'!P150</f>
        <v>1295627.5</v>
      </c>
      <c r="X150" s="10">
        <f>+'A) Base RI'!R150</f>
        <v>1325952.5</v>
      </c>
      <c r="Y150" s="387">
        <f t="shared" si="17"/>
        <v>5459169.9000000004</v>
      </c>
      <c r="Z150" s="10">
        <f>+'A) Base RI'!N150</f>
        <v>1327116.8999999999</v>
      </c>
      <c r="AA150" s="10">
        <f>'A) Base RI'!V150</f>
        <v>16885</v>
      </c>
    </row>
    <row r="151" spans="1:27" x14ac:dyDescent="0.25">
      <c r="A151" s="8">
        <f>'A) Base RI'!A151</f>
        <v>5643</v>
      </c>
      <c r="B151" s="32" t="str">
        <f>'A) Base RI'!B151</f>
        <v>Préverenges</v>
      </c>
      <c r="C151" s="10">
        <f>'A) Base RI'!C151+'A) Base RI'!D151</f>
        <v>13730012.449999999</v>
      </c>
      <c r="D151" s="10">
        <f>'A) Base RI'!W151</f>
        <v>-160578.53</v>
      </c>
      <c r="E151" s="384">
        <f>'A) Base RI'!X151</f>
        <v>0</v>
      </c>
      <c r="F151" s="384">
        <f>'A) Base RI'!Y151</f>
        <v>-17962.939999999999</v>
      </c>
      <c r="G151" s="387">
        <f t="shared" si="12"/>
        <v>13551470.98</v>
      </c>
      <c r="H151" s="10">
        <f>+'A) Base RI'!E151</f>
        <v>0</v>
      </c>
      <c r="I151" s="10">
        <f>+'A) Base RI'!F151</f>
        <v>0</v>
      </c>
      <c r="J151" s="10">
        <f>+'A) Base RI'!G151+'A) Base RI'!H151+'A) Base RI'!S151</f>
        <v>656737.60000000009</v>
      </c>
      <c r="K151" s="10">
        <f>+'A) Base RI'!I151</f>
        <v>365406.59</v>
      </c>
      <c r="L151" s="10">
        <f>+'A) Base RI'!J151</f>
        <v>196489.56</v>
      </c>
      <c r="M151" s="10">
        <f>+'A) Base RI'!K151</f>
        <v>130915.1</v>
      </c>
      <c r="N151" s="10">
        <f>+'A) Base RI'!Q151</f>
        <v>70180.77</v>
      </c>
      <c r="O151" s="10">
        <f t="shared" si="13"/>
        <v>1138350.72</v>
      </c>
      <c r="P151" s="10">
        <f>+'A) Base RI'!L151</f>
        <v>1138350.72</v>
      </c>
      <c r="Q151" s="395">
        <f>'A) Base RI'!Z151</f>
        <v>1</v>
      </c>
      <c r="R151" s="387">
        <f t="shared" si="14"/>
        <v>16109551.32</v>
      </c>
      <c r="S151" s="428">
        <f>+'A) Base RI'!U151</f>
        <v>62.5</v>
      </c>
      <c r="T151" s="387">
        <f t="shared" si="15"/>
        <v>14840285.5</v>
      </c>
      <c r="U151" s="387">
        <f t="shared" si="16"/>
        <v>257752.82112000001</v>
      </c>
      <c r="V151" s="10">
        <f>+'A) Base RI'!O151</f>
        <v>-50459</v>
      </c>
      <c r="W151" s="10">
        <f>+'A) Base RI'!P151</f>
        <v>454440.25</v>
      </c>
      <c r="X151" s="10">
        <f>+'A) Base RI'!R151</f>
        <v>477859.3</v>
      </c>
      <c r="Y151" s="387">
        <f t="shared" si="17"/>
        <v>881840.55</v>
      </c>
      <c r="Z151" s="10">
        <f>+'A) Base RI'!N151</f>
        <v>200612.9</v>
      </c>
      <c r="AA151" s="10">
        <f>'A) Base RI'!V151</f>
        <v>5208</v>
      </c>
    </row>
    <row r="152" spans="1:27" x14ac:dyDescent="0.25">
      <c r="A152" s="8">
        <f>'A) Base RI'!A152</f>
        <v>5644</v>
      </c>
      <c r="B152" s="32" t="str">
        <f>'A) Base RI'!B152</f>
        <v>Reverolle</v>
      </c>
      <c r="C152" s="10">
        <f>'A) Base RI'!C152+'A) Base RI'!D152</f>
        <v>1124881.8799999999</v>
      </c>
      <c r="D152" s="10">
        <f>'A) Base RI'!W152</f>
        <v>-6773.74</v>
      </c>
      <c r="E152" s="384">
        <f>'A) Base RI'!X152</f>
        <v>0</v>
      </c>
      <c r="F152" s="384">
        <f>'A) Base RI'!Y152</f>
        <v>-210.59</v>
      </c>
      <c r="G152" s="387">
        <f t="shared" si="12"/>
        <v>1117897.5499999998</v>
      </c>
      <c r="H152" s="10">
        <f>+'A) Base RI'!E152</f>
        <v>0</v>
      </c>
      <c r="I152" s="10">
        <f>+'A) Base RI'!F152</f>
        <v>0</v>
      </c>
      <c r="J152" s="10">
        <f>+'A) Base RI'!G152+'A) Base RI'!H152+'A) Base RI'!S152</f>
        <v>-1027.26</v>
      </c>
      <c r="K152" s="10">
        <f>+'A) Base RI'!I152</f>
        <v>0</v>
      </c>
      <c r="L152" s="10">
        <f>+'A) Base RI'!J152</f>
        <v>424.05</v>
      </c>
      <c r="M152" s="10">
        <f>+'A) Base RI'!K152</f>
        <v>0</v>
      </c>
      <c r="N152" s="10">
        <f>+'A) Base RI'!Q152</f>
        <v>7850.9</v>
      </c>
      <c r="O152" s="10">
        <f t="shared" si="13"/>
        <v>85750.65</v>
      </c>
      <c r="P152" s="10">
        <f>+'A) Base RI'!L152</f>
        <v>85750.65</v>
      </c>
      <c r="Q152" s="395">
        <f>'A) Base RI'!Z152</f>
        <v>1</v>
      </c>
      <c r="R152" s="387">
        <f t="shared" si="14"/>
        <v>1210895.8899999997</v>
      </c>
      <c r="S152" s="428">
        <f>+'A) Base RI'!U152</f>
        <v>74</v>
      </c>
      <c r="T152" s="387">
        <f t="shared" si="15"/>
        <v>1125145.2399999998</v>
      </c>
      <c r="U152" s="387">
        <f t="shared" si="16"/>
        <v>16363.457972972968</v>
      </c>
      <c r="V152" s="10">
        <f>+'A) Base RI'!O152</f>
        <v>770</v>
      </c>
      <c r="W152" s="10">
        <f>+'A) Base RI'!P152</f>
        <v>32890</v>
      </c>
      <c r="X152" s="10">
        <f>+'A) Base RI'!R152</f>
        <v>7896.35</v>
      </c>
      <c r="Y152" s="387">
        <f t="shared" si="17"/>
        <v>41556.35</v>
      </c>
      <c r="Z152" s="10">
        <f>+'A) Base RI'!N152</f>
        <v>2764.4</v>
      </c>
      <c r="AA152" s="10">
        <f>'A) Base RI'!V152</f>
        <v>403</v>
      </c>
    </row>
    <row r="153" spans="1:27" x14ac:dyDescent="0.25">
      <c r="A153" s="8">
        <f>'A) Base RI'!A153</f>
        <v>5645</v>
      </c>
      <c r="B153" s="32" t="str">
        <f>'A) Base RI'!B153</f>
        <v>Romanel-sur-Morges</v>
      </c>
      <c r="C153" s="10">
        <f>'A) Base RI'!C153+'A) Base RI'!D153</f>
        <v>1086010.06</v>
      </c>
      <c r="D153" s="10">
        <f>'A) Base RI'!W153</f>
        <v>-9250.36</v>
      </c>
      <c r="E153" s="384">
        <f>'A) Base RI'!X153</f>
        <v>0</v>
      </c>
      <c r="F153" s="384">
        <f>'A) Base RI'!Y153</f>
        <v>-577.80999999999995</v>
      </c>
      <c r="G153" s="387">
        <f t="shared" si="12"/>
        <v>1076181.8899999999</v>
      </c>
      <c r="H153" s="10">
        <f>+'A) Base RI'!E153</f>
        <v>0</v>
      </c>
      <c r="I153" s="10">
        <f>+'A) Base RI'!F153</f>
        <v>0</v>
      </c>
      <c r="J153" s="10">
        <f>+'A) Base RI'!G153+'A) Base RI'!H153+'A) Base RI'!S153</f>
        <v>171331.76</v>
      </c>
      <c r="K153" s="10">
        <f>+'A) Base RI'!I153</f>
        <v>0</v>
      </c>
      <c r="L153" s="10">
        <f>+'A) Base RI'!J153</f>
        <v>55470.86</v>
      </c>
      <c r="M153" s="10">
        <f>+'A) Base RI'!K153</f>
        <v>21581.5</v>
      </c>
      <c r="N153" s="10">
        <f>+'A) Base RI'!Q153</f>
        <v>1707.71</v>
      </c>
      <c r="O153" s="10">
        <f t="shared" si="13"/>
        <v>162543.5</v>
      </c>
      <c r="P153" s="10">
        <f>+'A) Base RI'!L153</f>
        <v>162543.5</v>
      </c>
      <c r="Q153" s="395">
        <f>'A) Base RI'!Z153</f>
        <v>1</v>
      </c>
      <c r="R153" s="387">
        <f t="shared" si="14"/>
        <v>1488817.22</v>
      </c>
      <c r="S153" s="428">
        <f>+'A) Base RI'!U153</f>
        <v>56</v>
      </c>
      <c r="T153" s="387">
        <f t="shared" si="15"/>
        <v>1304692.22</v>
      </c>
      <c r="U153" s="387">
        <f t="shared" si="16"/>
        <v>26586.021785714285</v>
      </c>
      <c r="V153" s="10">
        <f>+'A) Base RI'!O153</f>
        <v>96188.7</v>
      </c>
      <c r="W153" s="10">
        <f>+'A) Base RI'!P153</f>
        <v>35423</v>
      </c>
      <c r="X153" s="10">
        <f>+'A) Base RI'!R153</f>
        <v>55080.4</v>
      </c>
      <c r="Y153" s="387">
        <f t="shared" si="17"/>
        <v>186692.1</v>
      </c>
      <c r="Z153" s="10">
        <f>+'A) Base RI'!N153</f>
        <v>66780.649999999994</v>
      </c>
      <c r="AA153" s="10">
        <f>'A) Base RI'!V153</f>
        <v>466</v>
      </c>
    </row>
    <row r="154" spans="1:27" x14ac:dyDescent="0.25">
      <c r="A154" s="8">
        <f>'A) Base RI'!A154</f>
        <v>5646</v>
      </c>
      <c r="B154" s="32" t="str">
        <f>'A) Base RI'!B154</f>
        <v>Saint-Prex</v>
      </c>
      <c r="C154" s="10">
        <f>'A) Base RI'!C154+'A) Base RI'!D154</f>
        <v>16374865.109999999</v>
      </c>
      <c r="D154" s="10">
        <f>'A) Base RI'!W154</f>
        <v>-104718.29</v>
      </c>
      <c r="E154" s="384">
        <f>'A) Base RI'!X154</f>
        <v>0</v>
      </c>
      <c r="F154" s="384">
        <f>'A) Base RI'!Y154</f>
        <v>-22242.06</v>
      </c>
      <c r="G154" s="387">
        <f t="shared" si="12"/>
        <v>16247904.76</v>
      </c>
      <c r="H154" s="10">
        <f>+'A) Base RI'!E154</f>
        <v>0</v>
      </c>
      <c r="I154" s="10">
        <f>+'A) Base RI'!F154</f>
        <v>0</v>
      </c>
      <c r="J154" s="10">
        <f>+'A) Base RI'!G154+'A) Base RI'!H154+'A) Base RI'!S154</f>
        <v>11873300.870000001</v>
      </c>
      <c r="K154" s="10">
        <f>+'A) Base RI'!I154</f>
        <v>554981.4</v>
      </c>
      <c r="L154" s="10">
        <f>+'A) Base RI'!J154</f>
        <v>621836.80000000005</v>
      </c>
      <c r="M154" s="10">
        <f>+'A) Base RI'!K154</f>
        <v>156366.6</v>
      </c>
      <c r="N154" s="10">
        <f>+'A) Base RI'!Q154</f>
        <v>10829.31</v>
      </c>
      <c r="O154" s="10">
        <f t="shared" si="13"/>
        <v>1685762.5</v>
      </c>
      <c r="P154" s="10">
        <f>+'A) Base RI'!L154</f>
        <v>2022915</v>
      </c>
      <c r="Q154" s="395">
        <f>'A) Base RI'!Z154</f>
        <v>1.2</v>
      </c>
      <c r="R154" s="387">
        <f t="shared" si="14"/>
        <v>31150982.240000002</v>
      </c>
      <c r="S154" s="428">
        <f>+'A) Base RI'!U154</f>
        <v>59</v>
      </c>
      <c r="T154" s="387">
        <f t="shared" si="15"/>
        <v>29308853.140000001</v>
      </c>
      <c r="U154" s="387">
        <f t="shared" si="16"/>
        <v>527982.74983050849</v>
      </c>
      <c r="V154" s="10">
        <f>+'A) Base RI'!O154</f>
        <v>329676.09999999998</v>
      </c>
      <c r="W154" s="10">
        <f>+'A) Base RI'!P154</f>
        <v>1568269.65</v>
      </c>
      <c r="X154" s="10">
        <f>+'A) Base RI'!R154</f>
        <v>1542299.7</v>
      </c>
      <c r="Y154" s="387">
        <f t="shared" si="17"/>
        <v>3440245.45</v>
      </c>
      <c r="Z154" s="10">
        <f>+'A) Base RI'!N154</f>
        <v>663063.1</v>
      </c>
      <c r="AA154" s="10">
        <f>'A) Base RI'!V154</f>
        <v>5866</v>
      </c>
    </row>
    <row r="155" spans="1:27" x14ac:dyDescent="0.25">
      <c r="A155" s="8">
        <f>'A) Base RI'!A155</f>
        <v>5648</v>
      </c>
      <c r="B155" s="32" t="str">
        <f>'A) Base RI'!B155</f>
        <v>Saint-Sulpice</v>
      </c>
      <c r="C155" s="10">
        <f>'A) Base RI'!C155+'A) Base RI'!D155</f>
        <v>17790580.649999999</v>
      </c>
      <c r="D155" s="10">
        <f>'A) Base RI'!W155</f>
        <v>-86714.29</v>
      </c>
      <c r="E155" s="384">
        <f>'A) Base RI'!X155</f>
        <v>0</v>
      </c>
      <c r="F155" s="384">
        <f>'A) Base RI'!Y155</f>
        <v>-41864.28</v>
      </c>
      <c r="G155" s="387">
        <f t="shared" si="12"/>
        <v>17662002.079999998</v>
      </c>
      <c r="H155" s="10">
        <f>+'A) Base RI'!E155</f>
        <v>0</v>
      </c>
      <c r="I155" s="10">
        <f>+'A) Base RI'!F155</f>
        <v>0</v>
      </c>
      <c r="J155" s="10">
        <f>+'A) Base RI'!G155+'A) Base RI'!H155+'A) Base RI'!S155</f>
        <v>1231941.49</v>
      </c>
      <c r="K155" s="10">
        <f>+'A) Base RI'!I155</f>
        <v>375047.25</v>
      </c>
      <c r="L155" s="10">
        <f>+'A) Base RI'!J155</f>
        <v>433976.27</v>
      </c>
      <c r="M155" s="10">
        <f>+'A) Base RI'!K155</f>
        <v>186166.35</v>
      </c>
      <c r="N155" s="10">
        <f>+'A) Base RI'!Q155</f>
        <v>48693.31</v>
      </c>
      <c r="O155" s="10">
        <f t="shared" si="13"/>
        <v>1755641.1374999997</v>
      </c>
      <c r="P155" s="10">
        <f>+'A) Base RI'!L155</f>
        <v>1404512.91</v>
      </c>
      <c r="Q155" s="395">
        <f>'A) Base RI'!Z155</f>
        <v>0.8</v>
      </c>
      <c r="R155" s="387">
        <f t="shared" si="14"/>
        <v>21693467.887499996</v>
      </c>
      <c r="S155" s="428">
        <f>+'A) Base RI'!U155</f>
        <v>55</v>
      </c>
      <c r="T155" s="387">
        <f t="shared" si="15"/>
        <v>19751660.399999995</v>
      </c>
      <c r="U155" s="387">
        <f t="shared" si="16"/>
        <v>394426.68886363629</v>
      </c>
      <c r="V155" s="10">
        <f>+'A) Base RI'!O155</f>
        <v>1216225.3999999999</v>
      </c>
      <c r="W155" s="10">
        <f>+'A) Base RI'!P155</f>
        <v>978139.95</v>
      </c>
      <c r="X155" s="10">
        <f>+'A) Base RI'!R155</f>
        <v>766442.95</v>
      </c>
      <c r="Y155" s="387">
        <f t="shared" si="17"/>
        <v>2960808.3</v>
      </c>
      <c r="Z155" s="10">
        <f>+'A) Base RI'!N155</f>
        <v>75692.7</v>
      </c>
      <c r="AA155" s="10">
        <f>'A) Base RI'!V155</f>
        <v>4932</v>
      </c>
    </row>
    <row r="156" spans="1:27" x14ac:dyDescent="0.25">
      <c r="A156" s="8">
        <f>'A) Base RI'!A156</f>
        <v>5649</v>
      </c>
      <c r="B156" s="32" t="str">
        <f>'A) Base RI'!B156</f>
        <v>Tolochenaz</v>
      </c>
      <c r="C156" s="10">
        <f>'A) Base RI'!C156+'A) Base RI'!D156</f>
        <v>4402410.68</v>
      </c>
      <c r="D156" s="10">
        <f>'A) Base RI'!W156</f>
        <v>-141662.75</v>
      </c>
      <c r="E156" s="384">
        <f>'A) Base RI'!X156</f>
        <v>0</v>
      </c>
      <c r="F156" s="384">
        <f>'A) Base RI'!Y156</f>
        <v>-2649.82</v>
      </c>
      <c r="G156" s="387">
        <f t="shared" si="12"/>
        <v>4258098.1099999994</v>
      </c>
      <c r="H156" s="10">
        <f>+'A) Base RI'!E156</f>
        <v>0</v>
      </c>
      <c r="I156" s="10">
        <f>+'A) Base RI'!F156</f>
        <v>0</v>
      </c>
      <c r="J156" s="10">
        <f>+'A) Base RI'!G156+'A) Base RI'!H156+'A) Base RI'!S156</f>
        <v>4488744.75</v>
      </c>
      <c r="K156" s="10">
        <f>+'A) Base RI'!I156</f>
        <v>63551.6</v>
      </c>
      <c r="L156" s="10">
        <f>+'A) Base RI'!J156</f>
        <v>531421.27</v>
      </c>
      <c r="M156" s="10">
        <f>+'A) Base RI'!K156</f>
        <v>63393.1</v>
      </c>
      <c r="N156" s="10">
        <f>+'A) Base RI'!Q156</f>
        <v>2541.71</v>
      </c>
      <c r="O156" s="10">
        <f t="shared" si="13"/>
        <v>562068.44999999995</v>
      </c>
      <c r="P156" s="10">
        <f>+'A) Base RI'!L156</f>
        <v>562068.44999999995</v>
      </c>
      <c r="Q156" s="395">
        <f>'A) Base RI'!Z156</f>
        <v>1</v>
      </c>
      <c r="R156" s="387">
        <f t="shared" si="14"/>
        <v>9969818.9899999984</v>
      </c>
      <c r="S156" s="428">
        <f>+'A) Base RI'!U156</f>
        <v>64</v>
      </c>
      <c r="T156" s="387">
        <f t="shared" si="15"/>
        <v>9344357.4399999995</v>
      </c>
      <c r="U156" s="387">
        <f t="shared" si="16"/>
        <v>155778.42171874997</v>
      </c>
      <c r="V156" s="10">
        <f>+'A) Base RI'!O156</f>
        <v>76927.199999999997</v>
      </c>
      <c r="W156" s="10">
        <f>+'A) Base RI'!P156</f>
        <v>239799.65</v>
      </c>
      <c r="X156" s="10">
        <f>+'A) Base RI'!R156</f>
        <v>201356.5</v>
      </c>
      <c r="Y156" s="387">
        <f t="shared" si="17"/>
        <v>518083.35</v>
      </c>
      <c r="Z156" s="10">
        <f>+'A) Base RI'!N156</f>
        <v>287080.5</v>
      </c>
      <c r="AA156" s="10">
        <f>'A) Base RI'!V156</f>
        <v>1886</v>
      </c>
    </row>
    <row r="157" spans="1:27" x14ac:dyDescent="0.25">
      <c r="A157" s="8">
        <f>'A) Base RI'!A157</f>
        <v>5650</v>
      </c>
      <c r="B157" s="32" t="str">
        <f>'A) Base RI'!B157</f>
        <v>Vaux-sur-Morges</v>
      </c>
      <c r="C157" s="10">
        <f>'A) Base RI'!C157+'A) Base RI'!D157</f>
        <v>4597988.1100000003</v>
      </c>
      <c r="D157" s="10">
        <f>'A) Base RI'!W157</f>
        <v>-1.19</v>
      </c>
      <c r="E157" s="384">
        <f>'A) Base RI'!X157</f>
        <v>0</v>
      </c>
      <c r="F157" s="384">
        <f>'A) Base RI'!Y157</f>
        <v>-5060.2</v>
      </c>
      <c r="G157" s="387">
        <f t="shared" si="12"/>
        <v>4592926.7199999997</v>
      </c>
      <c r="H157" s="10">
        <f>+'A) Base RI'!E157</f>
        <v>0</v>
      </c>
      <c r="I157" s="10">
        <f>+'A) Base RI'!F157</f>
        <v>0</v>
      </c>
      <c r="J157" s="10">
        <f>+'A) Base RI'!G157+'A) Base RI'!H157+'A) Base RI'!S157</f>
        <v>9197.7200000000012</v>
      </c>
      <c r="K157" s="10">
        <f>+'A) Base RI'!I157</f>
        <v>0</v>
      </c>
      <c r="L157" s="10">
        <f>+'A) Base RI'!J157</f>
        <v>7063.68</v>
      </c>
      <c r="M157" s="10">
        <f>+'A) Base RI'!K157</f>
        <v>0</v>
      </c>
      <c r="N157" s="10">
        <f>+'A) Base RI'!Q157</f>
        <v>0</v>
      </c>
      <c r="O157" s="10">
        <f t="shared" si="13"/>
        <v>45852</v>
      </c>
      <c r="P157" s="10">
        <f>+'A) Base RI'!L157</f>
        <v>57315</v>
      </c>
      <c r="Q157" s="395">
        <f>'A) Base RI'!Z157</f>
        <v>1.25</v>
      </c>
      <c r="R157" s="387">
        <f t="shared" si="14"/>
        <v>4655040.1199999992</v>
      </c>
      <c r="S157" s="428">
        <f>+'A) Base RI'!U157</f>
        <v>56</v>
      </c>
      <c r="T157" s="387">
        <f t="shared" si="15"/>
        <v>4609188.1199999992</v>
      </c>
      <c r="U157" s="387">
        <f t="shared" si="16"/>
        <v>83125.71642857141</v>
      </c>
      <c r="V157" s="10">
        <f>+'A) Base RI'!O157</f>
        <v>1217687.3999999999</v>
      </c>
      <c r="W157" s="10">
        <f>+'A) Base RI'!P157</f>
        <v>18150</v>
      </c>
      <c r="X157" s="10">
        <f>+'A) Base RI'!R157</f>
        <v>27945</v>
      </c>
      <c r="Y157" s="387">
        <f t="shared" si="17"/>
        <v>1263782.3999999999</v>
      </c>
      <c r="Z157" s="10">
        <f>+'A) Base RI'!N157</f>
        <v>137.19999999999999</v>
      </c>
      <c r="AA157" s="10">
        <f>'A) Base RI'!V157</f>
        <v>196</v>
      </c>
    </row>
    <row r="158" spans="1:27" x14ac:dyDescent="0.25">
      <c r="A158" s="8">
        <f>'A) Base RI'!A158</f>
        <v>5651</v>
      </c>
      <c r="B158" s="32" t="str">
        <f>'A) Base RI'!B158</f>
        <v>Villars-Sainte-Croix</v>
      </c>
      <c r="C158" s="10">
        <f>'A) Base RI'!C158+'A) Base RI'!D158</f>
        <v>2584571.04</v>
      </c>
      <c r="D158" s="10">
        <f>'A) Base RI'!W158</f>
        <v>-10039.99</v>
      </c>
      <c r="E158" s="384">
        <f>'A) Base RI'!X158</f>
        <v>0</v>
      </c>
      <c r="F158" s="384">
        <f>'A) Base RI'!Y158</f>
        <v>-13514.42</v>
      </c>
      <c r="G158" s="387">
        <f t="shared" si="12"/>
        <v>2561016.63</v>
      </c>
      <c r="H158" s="10">
        <f>+'A) Base RI'!E158</f>
        <v>0</v>
      </c>
      <c r="I158" s="10">
        <f>+'A) Base RI'!F158</f>
        <v>0</v>
      </c>
      <c r="J158" s="10">
        <f>+'A) Base RI'!G158+'A) Base RI'!H158+'A) Base RI'!S158</f>
        <v>490843.4</v>
      </c>
      <c r="K158" s="10">
        <f>+'A) Base RI'!I158</f>
        <v>0</v>
      </c>
      <c r="L158" s="10">
        <f>+'A) Base RI'!J158</f>
        <v>13586.85</v>
      </c>
      <c r="M158" s="10">
        <f>+'A) Base RI'!K158</f>
        <v>39207.9</v>
      </c>
      <c r="N158" s="10">
        <f>+'A) Base RI'!Q158</f>
        <v>14966.94</v>
      </c>
      <c r="O158" s="10">
        <f t="shared" si="13"/>
        <v>371048.7</v>
      </c>
      <c r="P158" s="10">
        <f>+'A) Base RI'!L158</f>
        <v>371048.7</v>
      </c>
      <c r="Q158" s="395">
        <f>'A) Base RI'!Z158</f>
        <v>1</v>
      </c>
      <c r="R158" s="387">
        <f t="shared" si="14"/>
        <v>3490670.42</v>
      </c>
      <c r="S158" s="428">
        <f>+'A) Base RI'!U158</f>
        <v>60.5</v>
      </c>
      <c r="T158" s="387">
        <f t="shared" si="15"/>
        <v>3080413.82</v>
      </c>
      <c r="U158" s="387">
        <f t="shared" si="16"/>
        <v>57697.031735537188</v>
      </c>
      <c r="V158" s="10">
        <f>+'A) Base RI'!O158</f>
        <v>0</v>
      </c>
      <c r="W158" s="10">
        <f>+'A) Base RI'!P158</f>
        <v>168784</v>
      </c>
      <c r="X158" s="10">
        <f>+'A) Base RI'!R158</f>
        <v>15593.35</v>
      </c>
      <c r="Y158" s="387">
        <f t="shared" si="17"/>
        <v>184377.35</v>
      </c>
      <c r="Z158" s="10">
        <f>+'A) Base RI'!N158</f>
        <v>178489.65</v>
      </c>
      <c r="AA158" s="10">
        <f>'A) Base RI'!V158</f>
        <v>958</v>
      </c>
    </row>
    <row r="159" spans="1:27" x14ac:dyDescent="0.25">
      <c r="A159" s="8">
        <f>'A) Base RI'!A159</f>
        <v>5652</v>
      </c>
      <c r="B159" s="32" t="str">
        <f>'A) Base RI'!B159</f>
        <v>Villars-sous-Yens</v>
      </c>
      <c r="C159" s="10">
        <f>'A) Base RI'!C159+'A) Base RI'!D159</f>
        <v>1868741.03</v>
      </c>
      <c r="D159" s="10">
        <f>'A) Base RI'!W159</f>
        <v>-47588.06</v>
      </c>
      <c r="E159" s="384">
        <f>'A) Base RI'!X159</f>
        <v>0</v>
      </c>
      <c r="F159" s="384">
        <f>'A) Base RI'!Y159</f>
        <v>-546.20000000000005</v>
      </c>
      <c r="G159" s="387">
        <f t="shared" si="12"/>
        <v>1820606.77</v>
      </c>
      <c r="H159" s="10">
        <f>+'A) Base RI'!E159</f>
        <v>0</v>
      </c>
      <c r="I159" s="10">
        <f>+'A) Base RI'!F159</f>
        <v>0</v>
      </c>
      <c r="J159" s="10">
        <f>+'A) Base RI'!G159+'A) Base RI'!H159+'A) Base RI'!S159</f>
        <v>-3713.12</v>
      </c>
      <c r="K159" s="10">
        <f>+'A) Base RI'!I159</f>
        <v>0</v>
      </c>
      <c r="L159" s="10">
        <f>+'A) Base RI'!J159</f>
        <v>33410.160000000003</v>
      </c>
      <c r="M159" s="10">
        <f>+'A) Base RI'!K159</f>
        <v>1037.1500000000001</v>
      </c>
      <c r="N159" s="10">
        <f>+'A) Base RI'!Q159</f>
        <v>725.9</v>
      </c>
      <c r="O159" s="10">
        <f t="shared" si="13"/>
        <v>116533.08333333334</v>
      </c>
      <c r="P159" s="10">
        <f>+'A) Base RI'!L159</f>
        <v>139839.70000000001</v>
      </c>
      <c r="Q159" s="395">
        <f>'A) Base RI'!Z159</f>
        <v>1.2</v>
      </c>
      <c r="R159" s="387">
        <f t="shared" si="14"/>
        <v>1968599.9433333329</v>
      </c>
      <c r="S159" s="428">
        <f>+'A) Base RI'!U159</f>
        <v>76</v>
      </c>
      <c r="T159" s="387">
        <f t="shared" si="15"/>
        <v>1851029.7099999997</v>
      </c>
      <c r="U159" s="387">
        <f t="shared" si="16"/>
        <v>25902.630833333329</v>
      </c>
      <c r="V159" s="10">
        <f>+'A) Base RI'!O159</f>
        <v>0</v>
      </c>
      <c r="W159" s="10">
        <f>+'A) Base RI'!P159</f>
        <v>25787.599999999999</v>
      </c>
      <c r="X159" s="10">
        <f>+'A) Base RI'!R159</f>
        <v>35181.050000000003</v>
      </c>
      <c r="Y159" s="387">
        <f t="shared" si="17"/>
        <v>60968.65</v>
      </c>
      <c r="Z159" s="10">
        <f>+'A) Base RI'!N159</f>
        <v>0</v>
      </c>
      <c r="AA159" s="10">
        <f>'A) Base RI'!V159</f>
        <v>626</v>
      </c>
    </row>
    <row r="160" spans="1:27" x14ac:dyDescent="0.25">
      <c r="A160" s="8">
        <f>'A) Base RI'!A160</f>
        <v>5653</v>
      </c>
      <c r="B160" s="32" t="str">
        <f>'A) Base RI'!B160</f>
        <v>Vufflens-le-Château</v>
      </c>
      <c r="C160" s="10">
        <f>'A) Base RI'!C160+'A) Base RI'!D160</f>
        <v>3504650.92</v>
      </c>
      <c r="D160" s="10">
        <f>'A) Base RI'!W160</f>
        <v>-7926.74</v>
      </c>
      <c r="E160" s="384">
        <f>'A) Base RI'!X160</f>
        <v>0</v>
      </c>
      <c r="F160" s="384">
        <f>'A) Base RI'!Y160</f>
        <v>-38483.769999999997</v>
      </c>
      <c r="G160" s="387">
        <f t="shared" si="12"/>
        <v>3458240.4099999997</v>
      </c>
      <c r="H160" s="10">
        <f>+'A) Base RI'!E160</f>
        <v>0</v>
      </c>
      <c r="I160" s="10">
        <f>+'A) Base RI'!F160</f>
        <v>0</v>
      </c>
      <c r="J160" s="10">
        <f>+'A) Base RI'!G160+'A) Base RI'!H160+'A) Base RI'!S160</f>
        <v>20971.800000000003</v>
      </c>
      <c r="K160" s="10">
        <f>+'A) Base RI'!I160</f>
        <v>186157.8</v>
      </c>
      <c r="L160" s="10">
        <f>+'A) Base RI'!J160</f>
        <v>25311.98</v>
      </c>
      <c r="M160" s="10">
        <f>+'A) Base RI'!K160</f>
        <v>3597.5</v>
      </c>
      <c r="N160" s="10">
        <f>+'A) Base RI'!Q160</f>
        <v>0</v>
      </c>
      <c r="O160" s="10">
        <f t="shared" si="13"/>
        <v>265431.5</v>
      </c>
      <c r="P160" s="10">
        <f>+'A) Base RI'!L160</f>
        <v>212345.2</v>
      </c>
      <c r="Q160" s="395">
        <f>'A) Base RI'!Z160</f>
        <v>0.8</v>
      </c>
      <c r="R160" s="387">
        <f t="shared" si="14"/>
        <v>3959710.9899999993</v>
      </c>
      <c r="S160" s="428">
        <f>+'A) Base RI'!U160</f>
        <v>58.5</v>
      </c>
      <c r="T160" s="387">
        <f t="shared" si="15"/>
        <v>3690681.9899999993</v>
      </c>
      <c r="U160" s="387">
        <f t="shared" si="16"/>
        <v>67687.367350427332</v>
      </c>
      <c r="V160" s="10">
        <f>+'A) Base RI'!O160</f>
        <v>0</v>
      </c>
      <c r="W160" s="10">
        <f>+'A) Base RI'!P160</f>
        <v>113478.7</v>
      </c>
      <c r="X160" s="10">
        <f>+'A) Base RI'!R160</f>
        <v>217114.15</v>
      </c>
      <c r="Y160" s="387">
        <f t="shared" si="17"/>
        <v>330592.84999999998</v>
      </c>
      <c r="Z160" s="10">
        <f>+'A) Base RI'!N160</f>
        <v>4440.8999999999996</v>
      </c>
      <c r="AA160" s="10">
        <f>'A) Base RI'!V160</f>
        <v>894</v>
      </c>
    </row>
    <row r="161" spans="1:27" x14ac:dyDescent="0.25">
      <c r="A161" s="8">
        <f>'A) Base RI'!A161</f>
        <v>5654</v>
      </c>
      <c r="B161" s="32" t="str">
        <f>'A) Base RI'!B161</f>
        <v>Vullierens</v>
      </c>
      <c r="C161" s="10">
        <f>'A) Base RI'!C161+'A) Base RI'!D161</f>
        <v>1415568.51</v>
      </c>
      <c r="D161" s="10">
        <f>'A) Base RI'!W161</f>
        <v>-2734.79</v>
      </c>
      <c r="E161" s="384">
        <f>'A) Base RI'!X161</f>
        <v>0</v>
      </c>
      <c r="F161" s="384">
        <f>'A) Base RI'!Y161</f>
        <v>-1524.66</v>
      </c>
      <c r="G161" s="387">
        <f t="shared" si="12"/>
        <v>1411309.06</v>
      </c>
      <c r="H161" s="10">
        <f>+'A) Base RI'!E161</f>
        <v>0</v>
      </c>
      <c r="I161" s="10">
        <f>+'A) Base RI'!F161</f>
        <v>0</v>
      </c>
      <c r="J161" s="10">
        <f>+'A) Base RI'!G161+'A) Base RI'!H161+'A) Base RI'!S161</f>
        <v>43739.570000000007</v>
      </c>
      <c r="K161" s="10">
        <f>+'A) Base RI'!I161</f>
        <v>0</v>
      </c>
      <c r="L161" s="10">
        <f>+'A) Base RI'!J161</f>
        <v>1589.15</v>
      </c>
      <c r="M161" s="10">
        <f>+'A) Base RI'!K161</f>
        <v>1581</v>
      </c>
      <c r="N161" s="10">
        <f>+'A) Base RI'!Q161</f>
        <v>0</v>
      </c>
      <c r="O161" s="10">
        <f t="shared" si="13"/>
        <v>112373.85</v>
      </c>
      <c r="P161" s="10">
        <f>+'A) Base RI'!L161</f>
        <v>112373.85</v>
      </c>
      <c r="Q161" s="395">
        <f>'A) Base RI'!Z161</f>
        <v>1</v>
      </c>
      <c r="R161" s="387">
        <f t="shared" si="14"/>
        <v>1570592.6300000001</v>
      </c>
      <c r="S161" s="428">
        <f>+'A) Base RI'!U161</f>
        <v>76</v>
      </c>
      <c r="T161" s="387">
        <f t="shared" si="15"/>
        <v>1456637.78</v>
      </c>
      <c r="U161" s="387">
        <f t="shared" si="16"/>
        <v>20665.692500000001</v>
      </c>
      <c r="V161" s="10">
        <f>+'A) Base RI'!O161</f>
        <v>3395.3</v>
      </c>
      <c r="W161" s="10">
        <f>+'A) Base RI'!P161</f>
        <v>85266.7</v>
      </c>
      <c r="X161" s="10">
        <f>+'A) Base RI'!R161</f>
        <v>80384.350000000006</v>
      </c>
      <c r="Y161" s="387">
        <f t="shared" si="17"/>
        <v>169046.35</v>
      </c>
      <c r="Z161" s="10">
        <f>+'A) Base RI'!N161</f>
        <v>6542.3</v>
      </c>
      <c r="AA161" s="10">
        <f>'A) Base RI'!V161</f>
        <v>560</v>
      </c>
    </row>
    <row r="162" spans="1:27" x14ac:dyDescent="0.25">
      <c r="A162" s="8">
        <f>'A) Base RI'!A162</f>
        <v>5655</v>
      </c>
      <c r="B162" s="32" t="str">
        <f>'A) Base RI'!B162</f>
        <v>Yens</v>
      </c>
      <c r="C162" s="10">
        <f>'A) Base RI'!C162+'A) Base RI'!D162</f>
        <v>4942284.08</v>
      </c>
      <c r="D162" s="10">
        <f>'A) Base RI'!W162</f>
        <v>-49474.57</v>
      </c>
      <c r="E162" s="384">
        <f>'A) Base RI'!X162</f>
        <v>0</v>
      </c>
      <c r="F162" s="384">
        <f>'A) Base RI'!Y162</f>
        <v>-11127.59</v>
      </c>
      <c r="G162" s="387">
        <f t="shared" si="12"/>
        <v>4881681.92</v>
      </c>
      <c r="H162" s="10">
        <f>+'A) Base RI'!E162</f>
        <v>0</v>
      </c>
      <c r="I162" s="10">
        <f>+'A) Base RI'!F162</f>
        <v>0</v>
      </c>
      <c r="J162" s="10">
        <f>+'A) Base RI'!G162+'A) Base RI'!H162+'A) Base RI'!S162</f>
        <v>-195702.63</v>
      </c>
      <c r="K162" s="10">
        <f>+'A) Base RI'!I162</f>
        <v>66010.45</v>
      </c>
      <c r="L162" s="10">
        <f>+'A) Base RI'!J162</f>
        <v>50940.13</v>
      </c>
      <c r="M162" s="10">
        <f>+'A) Base RI'!K162</f>
        <v>11547.1</v>
      </c>
      <c r="N162" s="10">
        <f>+'A) Base RI'!Q162</f>
        <v>7360.54</v>
      </c>
      <c r="O162" s="10">
        <f t="shared" si="13"/>
        <v>430184.7</v>
      </c>
      <c r="P162" s="10">
        <f>+'A) Base RI'!L162</f>
        <v>430184.7</v>
      </c>
      <c r="Q162" s="395">
        <f>'A) Base RI'!Z162</f>
        <v>1</v>
      </c>
      <c r="R162" s="387">
        <f t="shared" si="14"/>
        <v>5252022.21</v>
      </c>
      <c r="S162" s="428">
        <f>+'A) Base RI'!U162</f>
        <v>71.5</v>
      </c>
      <c r="T162" s="387">
        <f t="shared" si="15"/>
        <v>4810290.41</v>
      </c>
      <c r="U162" s="387">
        <f t="shared" si="16"/>
        <v>73454.856083916078</v>
      </c>
      <c r="V162" s="10">
        <f>+'A) Base RI'!O162</f>
        <v>12243.4</v>
      </c>
      <c r="W162" s="10">
        <f>+'A) Base RI'!P162</f>
        <v>104769.5</v>
      </c>
      <c r="X162" s="10">
        <f>+'A) Base RI'!R162</f>
        <v>-7759.1</v>
      </c>
      <c r="Y162" s="387">
        <f t="shared" si="17"/>
        <v>109253.79999999999</v>
      </c>
      <c r="Z162" s="10">
        <f>+'A) Base RI'!N162</f>
        <v>80041.2</v>
      </c>
      <c r="AA162" s="10">
        <f>'A) Base RI'!V162</f>
        <v>1499</v>
      </c>
    </row>
    <row r="163" spans="1:27" x14ac:dyDescent="0.25">
      <c r="A163" s="8">
        <f>'A) Base RI'!A163</f>
        <v>5661</v>
      </c>
      <c r="B163" s="32" t="str">
        <f>'A) Base RI'!B163</f>
        <v>Boulens</v>
      </c>
      <c r="C163" s="10">
        <f>'A) Base RI'!C163+'A) Base RI'!D163</f>
        <v>725393.01</v>
      </c>
      <c r="D163" s="10">
        <f>'A) Base RI'!W163</f>
        <v>-1386.94</v>
      </c>
      <c r="E163" s="384">
        <f>'A) Base RI'!X163</f>
        <v>0</v>
      </c>
      <c r="F163" s="384">
        <f>'A) Base RI'!Y163</f>
        <v>0</v>
      </c>
      <c r="G163" s="387">
        <f t="shared" si="12"/>
        <v>724006.07000000007</v>
      </c>
      <c r="H163" s="10">
        <f>+'A) Base RI'!E163</f>
        <v>0</v>
      </c>
      <c r="I163" s="10">
        <f>+'A) Base RI'!F163</f>
        <v>0</v>
      </c>
      <c r="J163" s="10">
        <f>+'A) Base RI'!G163+'A) Base RI'!H163+'A) Base RI'!S163</f>
        <v>6288.21</v>
      </c>
      <c r="K163" s="10">
        <f>+'A) Base RI'!I163</f>
        <v>0</v>
      </c>
      <c r="L163" s="10">
        <f>+'A) Base RI'!J163</f>
        <v>11126.13</v>
      </c>
      <c r="M163" s="10">
        <f>+'A) Base RI'!K163</f>
        <v>555</v>
      </c>
      <c r="N163" s="10">
        <f>+'A) Base RI'!Q163</f>
        <v>60.95</v>
      </c>
      <c r="O163" s="10">
        <f t="shared" si="13"/>
        <v>60664.75</v>
      </c>
      <c r="P163" s="10">
        <f>+'A) Base RI'!L163</f>
        <v>60664.75</v>
      </c>
      <c r="Q163" s="395">
        <f>'A) Base RI'!Z163</f>
        <v>1</v>
      </c>
      <c r="R163" s="387">
        <f t="shared" si="14"/>
        <v>802701.11</v>
      </c>
      <c r="S163" s="428">
        <f>+'A) Base RI'!U163</f>
        <v>71.5</v>
      </c>
      <c r="T163" s="387">
        <f t="shared" si="15"/>
        <v>741481.36</v>
      </c>
      <c r="U163" s="387">
        <f t="shared" si="16"/>
        <v>11226.588951048951</v>
      </c>
      <c r="V163" s="10">
        <f>+'A) Base RI'!O163</f>
        <v>0</v>
      </c>
      <c r="W163" s="10">
        <f>+'A) Base RI'!P163</f>
        <v>27582.5</v>
      </c>
      <c r="X163" s="10">
        <f>+'A) Base RI'!R163</f>
        <v>20575.5</v>
      </c>
      <c r="Y163" s="387">
        <f t="shared" si="17"/>
        <v>48158</v>
      </c>
      <c r="Z163" s="10">
        <f>+'A) Base RI'!N163</f>
        <v>18731.2</v>
      </c>
      <c r="AA163" s="10">
        <f>'A) Base RI'!V163</f>
        <v>371</v>
      </c>
    </row>
    <row r="164" spans="1:27" x14ac:dyDescent="0.25">
      <c r="A164" s="8">
        <f>'A) Base RI'!A164</f>
        <v>5663</v>
      </c>
      <c r="B164" s="32" t="str">
        <f>'A) Base RI'!B164</f>
        <v>Bussy-sur-Moudon</v>
      </c>
      <c r="C164" s="10">
        <f>'A) Base RI'!C164+'A) Base RI'!D164</f>
        <v>364167.67</v>
      </c>
      <c r="D164" s="10">
        <f>'A) Base RI'!W164</f>
        <v>-57.56</v>
      </c>
      <c r="E164" s="384">
        <f>'A) Base RI'!X164</f>
        <v>0</v>
      </c>
      <c r="F164" s="384">
        <f>'A) Base RI'!Y164</f>
        <v>0</v>
      </c>
      <c r="G164" s="387">
        <f t="shared" si="12"/>
        <v>364110.11</v>
      </c>
      <c r="H164" s="10">
        <f>+'A) Base RI'!E164</f>
        <v>0</v>
      </c>
      <c r="I164" s="10">
        <f>+'A) Base RI'!F164</f>
        <v>1350</v>
      </c>
      <c r="J164" s="10">
        <f>+'A) Base RI'!G164+'A) Base RI'!H164+'A) Base RI'!S164</f>
        <v>1574.8200000000002</v>
      </c>
      <c r="K164" s="10">
        <f>+'A) Base RI'!I164</f>
        <v>0</v>
      </c>
      <c r="L164" s="10">
        <f>+'A) Base RI'!J164</f>
        <v>13237.34</v>
      </c>
      <c r="M164" s="10">
        <f>+'A) Base RI'!K164</f>
        <v>325.2</v>
      </c>
      <c r="N164" s="10">
        <f>+'A) Base RI'!Q164</f>
        <v>0</v>
      </c>
      <c r="O164" s="10">
        <f t="shared" si="13"/>
        <v>32601.05</v>
      </c>
      <c r="P164" s="10">
        <f>+'A) Base RI'!L164</f>
        <v>32601.05</v>
      </c>
      <c r="Q164" s="395">
        <f>'A) Base RI'!Z164</f>
        <v>1</v>
      </c>
      <c r="R164" s="387">
        <f t="shared" si="14"/>
        <v>413198.52</v>
      </c>
      <c r="S164" s="428">
        <f>+'A) Base RI'!U164</f>
        <v>78.5</v>
      </c>
      <c r="T164" s="387">
        <f t="shared" si="15"/>
        <v>378922.27</v>
      </c>
      <c r="U164" s="387">
        <f t="shared" si="16"/>
        <v>5263.6754140127387</v>
      </c>
      <c r="V164" s="10">
        <f>+'A) Base RI'!O164</f>
        <v>0</v>
      </c>
      <c r="W164" s="10">
        <f>+'A) Base RI'!P164</f>
        <v>22816.2</v>
      </c>
      <c r="X164" s="10">
        <f>+'A) Base RI'!R164</f>
        <v>2408.15</v>
      </c>
      <c r="Y164" s="387">
        <f t="shared" si="17"/>
        <v>25224.350000000002</v>
      </c>
      <c r="Z164" s="10">
        <f>+'A) Base RI'!N164</f>
        <v>0</v>
      </c>
      <c r="AA164" s="10">
        <f>'A) Base RI'!V164</f>
        <v>236</v>
      </c>
    </row>
    <row r="165" spans="1:27" x14ac:dyDescent="0.25">
      <c r="A165" s="8">
        <f>'A) Base RI'!A165</f>
        <v>5665</v>
      </c>
      <c r="B165" s="32" t="str">
        <f>'A) Base RI'!B165</f>
        <v>Chavannes-sur-Moudon</v>
      </c>
      <c r="C165" s="10">
        <f>'A) Base RI'!C165+'A) Base RI'!D165</f>
        <v>307356.04000000004</v>
      </c>
      <c r="D165" s="10">
        <f>'A) Base RI'!W165</f>
        <v>-45.68</v>
      </c>
      <c r="E165" s="384">
        <f>'A) Base RI'!X165</f>
        <v>0</v>
      </c>
      <c r="F165" s="384">
        <f>'A) Base RI'!Y165</f>
        <v>0</v>
      </c>
      <c r="G165" s="387">
        <f t="shared" si="12"/>
        <v>307310.36000000004</v>
      </c>
      <c r="H165" s="10">
        <f>+'A) Base RI'!E165</f>
        <v>0</v>
      </c>
      <c r="I165" s="10">
        <f>+'A) Base RI'!F165</f>
        <v>0</v>
      </c>
      <c r="J165" s="10">
        <f>+'A) Base RI'!G165+'A) Base RI'!H165+'A) Base RI'!S165</f>
        <v>2576.0300000000002</v>
      </c>
      <c r="K165" s="10">
        <f>+'A) Base RI'!I165</f>
        <v>0</v>
      </c>
      <c r="L165" s="10">
        <f>+'A) Base RI'!J165</f>
        <v>5964.57</v>
      </c>
      <c r="M165" s="10">
        <f>+'A) Base RI'!K165</f>
        <v>4.5</v>
      </c>
      <c r="N165" s="10">
        <f>+'A) Base RI'!Q165</f>
        <v>0</v>
      </c>
      <c r="O165" s="10">
        <f t="shared" si="13"/>
        <v>28605.4</v>
      </c>
      <c r="P165" s="10">
        <f>+'A) Base RI'!L165</f>
        <v>28605.4</v>
      </c>
      <c r="Q165" s="395">
        <f>'A) Base RI'!Z165</f>
        <v>1</v>
      </c>
      <c r="R165" s="387">
        <f t="shared" si="14"/>
        <v>344460.8600000001</v>
      </c>
      <c r="S165" s="428">
        <f>+'A) Base RI'!U165</f>
        <v>70</v>
      </c>
      <c r="T165" s="387">
        <f t="shared" si="15"/>
        <v>315850.96000000008</v>
      </c>
      <c r="U165" s="387">
        <f t="shared" si="16"/>
        <v>4920.86942857143</v>
      </c>
      <c r="V165" s="10">
        <f>+'A) Base RI'!O165</f>
        <v>0</v>
      </c>
      <c r="W165" s="10">
        <f>+'A) Base RI'!P165</f>
        <v>7885.75</v>
      </c>
      <c r="X165" s="10">
        <f>+'A) Base RI'!R165</f>
        <v>2791.65</v>
      </c>
      <c r="Y165" s="387">
        <f t="shared" si="17"/>
        <v>10677.4</v>
      </c>
      <c r="Z165" s="10">
        <f>+'A) Base RI'!N165</f>
        <v>0</v>
      </c>
      <c r="AA165" s="10">
        <f>'A) Base RI'!V165</f>
        <v>222</v>
      </c>
    </row>
    <row r="166" spans="1:27" x14ac:dyDescent="0.25">
      <c r="A166" s="8">
        <f>'A) Base RI'!A166</f>
        <v>5669</v>
      </c>
      <c r="B166" s="32" t="str">
        <f>'A) Base RI'!B166</f>
        <v>Curtilles</v>
      </c>
      <c r="C166" s="10">
        <f>'A) Base RI'!C166+'A) Base RI'!D166</f>
        <v>625219.99</v>
      </c>
      <c r="D166" s="10">
        <f>'A) Base RI'!W166</f>
        <v>-10748.08</v>
      </c>
      <c r="E166" s="384">
        <f>'A) Base RI'!X166</f>
        <v>0</v>
      </c>
      <c r="F166" s="384">
        <f>'A) Base RI'!Y166</f>
        <v>0</v>
      </c>
      <c r="G166" s="387">
        <f t="shared" si="12"/>
        <v>614471.91</v>
      </c>
      <c r="H166" s="10">
        <f>+'A) Base RI'!E166</f>
        <v>0</v>
      </c>
      <c r="I166" s="10">
        <f>+'A) Base RI'!F166</f>
        <v>0</v>
      </c>
      <c r="J166" s="10">
        <f>+'A) Base RI'!G166+'A) Base RI'!H166+'A) Base RI'!S166</f>
        <v>18140.55</v>
      </c>
      <c r="K166" s="10">
        <f>+'A) Base RI'!I166</f>
        <v>0</v>
      </c>
      <c r="L166" s="10">
        <f>+'A) Base RI'!J166</f>
        <v>1884.79</v>
      </c>
      <c r="M166" s="10">
        <f>+'A) Base RI'!K166</f>
        <v>-1050.3</v>
      </c>
      <c r="N166" s="10">
        <f>+'A) Base RI'!Q166</f>
        <v>0</v>
      </c>
      <c r="O166" s="10">
        <f t="shared" si="13"/>
        <v>48254.6</v>
      </c>
      <c r="P166" s="10">
        <f>+'A) Base RI'!L166</f>
        <v>24127.3</v>
      </c>
      <c r="Q166" s="395">
        <f>'A) Base RI'!Z166</f>
        <v>0.5</v>
      </c>
      <c r="R166" s="387">
        <f t="shared" si="14"/>
        <v>681701.55</v>
      </c>
      <c r="S166" s="428">
        <f>+'A) Base RI'!U166</f>
        <v>73</v>
      </c>
      <c r="T166" s="387">
        <f t="shared" si="15"/>
        <v>634497.25000000012</v>
      </c>
      <c r="U166" s="387">
        <f t="shared" si="16"/>
        <v>9338.3773972602739</v>
      </c>
      <c r="V166" s="10">
        <f>+'A) Base RI'!O166</f>
        <v>40750</v>
      </c>
      <c r="W166" s="10">
        <f>+'A) Base RI'!P166</f>
        <v>33489.15</v>
      </c>
      <c r="X166" s="10">
        <f>+'A) Base RI'!R166</f>
        <v>15400</v>
      </c>
      <c r="Y166" s="387">
        <f t="shared" si="17"/>
        <v>89639.15</v>
      </c>
      <c r="Z166" s="10">
        <f>+'A) Base RI'!N166</f>
        <v>0</v>
      </c>
      <c r="AA166" s="10">
        <f>'A) Base RI'!V166</f>
        <v>296</v>
      </c>
    </row>
    <row r="167" spans="1:27" x14ac:dyDescent="0.25">
      <c r="A167" s="8">
        <f>'A) Base RI'!A167</f>
        <v>5671</v>
      </c>
      <c r="B167" s="32" t="str">
        <f>'A) Base RI'!B167</f>
        <v>Dompierre</v>
      </c>
      <c r="C167" s="10">
        <f>'A) Base RI'!C167+'A) Base RI'!D167</f>
        <v>451698.17</v>
      </c>
      <c r="D167" s="10">
        <f>'A) Base RI'!W167</f>
        <v>-660.07</v>
      </c>
      <c r="E167" s="384">
        <f>'A) Base RI'!X167</f>
        <v>0</v>
      </c>
      <c r="F167" s="384">
        <f>'A) Base RI'!Y167</f>
        <v>0</v>
      </c>
      <c r="G167" s="387">
        <f t="shared" si="12"/>
        <v>451038.1</v>
      </c>
      <c r="H167" s="10">
        <f>+'A) Base RI'!E167</f>
        <v>0</v>
      </c>
      <c r="I167" s="10">
        <f>+'A) Base RI'!F167</f>
        <v>1480</v>
      </c>
      <c r="J167" s="10">
        <f>+'A) Base RI'!G167+'A) Base RI'!H167+'A) Base RI'!S167</f>
        <v>12118.029999999999</v>
      </c>
      <c r="K167" s="10">
        <f>+'A) Base RI'!I167</f>
        <v>0</v>
      </c>
      <c r="L167" s="10">
        <f>+'A) Base RI'!J167</f>
        <v>3734.29</v>
      </c>
      <c r="M167" s="10">
        <f>+'A) Base RI'!K167</f>
        <v>223.5</v>
      </c>
      <c r="N167" s="10">
        <f>+'A) Base RI'!Q167</f>
        <v>358.55</v>
      </c>
      <c r="O167" s="10">
        <f t="shared" si="13"/>
        <v>35237.85</v>
      </c>
      <c r="P167" s="10">
        <f>+'A) Base RI'!L167</f>
        <v>35237.85</v>
      </c>
      <c r="Q167" s="395">
        <f>'A) Base RI'!Z167</f>
        <v>1</v>
      </c>
      <c r="R167" s="387">
        <f t="shared" si="14"/>
        <v>504190.31999999995</v>
      </c>
      <c r="S167" s="428">
        <f>+'A) Base RI'!U167</f>
        <v>78</v>
      </c>
      <c r="T167" s="387">
        <f t="shared" si="15"/>
        <v>467248.97</v>
      </c>
      <c r="U167" s="387">
        <f t="shared" si="16"/>
        <v>6463.9784615384606</v>
      </c>
      <c r="V167" s="10">
        <f>+'A) Base RI'!O167</f>
        <v>0</v>
      </c>
      <c r="W167" s="10">
        <f>+'A) Base RI'!P167</f>
        <v>55902.95</v>
      </c>
      <c r="X167" s="10">
        <f>+'A) Base RI'!R167</f>
        <v>47585.2</v>
      </c>
      <c r="Y167" s="387">
        <f t="shared" si="17"/>
        <v>103488.15</v>
      </c>
      <c r="Z167" s="10">
        <f>+'A) Base RI'!N167</f>
        <v>5497.4</v>
      </c>
      <c r="AA167" s="10">
        <f>'A) Base RI'!V167</f>
        <v>246</v>
      </c>
    </row>
    <row r="168" spans="1:27" x14ac:dyDescent="0.25">
      <c r="A168" s="8">
        <f>'A) Base RI'!A168</f>
        <v>5673</v>
      </c>
      <c r="B168" s="32" t="str">
        <f>'A) Base RI'!B168</f>
        <v>Hermenches</v>
      </c>
      <c r="C168" s="10">
        <f>'A) Base RI'!C168+'A) Base RI'!D168</f>
        <v>697564.02</v>
      </c>
      <c r="D168" s="10">
        <f>'A) Base RI'!W168</f>
        <v>-3692.67</v>
      </c>
      <c r="E168" s="384">
        <f>'A) Base RI'!X168</f>
        <v>0</v>
      </c>
      <c r="F168" s="384">
        <f>'A) Base RI'!Y168</f>
        <v>-51.6</v>
      </c>
      <c r="G168" s="387">
        <f t="shared" si="12"/>
        <v>693819.75</v>
      </c>
      <c r="H168" s="10">
        <f>+'A) Base RI'!E168</f>
        <v>0</v>
      </c>
      <c r="I168" s="10">
        <f>+'A) Base RI'!F168</f>
        <v>2200</v>
      </c>
      <c r="J168" s="10">
        <f>+'A) Base RI'!G168+'A) Base RI'!H168+'A) Base RI'!S168</f>
        <v>1849.7400000000002</v>
      </c>
      <c r="K168" s="10">
        <f>+'A) Base RI'!I168</f>
        <v>0</v>
      </c>
      <c r="L168" s="10">
        <f>+'A) Base RI'!J168</f>
        <v>5680.46</v>
      </c>
      <c r="M168" s="10">
        <f>+'A) Base RI'!K168</f>
        <v>408</v>
      </c>
      <c r="N168" s="10">
        <f>+'A) Base RI'!Q168</f>
        <v>0</v>
      </c>
      <c r="O168" s="10">
        <f t="shared" si="13"/>
        <v>47748.25</v>
      </c>
      <c r="P168" s="10">
        <f>+'A) Base RI'!L168</f>
        <v>28648.95</v>
      </c>
      <c r="Q168" s="395">
        <f>'A) Base RI'!Z168</f>
        <v>0.6</v>
      </c>
      <c r="R168" s="387">
        <f t="shared" si="14"/>
        <v>751706.2</v>
      </c>
      <c r="S168" s="428">
        <f>+'A) Base RI'!U168</f>
        <v>73.5</v>
      </c>
      <c r="T168" s="387">
        <f t="shared" si="15"/>
        <v>701349.95</v>
      </c>
      <c r="U168" s="387">
        <f t="shared" si="16"/>
        <v>10227.295238095237</v>
      </c>
      <c r="V168" s="10">
        <f>+'A) Base RI'!O168</f>
        <v>0</v>
      </c>
      <c r="W168" s="10">
        <f>+'A) Base RI'!P168</f>
        <v>3890.2</v>
      </c>
      <c r="X168" s="10">
        <f>+'A) Base RI'!R168</f>
        <v>0</v>
      </c>
      <c r="Y168" s="387">
        <f t="shared" si="17"/>
        <v>3890.2</v>
      </c>
      <c r="Z168" s="10">
        <f>+'A) Base RI'!N168</f>
        <v>11063.95</v>
      </c>
      <c r="AA168" s="10">
        <f>'A) Base RI'!V168</f>
        <v>371</v>
      </c>
    </row>
    <row r="169" spans="1:27" x14ac:dyDescent="0.25">
      <c r="A169" s="8">
        <f>'A) Base RI'!A169</f>
        <v>5674</v>
      </c>
      <c r="B169" s="32" t="str">
        <f>'A) Base RI'!B169</f>
        <v>Lovatens</v>
      </c>
      <c r="C169" s="10">
        <f>'A) Base RI'!C169+'A) Base RI'!D169</f>
        <v>290354.62</v>
      </c>
      <c r="D169" s="10">
        <f>'A) Base RI'!W169</f>
        <v>-516.04</v>
      </c>
      <c r="E169" s="384">
        <f>'A) Base RI'!X169</f>
        <v>408.9</v>
      </c>
      <c r="F169" s="384">
        <f>'A) Base RI'!Y169</f>
        <v>-76.5</v>
      </c>
      <c r="G169" s="387">
        <f t="shared" si="12"/>
        <v>290170.98000000004</v>
      </c>
      <c r="H169" s="10">
        <f>+'A) Base RI'!E169</f>
        <v>0</v>
      </c>
      <c r="I169" s="10">
        <f>+'A) Base RI'!F169</f>
        <v>0</v>
      </c>
      <c r="J169" s="10">
        <f>+'A) Base RI'!G169+'A) Base RI'!H169+'A) Base RI'!S169</f>
        <v>406.45000000000005</v>
      </c>
      <c r="K169" s="10">
        <f>+'A) Base RI'!I169</f>
        <v>0</v>
      </c>
      <c r="L169" s="10">
        <f>+'A) Base RI'!J169</f>
        <v>454.23</v>
      </c>
      <c r="M169" s="10">
        <f>+'A) Base RI'!K169</f>
        <v>64.099999999999994</v>
      </c>
      <c r="N169" s="10">
        <f>+'A) Base RI'!Q169</f>
        <v>0</v>
      </c>
      <c r="O169" s="10">
        <f t="shared" si="13"/>
        <v>25608.500000000004</v>
      </c>
      <c r="P169" s="10">
        <f>+'A) Base RI'!L169</f>
        <v>17925.95</v>
      </c>
      <c r="Q169" s="395">
        <f>'A) Base RI'!Z169</f>
        <v>0.7</v>
      </c>
      <c r="R169" s="387">
        <f t="shared" si="14"/>
        <v>316704.26</v>
      </c>
      <c r="S169" s="428">
        <f>+'A) Base RI'!U169</f>
        <v>75</v>
      </c>
      <c r="T169" s="387">
        <f t="shared" si="15"/>
        <v>291031.66000000003</v>
      </c>
      <c r="U169" s="387">
        <f t="shared" si="16"/>
        <v>4222.7234666666664</v>
      </c>
      <c r="V169" s="10">
        <f>+'A) Base RI'!O169</f>
        <v>4852.5</v>
      </c>
      <c r="W169" s="10">
        <f>+'A) Base RI'!P169</f>
        <v>16139.75</v>
      </c>
      <c r="X169" s="10">
        <f>+'A) Base RI'!R169</f>
        <v>17011.650000000001</v>
      </c>
      <c r="Y169" s="387">
        <f t="shared" si="17"/>
        <v>38003.9</v>
      </c>
      <c r="Z169" s="10">
        <f>+'A) Base RI'!N169</f>
        <v>0</v>
      </c>
      <c r="AA169" s="10">
        <f>'A) Base RI'!V169</f>
        <v>146</v>
      </c>
    </row>
    <row r="170" spans="1:27" x14ac:dyDescent="0.25">
      <c r="A170" s="8">
        <f>'A) Base RI'!A170</f>
        <v>5675</v>
      </c>
      <c r="B170" s="32" t="str">
        <f>'A) Base RI'!B170</f>
        <v>Lucens</v>
      </c>
      <c r="C170" s="10">
        <f>'A) Base RI'!C170+'A) Base RI'!D170</f>
        <v>5789895.9600000009</v>
      </c>
      <c r="D170" s="10">
        <f>'A) Base RI'!W170</f>
        <v>-220965.2</v>
      </c>
      <c r="E170" s="384">
        <f>'A) Base RI'!X170</f>
        <v>0</v>
      </c>
      <c r="F170" s="384">
        <f>'A) Base RI'!Y170</f>
        <v>-4006.24</v>
      </c>
      <c r="G170" s="387">
        <f t="shared" si="12"/>
        <v>5564924.5200000005</v>
      </c>
      <c r="H170" s="10">
        <f>+'A) Base RI'!E170</f>
        <v>0</v>
      </c>
      <c r="I170" s="10">
        <f>+'A) Base RI'!F170</f>
        <v>0</v>
      </c>
      <c r="J170" s="10">
        <f>+'A) Base RI'!G170+'A) Base RI'!H170+'A) Base RI'!S170</f>
        <v>454643.39</v>
      </c>
      <c r="K170" s="10">
        <f>+'A) Base RI'!I170</f>
        <v>0</v>
      </c>
      <c r="L170" s="10">
        <f>+'A) Base RI'!J170</f>
        <v>260799.76</v>
      </c>
      <c r="M170" s="10">
        <f>+'A) Base RI'!K170</f>
        <v>92100.55</v>
      </c>
      <c r="N170" s="10">
        <f>+'A) Base RI'!Q170</f>
        <v>83927.44</v>
      </c>
      <c r="O170" s="10">
        <f t="shared" si="13"/>
        <v>642618.63636363635</v>
      </c>
      <c r="P170" s="10">
        <f>+'A) Base RI'!L170</f>
        <v>706880.5</v>
      </c>
      <c r="Q170" s="395">
        <f>'A) Base RI'!Z170</f>
        <v>1.1000000000000001</v>
      </c>
      <c r="R170" s="387">
        <f t="shared" si="14"/>
        <v>7099014.2963636369</v>
      </c>
      <c r="S170" s="428">
        <f>+'A) Base RI'!U170</f>
        <v>67.5</v>
      </c>
      <c r="T170" s="387">
        <f t="shared" si="15"/>
        <v>6364295.1100000003</v>
      </c>
      <c r="U170" s="387">
        <f t="shared" si="16"/>
        <v>105170.58216835017</v>
      </c>
      <c r="V170" s="10">
        <f>+'A) Base RI'!O170</f>
        <v>88404.3</v>
      </c>
      <c r="W170" s="10">
        <f>+'A) Base RI'!P170</f>
        <v>613887.94999999995</v>
      </c>
      <c r="X170" s="10">
        <f>+'A) Base RI'!R170</f>
        <v>327262.84999999998</v>
      </c>
      <c r="Y170" s="387">
        <f t="shared" si="17"/>
        <v>1029555.1</v>
      </c>
      <c r="Z170" s="10">
        <f>+'A) Base RI'!N170</f>
        <v>41543.800000000003</v>
      </c>
      <c r="AA170" s="10">
        <f>'A) Base RI'!V170</f>
        <v>4373</v>
      </c>
    </row>
    <row r="171" spans="1:27" x14ac:dyDescent="0.25">
      <c r="A171" s="8">
        <f>'A) Base RI'!A171</f>
        <v>5678</v>
      </c>
      <c r="B171" s="32" t="str">
        <f>'A) Base RI'!B171</f>
        <v>Moudon</v>
      </c>
      <c r="C171" s="10">
        <f>'A) Base RI'!C171+'A) Base RI'!D171</f>
        <v>7450454.4199999999</v>
      </c>
      <c r="D171" s="10">
        <f>'A) Base RI'!W171</f>
        <v>-341427.49</v>
      </c>
      <c r="E171" s="384">
        <f>'A) Base RI'!X171</f>
        <v>0</v>
      </c>
      <c r="F171" s="384">
        <f>'A) Base RI'!Y171</f>
        <v>-4887.5200000000004</v>
      </c>
      <c r="G171" s="387">
        <f t="shared" si="12"/>
        <v>7104139.4100000001</v>
      </c>
      <c r="H171" s="10">
        <f>+'A) Base RI'!E171</f>
        <v>0</v>
      </c>
      <c r="I171" s="10">
        <f>+'A) Base RI'!F171</f>
        <v>34559.300000000003</v>
      </c>
      <c r="J171" s="10">
        <f>+'A) Base RI'!G171+'A) Base RI'!H171+'A) Base RI'!S171</f>
        <v>524233.19</v>
      </c>
      <c r="K171" s="10">
        <f>+'A) Base RI'!I171</f>
        <v>0</v>
      </c>
      <c r="L171" s="10">
        <f>+'A) Base RI'!J171</f>
        <v>427139.97</v>
      </c>
      <c r="M171" s="10">
        <f>+'A) Base RI'!K171</f>
        <v>82929.649999999994</v>
      </c>
      <c r="N171" s="10">
        <f>+'A) Base RI'!Q171</f>
        <v>43932.25</v>
      </c>
      <c r="O171" s="10">
        <f t="shared" si="13"/>
        <v>833738</v>
      </c>
      <c r="P171" s="10">
        <f>+'A) Base RI'!L171</f>
        <v>833738</v>
      </c>
      <c r="Q171" s="395">
        <f>'A) Base RI'!Z171</f>
        <v>1</v>
      </c>
      <c r="R171" s="387">
        <f t="shared" si="14"/>
        <v>9050671.7699999996</v>
      </c>
      <c r="S171" s="428">
        <f>+'A) Base RI'!U171</f>
        <v>72.5</v>
      </c>
      <c r="T171" s="387">
        <f t="shared" si="15"/>
        <v>8099444.8200000003</v>
      </c>
      <c r="U171" s="387">
        <f t="shared" si="16"/>
        <v>124836.852</v>
      </c>
      <c r="V171" s="10">
        <f>+'A) Base RI'!O171</f>
        <v>448635.9</v>
      </c>
      <c r="W171" s="10">
        <f>+'A) Base RI'!P171</f>
        <v>653881.19999999995</v>
      </c>
      <c r="X171" s="10">
        <f>+'A) Base RI'!R171</f>
        <v>641035.19999999995</v>
      </c>
      <c r="Y171" s="387">
        <f t="shared" si="17"/>
        <v>1743552.3</v>
      </c>
      <c r="Z171" s="10">
        <f>+'A) Base RI'!N171</f>
        <v>212026.15</v>
      </c>
      <c r="AA171" s="10">
        <f>'A) Base RI'!V171</f>
        <v>6120</v>
      </c>
    </row>
    <row r="172" spans="1:27" x14ac:dyDescent="0.25">
      <c r="A172" s="8">
        <f>'A) Base RI'!A172</f>
        <v>5680</v>
      </c>
      <c r="B172" s="32" t="str">
        <f>'A) Base RI'!B172</f>
        <v>Ogens</v>
      </c>
      <c r="C172" s="10">
        <f>'A) Base RI'!C172+'A) Base RI'!D172</f>
        <v>611259.66</v>
      </c>
      <c r="D172" s="10">
        <f>'A) Base RI'!W172</f>
        <v>-10045.25</v>
      </c>
      <c r="E172" s="384">
        <f>'A) Base RI'!X172</f>
        <v>0</v>
      </c>
      <c r="F172" s="384">
        <f>'A) Base RI'!Y172</f>
        <v>0</v>
      </c>
      <c r="G172" s="387">
        <f t="shared" si="12"/>
        <v>601214.41</v>
      </c>
      <c r="H172" s="10">
        <f>+'A) Base RI'!E172</f>
        <v>0</v>
      </c>
      <c r="I172" s="10">
        <f>+'A) Base RI'!F172</f>
        <v>0</v>
      </c>
      <c r="J172" s="10">
        <f>+'A) Base RI'!G172+'A) Base RI'!H172+'A) Base RI'!S172</f>
        <v>-133.09</v>
      </c>
      <c r="K172" s="10">
        <f>+'A) Base RI'!I172</f>
        <v>0</v>
      </c>
      <c r="L172" s="10">
        <f>+'A) Base RI'!J172</f>
        <v>10395.280000000001</v>
      </c>
      <c r="M172" s="10">
        <f>+'A) Base RI'!K172</f>
        <v>625</v>
      </c>
      <c r="N172" s="10">
        <f>+'A) Base RI'!Q172</f>
        <v>0.09</v>
      </c>
      <c r="O172" s="10">
        <f t="shared" si="13"/>
        <v>51018.366666666669</v>
      </c>
      <c r="P172" s="10">
        <f>+'A) Base RI'!L172</f>
        <v>76527.55</v>
      </c>
      <c r="Q172" s="395">
        <f>'A) Base RI'!Z172</f>
        <v>1.5</v>
      </c>
      <c r="R172" s="387">
        <f t="shared" si="14"/>
        <v>663120.05666666676</v>
      </c>
      <c r="S172" s="428">
        <f>+'A) Base RI'!U172</f>
        <v>78</v>
      </c>
      <c r="T172" s="387">
        <f t="shared" si="15"/>
        <v>611476.69000000006</v>
      </c>
      <c r="U172" s="387">
        <f t="shared" si="16"/>
        <v>8501.5391880341886</v>
      </c>
      <c r="V172" s="10">
        <f>+'A) Base RI'!O172</f>
        <v>12.2</v>
      </c>
      <c r="W172" s="10">
        <f>+'A) Base RI'!P172</f>
        <v>28101.1</v>
      </c>
      <c r="X172" s="10">
        <f>+'A) Base RI'!R172</f>
        <v>22073.85</v>
      </c>
      <c r="Y172" s="387">
        <f t="shared" si="17"/>
        <v>50187.149999999994</v>
      </c>
      <c r="Z172" s="10">
        <f>+'A) Base RI'!N172</f>
        <v>0</v>
      </c>
      <c r="AA172" s="10">
        <f>'A) Base RI'!V172</f>
        <v>321</v>
      </c>
    </row>
    <row r="173" spans="1:27" x14ac:dyDescent="0.25">
      <c r="A173" s="8">
        <f>'A) Base RI'!A173</f>
        <v>5683</v>
      </c>
      <c r="B173" s="32" t="str">
        <f>'A) Base RI'!B173</f>
        <v>Prévonloup</v>
      </c>
      <c r="C173" s="10">
        <f>'A) Base RI'!C173+'A) Base RI'!D173</f>
        <v>357942.02999999997</v>
      </c>
      <c r="D173" s="10">
        <f>'A) Base RI'!W173</f>
        <v>-1497.32</v>
      </c>
      <c r="E173" s="384">
        <f>'A) Base RI'!X173</f>
        <v>0</v>
      </c>
      <c r="F173" s="384">
        <f>'A) Base RI'!Y173</f>
        <v>0</v>
      </c>
      <c r="G173" s="387">
        <f t="shared" si="12"/>
        <v>356444.70999999996</v>
      </c>
      <c r="H173" s="10">
        <f>+'A) Base RI'!E173</f>
        <v>0</v>
      </c>
      <c r="I173" s="10">
        <f>+'A) Base RI'!F173</f>
        <v>0</v>
      </c>
      <c r="J173" s="10">
        <f>+'A) Base RI'!G173+'A) Base RI'!H173+'A) Base RI'!S173</f>
        <v>1884.8600000000001</v>
      </c>
      <c r="K173" s="10">
        <f>+'A) Base RI'!I173</f>
        <v>0</v>
      </c>
      <c r="L173" s="10">
        <f>+'A) Base RI'!J173</f>
        <v>862.08</v>
      </c>
      <c r="M173" s="10">
        <f>+'A) Base RI'!K173</f>
        <v>2220.5</v>
      </c>
      <c r="N173" s="10">
        <f>+'A) Base RI'!Q173</f>
        <v>0</v>
      </c>
      <c r="O173" s="10">
        <f t="shared" si="13"/>
        <v>29104.75</v>
      </c>
      <c r="P173" s="10">
        <f>+'A) Base RI'!L173</f>
        <v>29104.75</v>
      </c>
      <c r="Q173" s="395">
        <f>'A) Base RI'!Z173</f>
        <v>1</v>
      </c>
      <c r="R173" s="387">
        <f t="shared" si="14"/>
        <v>390516.89999999997</v>
      </c>
      <c r="S173" s="428">
        <f>+'A) Base RI'!U173</f>
        <v>72.5</v>
      </c>
      <c r="T173" s="387">
        <f t="shared" si="15"/>
        <v>359191.64999999997</v>
      </c>
      <c r="U173" s="387">
        <f t="shared" si="16"/>
        <v>5386.44</v>
      </c>
      <c r="V173" s="10">
        <f>+'A) Base RI'!O173</f>
        <v>243.3</v>
      </c>
      <c r="W173" s="10">
        <f>+'A) Base RI'!P173</f>
        <v>20577.75</v>
      </c>
      <c r="X173" s="10">
        <f>+'A) Base RI'!R173</f>
        <v>22067.05</v>
      </c>
      <c r="Y173" s="387">
        <f t="shared" si="17"/>
        <v>42888.1</v>
      </c>
      <c r="Z173" s="10">
        <f>+'A) Base RI'!N173</f>
        <v>0</v>
      </c>
      <c r="AA173" s="10">
        <f>'A) Base RI'!V173</f>
        <v>215</v>
      </c>
    </row>
    <row r="174" spans="1:27" x14ac:dyDescent="0.25">
      <c r="A174" s="8">
        <f>'A) Base RI'!A174</f>
        <v>5684</v>
      </c>
      <c r="B174" s="32" t="str">
        <f>'A) Base RI'!B174</f>
        <v>Rossenges</v>
      </c>
      <c r="C174" s="10">
        <f>'A) Base RI'!C174+'A) Base RI'!D174</f>
        <v>239901.21</v>
      </c>
      <c r="D174" s="10">
        <f>'A) Base RI'!W174</f>
        <v>-5290.27</v>
      </c>
      <c r="E174" s="384">
        <f>'A) Base RI'!X174</f>
        <v>0</v>
      </c>
      <c r="F174" s="384">
        <f>'A) Base RI'!Y174</f>
        <v>-20.29</v>
      </c>
      <c r="G174" s="387">
        <f t="shared" si="12"/>
        <v>234590.65</v>
      </c>
      <c r="H174" s="10">
        <f>+'A) Base RI'!E174</f>
        <v>0</v>
      </c>
      <c r="I174" s="10">
        <f>+'A) Base RI'!F174</f>
        <v>0</v>
      </c>
      <c r="J174" s="10">
        <f>+'A) Base RI'!G174+'A) Base RI'!H174+'A) Base RI'!S174</f>
        <v>1226.48</v>
      </c>
      <c r="K174" s="10">
        <f>+'A) Base RI'!I174</f>
        <v>0</v>
      </c>
      <c r="L174" s="10">
        <f>+'A) Base RI'!J174</f>
        <v>116.62</v>
      </c>
      <c r="M174" s="10">
        <f>+'A) Base RI'!K174</f>
        <v>0</v>
      </c>
      <c r="N174" s="10">
        <f>+'A) Base RI'!Q174</f>
        <v>0</v>
      </c>
      <c r="O174" s="10">
        <f t="shared" si="13"/>
        <v>8077.3749999999991</v>
      </c>
      <c r="P174" s="10">
        <f>+'A) Base RI'!L174</f>
        <v>6461.9</v>
      </c>
      <c r="Q174" s="395">
        <f>'A) Base RI'!Z174</f>
        <v>0.8</v>
      </c>
      <c r="R174" s="387">
        <f t="shared" si="14"/>
        <v>244011.125</v>
      </c>
      <c r="S174" s="428">
        <f>+'A) Base RI'!U174</f>
        <v>75</v>
      </c>
      <c r="T174" s="387">
        <f t="shared" si="15"/>
        <v>235933.75</v>
      </c>
      <c r="U174" s="387">
        <f t="shared" si="16"/>
        <v>3253.4816666666666</v>
      </c>
      <c r="V174" s="10">
        <f>+'A) Base RI'!O174</f>
        <v>0</v>
      </c>
      <c r="W174" s="10">
        <f>+'A) Base RI'!P174</f>
        <v>0</v>
      </c>
      <c r="X174" s="10">
        <f>+'A) Base RI'!R174</f>
        <v>0</v>
      </c>
      <c r="Y174" s="387">
        <f t="shared" si="17"/>
        <v>0</v>
      </c>
      <c r="Z174" s="10">
        <f>+'A) Base RI'!N174</f>
        <v>0</v>
      </c>
      <c r="AA174" s="10">
        <f>'A) Base RI'!V174</f>
        <v>93</v>
      </c>
    </row>
    <row r="175" spans="1:27" x14ac:dyDescent="0.25">
      <c r="A175" s="8">
        <f>'A) Base RI'!A175</f>
        <v>5688</v>
      </c>
      <c r="B175" s="32" t="str">
        <f>'A) Base RI'!B175</f>
        <v>Syens</v>
      </c>
      <c r="C175" s="10">
        <f>'A) Base RI'!C175+'A) Base RI'!D175</f>
        <v>411046.19999999995</v>
      </c>
      <c r="D175" s="10">
        <f>'A) Base RI'!W175</f>
        <v>-13908.64</v>
      </c>
      <c r="E175" s="384">
        <f>'A) Base RI'!X175</f>
        <v>0</v>
      </c>
      <c r="F175" s="384">
        <f>'A) Base RI'!Y175</f>
        <v>0</v>
      </c>
      <c r="G175" s="387">
        <f t="shared" si="12"/>
        <v>397137.55999999994</v>
      </c>
      <c r="H175" s="10">
        <f>+'A) Base RI'!E175</f>
        <v>0</v>
      </c>
      <c r="I175" s="10">
        <f>+'A) Base RI'!F175</f>
        <v>0</v>
      </c>
      <c r="J175" s="10">
        <f>+'A) Base RI'!G175+'A) Base RI'!H175+'A) Base RI'!S175</f>
        <v>-24114.199999999997</v>
      </c>
      <c r="K175" s="10">
        <f>+'A) Base RI'!I175</f>
        <v>0</v>
      </c>
      <c r="L175" s="10">
        <f>+'A) Base RI'!J175</f>
        <v>2193.36</v>
      </c>
      <c r="M175" s="10">
        <f>+'A) Base RI'!K175</f>
        <v>105</v>
      </c>
      <c r="N175" s="10">
        <f>+'A) Base RI'!Q175</f>
        <v>26.03</v>
      </c>
      <c r="O175" s="10">
        <f t="shared" si="13"/>
        <v>24705</v>
      </c>
      <c r="P175" s="10">
        <f>+'A) Base RI'!L175</f>
        <v>24705</v>
      </c>
      <c r="Q175" s="395">
        <f>'A) Base RI'!Z175</f>
        <v>1</v>
      </c>
      <c r="R175" s="387">
        <f t="shared" si="14"/>
        <v>400052.74999999994</v>
      </c>
      <c r="S175" s="428">
        <f>+'A) Base RI'!U175</f>
        <v>65</v>
      </c>
      <c r="T175" s="387">
        <f t="shared" si="15"/>
        <v>375242.74999999994</v>
      </c>
      <c r="U175" s="387">
        <f t="shared" si="16"/>
        <v>6154.6576923076918</v>
      </c>
      <c r="V175" s="10">
        <f>+'A) Base RI'!O175</f>
        <v>0</v>
      </c>
      <c r="W175" s="10">
        <f>+'A) Base RI'!P175</f>
        <v>8170.65</v>
      </c>
      <c r="X175" s="10">
        <f>+'A) Base RI'!R175</f>
        <v>17809.55</v>
      </c>
      <c r="Y175" s="387">
        <f t="shared" si="17"/>
        <v>25980.199999999997</v>
      </c>
      <c r="Z175" s="10">
        <f>+'A) Base RI'!N175</f>
        <v>0</v>
      </c>
      <c r="AA175" s="10">
        <f>'A) Base RI'!V175</f>
        <v>161</v>
      </c>
    </row>
    <row r="176" spans="1:27" x14ac:dyDescent="0.25">
      <c r="A176" s="8">
        <f>'A) Base RI'!A176</f>
        <v>5690</v>
      </c>
      <c r="B176" s="32" t="str">
        <f>'A) Base RI'!B176</f>
        <v>Villars-le-Comte</v>
      </c>
      <c r="C176" s="10">
        <f>'A) Base RI'!C176+'A) Base RI'!D176</f>
        <v>224587.97999999998</v>
      </c>
      <c r="D176" s="10">
        <f>'A) Base RI'!W176</f>
        <v>-2328.0500000000002</v>
      </c>
      <c r="E176" s="384">
        <f>'A) Base RI'!X176</f>
        <v>0</v>
      </c>
      <c r="F176" s="384">
        <f>'A) Base RI'!Y176</f>
        <v>0</v>
      </c>
      <c r="G176" s="387">
        <f t="shared" si="12"/>
        <v>222259.93</v>
      </c>
      <c r="H176" s="10">
        <f>+'A) Base RI'!E176</f>
        <v>0</v>
      </c>
      <c r="I176" s="10">
        <f>+'A) Base RI'!F176</f>
        <v>730</v>
      </c>
      <c r="J176" s="10">
        <f>+'A) Base RI'!G176+'A) Base RI'!H176+'A) Base RI'!S176</f>
        <v>1554.5600000000002</v>
      </c>
      <c r="K176" s="10">
        <f>+'A) Base RI'!I176</f>
        <v>0</v>
      </c>
      <c r="L176" s="10">
        <f>+'A) Base RI'!J176</f>
        <v>0</v>
      </c>
      <c r="M176" s="10">
        <f>+'A) Base RI'!K176</f>
        <v>184.1</v>
      </c>
      <c r="N176" s="10">
        <f>+'A) Base RI'!Q176</f>
        <v>0</v>
      </c>
      <c r="O176" s="10">
        <f t="shared" si="13"/>
        <v>20973.916666666668</v>
      </c>
      <c r="P176" s="10">
        <f>+'A) Base RI'!L176</f>
        <v>25168.7</v>
      </c>
      <c r="Q176" s="395">
        <f>'A) Base RI'!Z176</f>
        <v>1.2</v>
      </c>
      <c r="R176" s="387">
        <f t="shared" si="14"/>
        <v>245702.50666666665</v>
      </c>
      <c r="S176" s="428">
        <f>+'A) Base RI'!U176</f>
        <v>70</v>
      </c>
      <c r="T176" s="387">
        <f t="shared" si="15"/>
        <v>223814.49</v>
      </c>
      <c r="U176" s="387">
        <f t="shared" si="16"/>
        <v>3510.0358095238093</v>
      </c>
      <c r="V176" s="10">
        <f>+'A) Base RI'!O176</f>
        <v>17912.2</v>
      </c>
      <c r="W176" s="10">
        <f>+'A) Base RI'!P176</f>
        <v>996.55</v>
      </c>
      <c r="X176" s="10">
        <f>+'A) Base RI'!R176</f>
        <v>505.75</v>
      </c>
      <c r="Y176" s="387">
        <f t="shared" si="17"/>
        <v>19414.5</v>
      </c>
      <c r="Z176" s="10">
        <f>+'A) Base RI'!N176</f>
        <v>0</v>
      </c>
      <c r="AA176" s="10">
        <f>'A) Base RI'!V176</f>
        <v>133</v>
      </c>
    </row>
    <row r="177" spans="1:27" x14ac:dyDescent="0.25">
      <c r="A177" s="8">
        <f>'A) Base RI'!A177</f>
        <v>5692</v>
      </c>
      <c r="B177" s="32" t="str">
        <f>'A) Base RI'!B177</f>
        <v>Vucherens</v>
      </c>
      <c r="C177" s="10">
        <f>'A) Base RI'!C177+'A) Base RI'!D177</f>
        <v>1348315.74</v>
      </c>
      <c r="D177" s="10">
        <f>'A) Base RI'!W177</f>
        <v>-33446.31</v>
      </c>
      <c r="E177" s="384">
        <f>'A) Base RI'!X177</f>
        <v>0</v>
      </c>
      <c r="F177" s="384">
        <f>'A) Base RI'!Y177</f>
        <v>0</v>
      </c>
      <c r="G177" s="387">
        <f t="shared" si="12"/>
        <v>1314869.43</v>
      </c>
      <c r="H177" s="10">
        <f>+'A) Base RI'!E177</f>
        <v>0</v>
      </c>
      <c r="I177" s="10">
        <f>+'A) Base RI'!F177</f>
        <v>0</v>
      </c>
      <c r="J177" s="10">
        <f>+'A) Base RI'!G177+'A) Base RI'!H177+'A) Base RI'!S177</f>
        <v>15215.899999999998</v>
      </c>
      <c r="K177" s="10">
        <f>+'A) Base RI'!I177</f>
        <v>0</v>
      </c>
      <c r="L177" s="10">
        <f>+'A) Base RI'!J177</f>
        <v>14293.11</v>
      </c>
      <c r="M177" s="10">
        <f>+'A) Base RI'!K177</f>
        <v>2474.4499999999998</v>
      </c>
      <c r="N177" s="10">
        <f>+'A) Base RI'!Q177</f>
        <v>1087.77</v>
      </c>
      <c r="O177" s="10">
        <f t="shared" si="13"/>
        <v>99134.9</v>
      </c>
      <c r="P177" s="10">
        <f>+'A) Base RI'!L177</f>
        <v>99134.9</v>
      </c>
      <c r="Q177" s="395">
        <f>'A) Base RI'!Z177</f>
        <v>1</v>
      </c>
      <c r="R177" s="387">
        <f t="shared" si="14"/>
        <v>1447075.5599999998</v>
      </c>
      <c r="S177" s="428">
        <f>+'A) Base RI'!U177</f>
        <v>77</v>
      </c>
      <c r="T177" s="387">
        <f t="shared" si="15"/>
        <v>1345466.21</v>
      </c>
      <c r="U177" s="387">
        <f t="shared" si="16"/>
        <v>18793.189090909087</v>
      </c>
      <c r="V177" s="10">
        <f>+'A) Base RI'!O177</f>
        <v>0</v>
      </c>
      <c r="W177" s="10">
        <f>+'A) Base RI'!P177</f>
        <v>99618</v>
      </c>
      <c r="X177" s="10">
        <f>+'A) Base RI'!R177</f>
        <v>94542.7</v>
      </c>
      <c r="Y177" s="387">
        <f t="shared" si="17"/>
        <v>194160.7</v>
      </c>
      <c r="Z177" s="10">
        <f>+'A) Base RI'!N177</f>
        <v>10724.2</v>
      </c>
      <c r="AA177" s="10">
        <f>'A) Base RI'!V177</f>
        <v>623</v>
      </c>
    </row>
    <row r="178" spans="1:27" x14ac:dyDescent="0.25">
      <c r="A178" s="8">
        <f>'A) Base RI'!A178</f>
        <v>5693</v>
      </c>
      <c r="B178" s="32" t="str">
        <f>'A) Base RI'!B178</f>
        <v>Montanaire</v>
      </c>
      <c r="C178" s="10">
        <f>'A) Base RI'!C178+'A) Base RI'!D178</f>
        <v>4725075.3999999994</v>
      </c>
      <c r="D178" s="10">
        <f>'A) Base RI'!W178</f>
        <v>-93836.39</v>
      </c>
      <c r="E178" s="384">
        <f>'A) Base RI'!X178</f>
        <v>0</v>
      </c>
      <c r="F178" s="384">
        <f>'A) Base RI'!Y178</f>
        <v>-261.51</v>
      </c>
      <c r="G178" s="387">
        <f t="shared" si="12"/>
        <v>4630977.5</v>
      </c>
      <c r="H178" s="10">
        <f>+'A) Base RI'!E178</f>
        <v>0</v>
      </c>
      <c r="I178" s="10">
        <f>+'A) Base RI'!F178</f>
        <v>0</v>
      </c>
      <c r="J178" s="10">
        <f>+'A) Base RI'!G178+'A) Base RI'!H178+'A) Base RI'!S178</f>
        <v>132523.44999999998</v>
      </c>
      <c r="K178" s="10">
        <f>+'A) Base RI'!I178</f>
        <v>0</v>
      </c>
      <c r="L178" s="10">
        <f>+'A) Base RI'!J178</f>
        <v>70814.34</v>
      </c>
      <c r="M178" s="10">
        <f>+'A) Base RI'!K178</f>
        <v>9962</v>
      </c>
      <c r="N178" s="10">
        <f>+'A) Base RI'!Q178</f>
        <v>25511.61</v>
      </c>
      <c r="O178" s="10">
        <f t="shared" si="13"/>
        <v>428714.75</v>
      </c>
      <c r="P178" s="10">
        <f>+'A) Base RI'!L178</f>
        <v>428714.75</v>
      </c>
      <c r="Q178" s="395">
        <f>'A) Base RI'!Z178</f>
        <v>1</v>
      </c>
      <c r="R178" s="387">
        <f t="shared" si="14"/>
        <v>5298503.6500000004</v>
      </c>
      <c r="S178" s="428">
        <f>+'A) Base RI'!U178</f>
        <v>70</v>
      </c>
      <c r="T178" s="387">
        <f t="shared" si="15"/>
        <v>4859826.9000000004</v>
      </c>
      <c r="U178" s="387">
        <f t="shared" si="16"/>
        <v>75692.909285714297</v>
      </c>
      <c r="V178" s="10">
        <f>+'A) Base RI'!O178</f>
        <v>162899.4</v>
      </c>
      <c r="W178" s="10">
        <f>+'A) Base RI'!P178</f>
        <v>178469.45</v>
      </c>
      <c r="X178" s="10">
        <f>+'A) Base RI'!R178</f>
        <v>143986.65</v>
      </c>
      <c r="Y178" s="387">
        <f t="shared" si="17"/>
        <v>485355.5</v>
      </c>
      <c r="Z178" s="10">
        <f>+'A) Base RI'!N178</f>
        <v>63509.05</v>
      </c>
      <c r="AA178" s="10">
        <f>'A) Base RI'!V178</f>
        <v>2768</v>
      </c>
    </row>
    <row r="179" spans="1:27" x14ac:dyDescent="0.25">
      <c r="A179" s="8">
        <f>'A) Base RI'!A179</f>
        <v>5701</v>
      </c>
      <c r="B179" s="32" t="str">
        <f>'A) Base RI'!B179</f>
        <v>Arnex-sur-Nyon</v>
      </c>
      <c r="C179" s="10">
        <f>'A) Base RI'!C179+'A) Base RI'!D179</f>
        <v>853200.27</v>
      </c>
      <c r="D179" s="10">
        <f>'A) Base RI'!W179</f>
        <v>-1274.97</v>
      </c>
      <c r="E179" s="384">
        <f>'A) Base RI'!X179</f>
        <v>0</v>
      </c>
      <c r="F179" s="384">
        <f>'A) Base RI'!Y179</f>
        <v>-581.19000000000005</v>
      </c>
      <c r="G179" s="387">
        <f t="shared" si="12"/>
        <v>851344.1100000001</v>
      </c>
      <c r="H179" s="10">
        <f>+'A) Base RI'!E179</f>
        <v>0</v>
      </c>
      <c r="I179" s="10">
        <f>+'A) Base RI'!F179</f>
        <v>0</v>
      </c>
      <c r="J179" s="10">
        <f>+'A) Base RI'!G179+'A) Base RI'!H179+'A) Base RI'!S179</f>
        <v>1875.9</v>
      </c>
      <c r="K179" s="10">
        <f>+'A) Base RI'!I179</f>
        <v>65333.35</v>
      </c>
      <c r="L179" s="10">
        <f>+'A) Base RI'!J179</f>
        <v>21681.83</v>
      </c>
      <c r="M179" s="10">
        <f>+'A) Base RI'!K179</f>
        <v>508.25</v>
      </c>
      <c r="N179" s="10">
        <f>+'A) Base RI'!Q179</f>
        <v>0</v>
      </c>
      <c r="O179" s="10">
        <f t="shared" si="13"/>
        <v>73466.600000000006</v>
      </c>
      <c r="P179" s="10">
        <f>+'A) Base RI'!L179</f>
        <v>73466.600000000006</v>
      </c>
      <c r="Q179" s="395">
        <f>'A) Base RI'!Z179</f>
        <v>1</v>
      </c>
      <c r="R179" s="387">
        <f t="shared" si="14"/>
        <v>1014210.04</v>
      </c>
      <c r="S179" s="428">
        <f>+'A) Base RI'!U179</f>
        <v>70</v>
      </c>
      <c r="T179" s="387">
        <f t="shared" si="15"/>
        <v>940235.19000000006</v>
      </c>
      <c r="U179" s="387">
        <f t="shared" si="16"/>
        <v>14488.714857142857</v>
      </c>
      <c r="V179" s="10">
        <f>+'A) Base RI'!O179</f>
        <v>78125</v>
      </c>
      <c r="W179" s="10">
        <f>+'A) Base RI'!P179</f>
        <v>15950</v>
      </c>
      <c r="X179" s="10">
        <f>+'A) Base RI'!R179</f>
        <v>68557</v>
      </c>
      <c r="Y179" s="387">
        <f t="shared" si="17"/>
        <v>162632</v>
      </c>
      <c r="Z179" s="10">
        <f>+'A) Base RI'!N179</f>
        <v>1264.6500000000001</v>
      </c>
      <c r="AA179" s="10">
        <f>'A) Base RI'!V179</f>
        <v>226</v>
      </c>
    </row>
    <row r="180" spans="1:27" x14ac:dyDescent="0.25">
      <c r="A180" s="8">
        <f>'A) Base RI'!A180</f>
        <v>5702</v>
      </c>
      <c r="B180" s="32" t="str">
        <f>'A) Base RI'!B180</f>
        <v>Arzier-Le Muids</v>
      </c>
      <c r="C180" s="10">
        <f>'A) Base RI'!C180+'A) Base RI'!D180</f>
        <v>9648524.6400000006</v>
      </c>
      <c r="D180" s="10">
        <f>'A) Base RI'!W180</f>
        <v>-186322.45</v>
      </c>
      <c r="E180" s="384">
        <f>'A) Base RI'!X180</f>
        <v>0</v>
      </c>
      <c r="F180" s="384">
        <f>'A) Base RI'!Y180</f>
        <v>-23057.17</v>
      </c>
      <c r="G180" s="387">
        <f t="shared" si="12"/>
        <v>9439145.0200000014</v>
      </c>
      <c r="H180" s="10">
        <f>+'A) Base RI'!E180</f>
        <v>0</v>
      </c>
      <c r="I180" s="10">
        <f>+'A) Base RI'!F180</f>
        <v>0</v>
      </c>
      <c r="J180" s="10">
        <f>+'A) Base RI'!G180+'A) Base RI'!H180+'A) Base RI'!S180</f>
        <v>157192.22</v>
      </c>
      <c r="K180" s="10">
        <f>+'A) Base RI'!I180</f>
        <v>414594.65</v>
      </c>
      <c r="L180" s="10">
        <f>+'A) Base RI'!J180</f>
        <v>186766.5</v>
      </c>
      <c r="M180" s="10">
        <f>+'A) Base RI'!K180</f>
        <v>1851.65</v>
      </c>
      <c r="N180" s="10">
        <f>+'A) Base RI'!Q180</f>
        <v>149621.63</v>
      </c>
      <c r="O180" s="10">
        <f t="shared" si="13"/>
        <v>842057.93333333323</v>
      </c>
      <c r="P180" s="10">
        <f>+'A) Base RI'!L180</f>
        <v>1263086.8999999999</v>
      </c>
      <c r="Q180" s="395">
        <f>'A) Base RI'!Z180</f>
        <v>1.5</v>
      </c>
      <c r="R180" s="387">
        <f t="shared" si="14"/>
        <v>11191229.603333337</v>
      </c>
      <c r="S180" s="428">
        <f>+'A) Base RI'!U180</f>
        <v>64</v>
      </c>
      <c r="T180" s="387">
        <f t="shared" si="15"/>
        <v>10347320.020000003</v>
      </c>
      <c r="U180" s="387">
        <f t="shared" si="16"/>
        <v>174862.96255208339</v>
      </c>
      <c r="V180" s="10">
        <f>+'A) Base RI'!O180</f>
        <v>111916.4</v>
      </c>
      <c r="W180" s="10">
        <f>+'A) Base RI'!P180</f>
        <v>811611.15</v>
      </c>
      <c r="X180" s="10">
        <f>+'A) Base RI'!R180</f>
        <v>543079.1</v>
      </c>
      <c r="Y180" s="387">
        <f t="shared" si="17"/>
        <v>1466606.65</v>
      </c>
      <c r="Z180" s="10">
        <f>+'A) Base RI'!N180</f>
        <v>76946.45</v>
      </c>
      <c r="AA180" s="10">
        <f>'A) Base RI'!V180</f>
        <v>2947</v>
      </c>
    </row>
    <row r="181" spans="1:27" x14ac:dyDescent="0.25">
      <c r="A181" s="8">
        <f>'A) Base RI'!A181</f>
        <v>5703</v>
      </c>
      <c r="B181" s="32" t="str">
        <f>'A) Base RI'!B181</f>
        <v>Bassins</v>
      </c>
      <c r="C181" s="10">
        <f>'A) Base RI'!C181+'A) Base RI'!D181</f>
        <v>4466594.5</v>
      </c>
      <c r="D181" s="10">
        <f>'A) Base RI'!W181</f>
        <v>-33422.980000000003</v>
      </c>
      <c r="E181" s="384">
        <f>'A) Base RI'!X181</f>
        <v>0</v>
      </c>
      <c r="F181" s="384">
        <f>'A) Base RI'!Y181</f>
        <v>-2500.88</v>
      </c>
      <c r="G181" s="387">
        <f t="shared" si="12"/>
        <v>4430670.6399999997</v>
      </c>
      <c r="H181" s="10">
        <f>+'A) Base RI'!E181</f>
        <v>0</v>
      </c>
      <c r="I181" s="10">
        <f>+'A) Base RI'!F181</f>
        <v>0</v>
      </c>
      <c r="J181" s="10">
        <f>+'A) Base RI'!G181+'A) Base RI'!H181+'A) Base RI'!S181</f>
        <v>34579.200000000004</v>
      </c>
      <c r="K181" s="10">
        <f>+'A) Base RI'!I181</f>
        <v>0</v>
      </c>
      <c r="L181" s="10">
        <f>+'A) Base RI'!J181</f>
        <v>31253.81</v>
      </c>
      <c r="M181" s="10">
        <f>+'A) Base RI'!K181</f>
        <v>927.75</v>
      </c>
      <c r="N181" s="10">
        <f>+'A) Base RI'!Q181</f>
        <v>6774.96</v>
      </c>
      <c r="O181" s="10">
        <f t="shared" si="13"/>
        <v>338811.60714285716</v>
      </c>
      <c r="P181" s="10">
        <f>+'A) Base RI'!L181</f>
        <v>474336.25</v>
      </c>
      <c r="Q181" s="395">
        <f>'A) Base RI'!Z181</f>
        <v>1.4</v>
      </c>
      <c r="R181" s="387">
        <f t="shared" si="14"/>
        <v>4843017.9671428567</v>
      </c>
      <c r="S181" s="428">
        <f>+'A) Base RI'!U181</f>
        <v>72.5</v>
      </c>
      <c r="T181" s="387">
        <f t="shared" si="15"/>
        <v>4503278.6099999994</v>
      </c>
      <c r="U181" s="387">
        <f t="shared" si="16"/>
        <v>66800.247822660094</v>
      </c>
      <c r="V181" s="10">
        <f>+'A) Base RI'!O181</f>
        <v>0</v>
      </c>
      <c r="W181" s="10">
        <f>+'A) Base RI'!P181</f>
        <v>298205.34999999998</v>
      </c>
      <c r="X181" s="10">
        <f>+'A) Base RI'!R181</f>
        <v>181551.1</v>
      </c>
      <c r="Y181" s="387">
        <f t="shared" si="17"/>
        <v>479756.44999999995</v>
      </c>
      <c r="Z181" s="10">
        <f>+'A) Base RI'!N181</f>
        <v>30033.35</v>
      </c>
      <c r="AA181" s="10">
        <f>'A) Base RI'!V181</f>
        <v>1487</v>
      </c>
    </row>
    <row r="182" spans="1:27" x14ac:dyDescent="0.25">
      <c r="A182" s="8">
        <f>'A) Base RI'!A182</f>
        <v>5704</v>
      </c>
      <c r="B182" s="32" t="str">
        <f>'A) Base RI'!B182</f>
        <v>Begnins</v>
      </c>
      <c r="C182" s="10">
        <f>'A) Base RI'!C182+'A) Base RI'!D182</f>
        <v>11725910.300000001</v>
      </c>
      <c r="D182" s="10">
        <f>'A) Base RI'!W182</f>
        <v>-55365.69</v>
      </c>
      <c r="E182" s="384">
        <f>'A) Base RI'!X182</f>
        <v>0</v>
      </c>
      <c r="F182" s="384">
        <f>'A) Base RI'!Y182</f>
        <v>-122321.3</v>
      </c>
      <c r="G182" s="387">
        <f t="shared" si="12"/>
        <v>11548223.310000001</v>
      </c>
      <c r="H182" s="10">
        <f>+'A) Base RI'!E182</f>
        <v>0</v>
      </c>
      <c r="I182" s="10">
        <f>+'A) Base RI'!F182</f>
        <v>0</v>
      </c>
      <c r="J182" s="10">
        <f>+'A) Base RI'!G182+'A) Base RI'!H182+'A) Base RI'!S182</f>
        <v>74556.06</v>
      </c>
      <c r="K182" s="10">
        <f>+'A) Base RI'!I182</f>
        <v>331610.95</v>
      </c>
      <c r="L182" s="10">
        <f>+'A) Base RI'!J182</f>
        <v>134617.20000000001</v>
      </c>
      <c r="M182" s="10">
        <f>+'A) Base RI'!K182</f>
        <v>15685.15</v>
      </c>
      <c r="N182" s="10">
        <f>+'A) Base RI'!Q182</f>
        <v>12522.13</v>
      </c>
      <c r="O182" s="10">
        <f t="shared" si="13"/>
        <v>529244.79999999993</v>
      </c>
      <c r="P182" s="10">
        <f>+'A) Base RI'!L182</f>
        <v>793867.2</v>
      </c>
      <c r="Q182" s="395">
        <f>'A) Base RI'!Z182</f>
        <v>1.5</v>
      </c>
      <c r="R182" s="387">
        <f t="shared" si="14"/>
        <v>12646459.600000001</v>
      </c>
      <c r="S182" s="428">
        <f>+'A) Base RI'!U182</f>
        <v>62.5</v>
      </c>
      <c r="T182" s="387">
        <f t="shared" si="15"/>
        <v>12101529.65</v>
      </c>
      <c r="U182" s="387">
        <f t="shared" si="16"/>
        <v>202343.35360000003</v>
      </c>
      <c r="V182" s="10">
        <f>+'A) Base RI'!O182</f>
        <v>119098.2</v>
      </c>
      <c r="W182" s="10">
        <f>+'A) Base RI'!P182</f>
        <v>311473.3</v>
      </c>
      <c r="X182" s="10">
        <f>+'A) Base RI'!R182</f>
        <v>194104</v>
      </c>
      <c r="Y182" s="387">
        <f t="shared" si="17"/>
        <v>624675.5</v>
      </c>
      <c r="Z182" s="10">
        <f>+'A) Base RI'!N182</f>
        <v>24992.05</v>
      </c>
      <c r="AA182" s="10">
        <f>'A) Base RI'!V182</f>
        <v>1941</v>
      </c>
    </row>
    <row r="183" spans="1:27" x14ac:dyDescent="0.25">
      <c r="A183" s="8">
        <f>'A) Base RI'!A183</f>
        <v>5705</v>
      </c>
      <c r="B183" s="32" t="str">
        <f>'A) Base RI'!B183</f>
        <v>Bogis-Bossey</v>
      </c>
      <c r="C183" s="10">
        <f>'A) Base RI'!C183+'A) Base RI'!D183</f>
        <v>3451768.12</v>
      </c>
      <c r="D183" s="10">
        <f>'A) Base RI'!W183</f>
        <v>-15256.03</v>
      </c>
      <c r="E183" s="384">
        <f>'A) Base RI'!X183</f>
        <v>0</v>
      </c>
      <c r="F183" s="384">
        <f>'A) Base RI'!Y183</f>
        <v>-6470.74</v>
      </c>
      <c r="G183" s="387">
        <f t="shared" si="12"/>
        <v>3430041.35</v>
      </c>
      <c r="H183" s="10">
        <f>+'A) Base RI'!E183</f>
        <v>0</v>
      </c>
      <c r="I183" s="10">
        <f>+'A) Base RI'!F183</f>
        <v>0</v>
      </c>
      <c r="J183" s="10">
        <f>+'A) Base RI'!G183+'A) Base RI'!H183+'A) Base RI'!S183</f>
        <v>67707.38</v>
      </c>
      <c r="K183" s="10">
        <f>+'A) Base RI'!I183</f>
        <v>106832.5</v>
      </c>
      <c r="L183" s="10">
        <f>+'A) Base RI'!J183</f>
        <v>21583.82</v>
      </c>
      <c r="M183" s="10">
        <f>+'A) Base RI'!K183</f>
        <v>11017.25</v>
      </c>
      <c r="N183" s="10">
        <f>+'A) Base RI'!Q183</f>
        <v>1831.91</v>
      </c>
      <c r="O183" s="10">
        <f t="shared" si="13"/>
        <v>231509.5</v>
      </c>
      <c r="P183" s="10">
        <f>+'A) Base RI'!L183</f>
        <v>231509.5</v>
      </c>
      <c r="Q183" s="395">
        <f>'A) Base RI'!Z183</f>
        <v>1</v>
      </c>
      <c r="R183" s="387">
        <f t="shared" si="14"/>
        <v>3870523.71</v>
      </c>
      <c r="S183" s="428">
        <f>+'A) Base RI'!U183</f>
        <v>74.5</v>
      </c>
      <c r="T183" s="387">
        <f t="shared" si="15"/>
        <v>3627996.96</v>
      </c>
      <c r="U183" s="387">
        <f t="shared" si="16"/>
        <v>51953.338389261742</v>
      </c>
      <c r="V183" s="10">
        <f>+'A) Base RI'!O183</f>
        <v>0</v>
      </c>
      <c r="W183" s="10">
        <f>+'A) Base RI'!P183</f>
        <v>332784.75</v>
      </c>
      <c r="X183" s="10">
        <f>+'A) Base RI'!R183</f>
        <v>211433.65</v>
      </c>
      <c r="Y183" s="387">
        <f t="shared" si="17"/>
        <v>544218.4</v>
      </c>
      <c r="Z183" s="10">
        <f>+'A) Base RI'!N183</f>
        <v>47048.800000000003</v>
      </c>
      <c r="AA183" s="10">
        <f>'A) Base RI'!V183</f>
        <v>888</v>
      </c>
    </row>
    <row r="184" spans="1:27" x14ac:dyDescent="0.25">
      <c r="A184" s="8">
        <f>'A) Base RI'!A184</f>
        <v>5706</v>
      </c>
      <c r="B184" s="32" t="str">
        <f>'A) Base RI'!B184</f>
        <v>Borex</v>
      </c>
      <c r="C184" s="10">
        <f>'A) Base RI'!C184+'A) Base RI'!D184</f>
        <v>3720810.93</v>
      </c>
      <c r="D184" s="10">
        <f>'A) Base RI'!W184</f>
        <v>-7286.69</v>
      </c>
      <c r="E184" s="384">
        <f>'A) Base RI'!X184</f>
        <v>0</v>
      </c>
      <c r="F184" s="384">
        <f>'A) Base RI'!Y184</f>
        <v>-7727.67</v>
      </c>
      <c r="G184" s="387">
        <f t="shared" si="12"/>
        <v>3705796.5700000003</v>
      </c>
      <c r="H184" s="10">
        <f>+'A) Base RI'!E184</f>
        <v>0</v>
      </c>
      <c r="I184" s="10">
        <f>+'A) Base RI'!F184</f>
        <v>0</v>
      </c>
      <c r="J184" s="10">
        <f>+'A) Base RI'!G184+'A) Base RI'!H184+'A) Base RI'!S184</f>
        <v>4926.3499999999995</v>
      </c>
      <c r="K184" s="10">
        <f>+'A) Base RI'!I184</f>
        <v>14964.7</v>
      </c>
      <c r="L184" s="10">
        <f>+'A) Base RI'!J184</f>
        <v>32456.15</v>
      </c>
      <c r="M184" s="10">
        <f>+'A) Base RI'!K184</f>
        <v>10637.7</v>
      </c>
      <c r="N184" s="10">
        <f>+'A) Base RI'!Q184</f>
        <v>0</v>
      </c>
      <c r="O184" s="10">
        <f t="shared" si="13"/>
        <v>290074.3</v>
      </c>
      <c r="P184" s="10">
        <f>+'A) Base RI'!L184</f>
        <v>435111.45</v>
      </c>
      <c r="Q184" s="395">
        <f>'A) Base RI'!Z184</f>
        <v>1.5</v>
      </c>
      <c r="R184" s="387">
        <f t="shared" si="14"/>
        <v>4058855.7700000005</v>
      </c>
      <c r="S184" s="428">
        <f>+'A) Base RI'!U184</f>
        <v>57</v>
      </c>
      <c r="T184" s="387">
        <f t="shared" si="15"/>
        <v>3758143.7700000005</v>
      </c>
      <c r="U184" s="387">
        <f t="shared" si="16"/>
        <v>71207.99596491229</v>
      </c>
      <c r="V184" s="10">
        <f>+'A) Base RI'!O184</f>
        <v>0</v>
      </c>
      <c r="W184" s="10">
        <f>+'A) Base RI'!P184</f>
        <v>201410</v>
      </c>
      <c r="X184" s="10">
        <f>+'A) Base RI'!R184</f>
        <v>118489.60000000001</v>
      </c>
      <c r="Y184" s="387">
        <f t="shared" si="17"/>
        <v>319899.59999999998</v>
      </c>
      <c r="Z184" s="10">
        <f>+'A) Base RI'!N184</f>
        <v>10314.15</v>
      </c>
      <c r="AA184" s="10">
        <f>'A) Base RI'!V184</f>
        <v>1165</v>
      </c>
    </row>
    <row r="185" spans="1:27" x14ac:dyDescent="0.25">
      <c r="A185" s="8">
        <f>'A) Base RI'!A185</f>
        <v>5707</v>
      </c>
      <c r="B185" s="32" t="str">
        <f>'A) Base RI'!B185</f>
        <v>Chavannes-de-Bogis</v>
      </c>
      <c r="C185" s="10">
        <f>'A) Base RI'!C185+'A) Base RI'!D185</f>
        <v>4163268.49</v>
      </c>
      <c r="D185" s="10">
        <f>'A) Base RI'!W185</f>
        <v>-13446.05</v>
      </c>
      <c r="E185" s="384">
        <f>'A) Base RI'!X185</f>
        <v>0</v>
      </c>
      <c r="F185" s="384">
        <f>'A) Base RI'!Y185</f>
        <v>-11373.21</v>
      </c>
      <c r="G185" s="387">
        <f t="shared" si="12"/>
        <v>4138449.2300000004</v>
      </c>
      <c r="H185" s="10">
        <f>+'A) Base RI'!E185</f>
        <v>0</v>
      </c>
      <c r="I185" s="10">
        <f>+'A) Base RI'!F185</f>
        <v>0</v>
      </c>
      <c r="J185" s="10">
        <f>+'A) Base RI'!G185+'A) Base RI'!H185+'A) Base RI'!S185</f>
        <v>316701.03000000003</v>
      </c>
      <c r="K185" s="10">
        <f>+'A) Base RI'!I185</f>
        <v>36135.800000000003</v>
      </c>
      <c r="L185" s="10">
        <f>+'A) Base RI'!J185</f>
        <v>70076.149999999994</v>
      </c>
      <c r="M185" s="10">
        <f>+'A) Base RI'!K185</f>
        <v>60635.1</v>
      </c>
      <c r="N185" s="10">
        <f>+'A) Base RI'!Q185</f>
        <v>4114.8599999999997</v>
      </c>
      <c r="O185" s="10">
        <f t="shared" si="13"/>
        <v>479129.93333333335</v>
      </c>
      <c r="P185" s="10">
        <f>+'A) Base RI'!L185</f>
        <v>718694.9</v>
      </c>
      <c r="Q185" s="395">
        <f>'A) Base RI'!Z185</f>
        <v>1.5</v>
      </c>
      <c r="R185" s="387">
        <f t="shared" si="14"/>
        <v>5105242.1033333344</v>
      </c>
      <c r="S185" s="428">
        <f>+'A) Base RI'!U185</f>
        <v>58</v>
      </c>
      <c r="T185" s="387">
        <f t="shared" si="15"/>
        <v>4565477.0700000012</v>
      </c>
      <c r="U185" s="387">
        <f t="shared" si="16"/>
        <v>88021.415574712664</v>
      </c>
      <c r="V185" s="10">
        <f>+'A) Base RI'!O185</f>
        <v>0</v>
      </c>
      <c r="W185" s="10">
        <f>+'A) Base RI'!P185</f>
        <v>517016.35</v>
      </c>
      <c r="X185" s="10">
        <f>+'A) Base RI'!R185</f>
        <v>331529.5</v>
      </c>
      <c r="Y185" s="387">
        <f t="shared" si="17"/>
        <v>848545.85</v>
      </c>
      <c r="Z185" s="10">
        <f>+'A) Base RI'!N185</f>
        <v>706882.95</v>
      </c>
      <c r="AA185" s="10">
        <f>'A) Base RI'!V185</f>
        <v>1330</v>
      </c>
    </row>
    <row r="186" spans="1:27" x14ac:dyDescent="0.25">
      <c r="A186" s="8">
        <f>'A) Base RI'!A186</f>
        <v>5708</v>
      </c>
      <c r="B186" s="32" t="str">
        <f>'A) Base RI'!B186</f>
        <v>Chavannes-des-Bois</v>
      </c>
      <c r="C186" s="10">
        <f>'A) Base RI'!C186+'A) Base RI'!D186</f>
        <v>4236156.66</v>
      </c>
      <c r="D186" s="10">
        <f>'A) Base RI'!W186</f>
        <v>-404.54</v>
      </c>
      <c r="E186" s="384">
        <f>'A) Base RI'!X186</f>
        <v>0</v>
      </c>
      <c r="F186" s="384">
        <f>'A) Base RI'!Y186</f>
        <v>-4610.09</v>
      </c>
      <c r="G186" s="387">
        <f t="shared" si="12"/>
        <v>4231142.03</v>
      </c>
      <c r="H186" s="10">
        <f>+'A) Base RI'!E186</f>
        <v>0</v>
      </c>
      <c r="I186" s="10">
        <f>+'A) Base RI'!F186</f>
        <v>0</v>
      </c>
      <c r="J186" s="10">
        <f>+'A) Base RI'!G186+'A) Base RI'!H186+'A) Base RI'!S186</f>
        <v>170969.73</v>
      </c>
      <c r="K186" s="10">
        <f>+'A) Base RI'!I186</f>
        <v>0</v>
      </c>
      <c r="L186" s="10">
        <f>+'A) Base RI'!J186</f>
        <v>-140648.74</v>
      </c>
      <c r="M186" s="10">
        <f>+'A) Base RI'!K186</f>
        <v>2504.3000000000002</v>
      </c>
      <c r="N186" s="10">
        <f>+'A) Base RI'!Q186</f>
        <v>0</v>
      </c>
      <c r="O186" s="10">
        <f t="shared" si="13"/>
        <v>292144.2</v>
      </c>
      <c r="P186" s="10">
        <f>+'A) Base RI'!L186</f>
        <v>438216.3</v>
      </c>
      <c r="Q186" s="395">
        <f>'A) Base RI'!Z186</f>
        <v>1.5</v>
      </c>
      <c r="R186" s="387">
        <f t="shared" si="14"/>
        <v>4556111.5200000005</v>
      </c>
      <c r="S186" s="428">
        <f>+'A) Base RI'!U186</f>
        <v>68</v>
      </c>
      <c r="T186" s="387">
        <f t="shared" si="15"/>
        <v>4261463.0200000005</v>
      </c>
      <c r="U186" s="387">
        <f t="shared" si="16"/>
        <v>67001.640000000014</v>
      </c>
      <c r="V186" s="10">
        <f>+'A) Base RI'!O186</f>
        <v>0</v>
      </c>
      <c r="W186" s="10">
        <f>+'A) Base RI'!P186</f>
        <v>149748.1</v>
      </c>
      <c r="X186" s="10">
        <f>+'A) Base RI'!R186</f>
        <v>133122</v>
      </c>
      <c r="Y186" s="387">
        <f t="shared" si="17"/>
        <v>282870.09999999998</v>
      </c>
      <c r="Z186" s="10">
        <f>+'A) Base RI'!N186</f>
        <v>11789.25</v>
      </c>
      <c r="AA186" s="10">
        <f>'A) Base RI'!V186</f>
        <v>1005</v>
      </c>
    </row>
    <row r="187" spans="1:27" x14ac:dyDescent="0.25">
      <c r="A187" s="8">
        <f>'A) Base RI'!A187</f>
        <v>5709</v>
      </c>
      <c r="B187" s="32" t="str">
        <f>'A) Base RI'!B187</f>
        <v>Chéserex</v>
      </c>
      <c r="C187" s="10">
        <f>'A) Base RI'!C187+'A) Base RI'!D187</f>
        <v>4074912.46</v>
      </c>
      <c r="D187" s="10">
        <f>'A) Base RI'!W187</f>
        <v>-37331.360000000001</v>
      </c>
      <c r="E187" s="384">
        <f>'A) Base RI'!X187</f>
        <v>0</v>
      </c>
      <c r="F187" s="384">
        <f>'A) Base RI'!Y187</f>
        <v>-5867.36</v>
      </c>
      <c r="G187" s="387">
        <f t="shared" si="12"/>
        <v>4031713.74</v>
      </c>
      <c r="H187" s="10">
        <f>+'A) Base RI'!E187</f>
        <v>0</v>
      </c>
      <c r="I187" s="10">
        <f>+'A) Base RI'!F187</f>
        <v>0</v>
      </c>
      <c r="J187" s="10">
        <f>+'A) Base RI'!G187+'A) Base RI'!H187+'A) Base RI'!S187</f>
        <v>25537.84</v>
      </c>
      <c r="K187" s="10">
        <f>+'A) Base RI'!I187</f>
        <v>544660.1</v>
      </c>
      <c r="L187" s="10">
        <f>+'A) Base RI'!J187</f>
        <v>33643.4</v>
      </c>
      <c r="M187" s="10">
        <f>+'A) Base RI'!K187</f>
        <v>6284.05</v>
      </c>
      <c r="N187" s="10">
        <f>+'A) Base RI'!Q187</f>
        <v>0</v>
      </c>
      <c r="O187" s="10">
        <f t="shared" si="13"/>
        <v>393676.85</v>
      </c>
      <c r="P187" s="10">
        <f>+'A) Base RI'!L187</f>
        <v>393676.85</v>
      </c>
      <c r="Q187" s="395">
        <f>'A) Base RI'!Z187</f>
        <v>1</v>
      </c>
      <c r="R187" s="387">
        <f t="shared" si="14"/>
        <v>5035515.9799999995</v>
      </c>
      <c r="S187" s="428">
        <f>+'A) Base RI'!U187</f>
        <v>57</v>
      </c>
      <c r="T187" s="387">
        <f t="shared" si="15"/>
        <v>4635555.08</v>
      </c>
      <c r="U187" s="387">
        <f t="shared" si="16"/>
        <v>88342.385614035084</v>
      </c>
      <c r="V187" s="10">
        <f>+'A) Base RI'!O187</f>
        <v>0</v>
      </c>
      <c r="W187" s="10">
        <f>+'A) Base RI'!P187</f>
        <v>170346.85</v>
      </c>
      <c r="X187" s="10">
        <f>+'A) Base RI'!R187</f>
        <v>1665970.35</v>
      </c>
      <c r="Y187" s="387">
        <f t="shared" si="17"/>
        <v>1836317.2000000002</v>
      </c>
      <c r="Z187" s="10">
        <f>+'A) Base RI'!N187</f>
        <v>45594</v>
      </c>
      <c r="AA187" s="10">
        <f>'A) Base RI'!V187</f>
        <v>1263</v>
      </c>
    </row>
    <row r="188" spans="1:27" x14ac:dyDescent="0.25">
      <c r="A188" s="8">
        <f>'A) Base RI'!A188</f>
        <v>5710</v>
      </c>
      <c r="B188" s="32" t="str">
        <f>'A) Base RI'!B188</f>
        <v>Coinsins</v>
      </c>
      <c r="C188" s="10">
        <f>'A) Base RI'!C188+'A) Base RI'!D188</f>
        <v>1611610.1400000001</v>
      </c>
      <c r="D188" s="10">
        <f>'A) Base RI'!W188</f>
        <v>-10534.21</v>
      </c>
      <c r="E188" s="384">
        <f>'A) Base RI'!X188</f>
        <v>0</v>
      </c>
      <c r="F188" s="384">
        <f>'A) Base RI'!Y188</f>
        <v>-8196.23</v>
      </c>
      <c r="G188" s="387">
        <f t="shared" si="12"/>
        <v>1592879.7000000002</v>
      </c>
      <c r="H188" s="10">
        <f>+'A) Base RI'!E188</f>
        <v>0</v>
      </c>
      <c r="I188" s="10">
        <f>+'A) Base RI'!F188</f>
        <v>0</v>
      </c>
      <c r="J188" s="10">
        <f>+'A) Base RI'!G188+'A) Base RI'!H188+'A) Base RI'!S188</f>
        <v>388687.67999999993</v>
      </c>
      <c r="K188" s="10">
        <f>+'A) Base RI'!I188</f>
        <v>110957.8</v>
      </c>
      <c r="L188" s="10">
        <f>+'A) Base RI'!J188</f>
        <v>13621.24</v>
      </c>
      <c r="M188" s="10">
        <f>+'A) Base RI'!K188</f>
        <v>-26200.55</v>
      </c>
      <c r="N188" s="10">
        <f>+'A) Base RI'!Q188</f>
        <v>11.45</v>
      </c>
      <c r="O188" s="10">
        <f t="shared" si="13"/>
        <v>134068.20000000001</v>
      </c>
      <c r="P188" s="10">
        <f>+'A) Base RI'!L188</f>
        <v>134068.20000000001</v>
      </c>
      <c r="Q188" s="395">
        <f>'A) Base RI'!Z188</f>
        <v>1</v>
      </c>
      <c r="R188" s="387">
        <f t="shared" si="14"/>
        <v>2214025.5200000005</v>
      </c>
      <c r="S188" s="428">
        <f>+'A) Base RI'!U188</f>
        <v>51</v>
      </c>
      <c r="T188" s="387">
        <f t="shared" si="15"/>
        <v>2106157.8700000006</v>
      </c>
      <c r="U188" s="387">
        <f t="shared" si="16"/>
        <v>43412.265098039228</v>
      </c>
      <c r="V188" s="10">
        <f>+'A) Base RI'!O188</f>
        <v>0</v>
      </c>
      <c r="W188" s="10">
        <f>+'A) Base RI'!P188</f>
        <v>102602.5</v>
      </c>
      <c r="X188" s="10">
        <f>+'A) Base RI'!R188</f>
        <v>55699.25</v>
      </c>
      <c r="Y188" s="387">
        <f t="shared" si="17"/>
        <v>158301.75</v>
      </c>
      <c r="Z188" s="10">
        <f>+'A) Base RI'!N188</f>
        <v>46509.95</v>
      </c>
      <c r="AA188" s="10">
        <f>'A) Base RI'!V188</f>
        <v>508</v>
      </c>
    </row>
    <row r="189" spans="1:27" x14ac:dyDescent="0.25">
      <c r="A189" s="8">
        <f>'A) Base RI'!A189</f>
        <v>5711</v>
      </c>
      <c r="B189" s="32" t="str">
        <f>'A) Base RI'!B189</f>
        <v>Commugny</v>
      </c>
      <c r="C189" s="10">
        <f>'A) Base RI'!C189+'A) Base RI'!D189</f>
        <v>14531595.949999999</v>
      </c>
      <c r="D189" s="10">
        <f>'A) Base RI'!W189</f>
        <v>4758.5200000000004</v>
      </c>
      <c r="E189" s="384">
        <f>'A) Base RI'!X189</f>
        <v>0</v>
      </c>
      <c r="F189" s="384">
        <f>'A) Base RI'!Y189</f>
        <v>-30955.25</v>
      </c>
      <c r="G189" s="387">
        <f t="shared" si="12"/>
        <v>14505399.219999999</v>
      </c>
      <c r="H189" s="10">
        <f>+'A) Base RI'!E189</f>
        <v>0</v>
      </c>
      <c r="I189" s="10">
        <f>+'A) Base RI'!F189</f>
        <v>0</v>
      </c>
      <c r="J189" s="10">
        <f>+'A) Base RI'!G189+'A) Base RI'!H189+'A) Base RI'!S189</f>
        <v>100358.41</v>
      </c>
      <c r="K189" s="10">
        <f>+'A) Base RI'!I189</f>
        <v>162941.45000000001</v>
      </c>
      <c r="L189" s="10">
        <f>+'A) Base RI'!J189</f>
        <v>150861.20000000001</v>
      </c>
      <c r="M189" s="10">
        <f>+'A) Base RI'!K189</f>
        <v>17437.5</v>
      </c>
      <c r="N189" s="10">
        <f>+'A) Base RI'!Q189</f>
        <v>-3967.2</v>
      </c>
      <c r="O189" s="10">
        <f t="shared" si="13"/>
        <v>955122.84615384613</v>
      </c>
      <c r="P189" s="10">
        <f>+'A) Base RI'!L189</f>
        <v>1241659.7</v>
      </c>
      <c r="Q189" s="395">
        <f>'A) Base RI'!Z189</f>
        <v>1.3</v>
      </c>
      <c r="R189" s="387">
        <f t="shared" si="14"/>
        <v>15888153.426153844</v>
      </c>
      <c r="S189" s="428">
        <f>+'A) Base RI'!U189</f>
        <v>55.5</v>
      </c>
      <c r="T189" s="387">
        <f t="shared" si="15"/>
        <v>14915593.079999998</v>
      </c>
      <c r="U189" s="387">
        <f t="shared" si="16"/>
        <v>286273.03470547468</v>
      </c>
      <c r="V189" s="10">
        <f>+'A) Base RI'!O189</f>
        <v>56023.8</v>
      </c>
      <c r="W189" s="10">
        <f>+'A) Base RI'!P189</f>
        <v>1095794.3</v>
      </c>
      <c r="X189" s="10">
        <f>+'A) Base RI'!R189</f>
        <v>1039147.95</v>
      </c>
      <c r="Y189" s="387">
        <f t="shared" si="17"/>
        <v>2190966.0499999998</v>
      </c>
      <c r="Z189" s="10">
        <f>+'A) Base RI'!N189</f>
        <v>25768.5</v>
      </c>
      <c r="AA189" s="10">
        <f>'A) Base RI'!V189</f>
        <v>3001</v>
      </c>
    </row>
    <row r="190" spans="1:27" x14ac:dyDescent="0.25">
      <c r="A190" s="8">
        <f>'A) Base RI'!A190</f>
        <v>5712</v>
      </c>
      <c r="B190" s="32" t="str">
        <f>'A) Base RI'!B190</f>
        <v>Coppet</v>
      </c>
      <c r="C190" s="10">
        <f>'A) Base RI'!C190+'A) Base RI'!D190</f>
        <v>15371832.18</v>
      </c>
      <c r="D190" s="10">
        <f>'A) Base RI'!W190</f>
        <v>-56289.72</v>
      </c>
      <c r="E190" s="384">
        <f>'A) Base RI'!X190</f>
        <v>0</v>
      </c>
      <c r="F190" s="384">
        <f>'A) Base RI'!Y190</f>
        <v>-53393.47</v>
      </c>
      <c r="G190" s="387">
        <f t="shared" si="12"/>
        <v>15262148.989999998</v>
      </c>
      <c r="H190" s="10">
        <f>+'A) Base RI'!E190</f>
        <v>0</v>
      </c>
      <c r="I190" s="10">
        <f>+'A) Base RI'!F190</f>
        <v>0</v>
      </c>
      <c r="J190" s="10">
        <f>+'A) Base RI'!G190+'A) Base RI'!H190+'A) Base RI'!S190</f>
        <v>190405.9</v>
      </c>
      <c r="K190" s="10">
        <f>+'A) Base RI'!I190</f>
        <v>1088137.19</v>
      </c>
      <c r="L190" s="10">
        <f>+'A) Base RI'!J190</f>
        <v>-86074.68</v>
      </c>
      <c r="M190" s="10">
        <f>+'A) Base RI'!K190</f>
        <v>25170.5</v>
      </c>
      <c r="N190" s="10">
        <f>+'A) Base RI'!Q190</f>
        <v>2167.21</v>
      </c>
      <c r="O190" s="10">
        <f t="shared" si="13"/>
        <v>1207027.8</v>
      </c>
      <c r="P190" s="10">
        <f>+'A) Base RI'!L190</f>
        <v>1810541.7</v>
      </c>
      <c r="Q190" s="395">
        <f>'A) Base RI'!Z190</f>
        <v>1.5</v>
      </c>
      <c r="R190" s="387">
        <f t="shared" si="14"/>
        <v>17688982.91</v>
      </c>
      <c r="S190" s="428">
        <f>+'A) Base RI'!U190</f>
        <v>53</v>
      </c>
      <c r="T190" s="387">
        <f t="shared" si="15"/>
        <v>16456784.609999999</v>
      </c>
      <c r="U190" s="387">
        <f t="shared" si="16"/>
        <v>333754.3945283019</v>
      </c>
      <c r="V190" s="10">
        <f>+'A) Base RI'!O190</f>
        <v>510250</v>
      </c>
      <c r="W190" s="10">
        <f>+'A) Base RI'!P190</f>
        <v>972593.2</v>
      </c>
      <c r="X190" s="10">
        <f>+'A) Base RI'!R190</f>
        <v>570732.44999999995</v>
      </c>
      <c r="Y190" s="387">
        <f t="shared" si="17"/>
        <v>2053575.65</v>
      </c>
      <c r="Z190" s="10">
        <f>+'A) Base RI'!N190</f>
        <v>136878.75</v>
      </c>
      <c r="AA190" s="10">
        <f>'A) Base RI'!V190</f>
        <v>3211</v>
      </c>
    </row>
    <row r="191" spans="1:27" x14ac:dyDescent="0.25">
      <c r="A191" s="8">
        <f>'A) Base RI'!A191</f>
        <v>5713</v>
      </c>
      <c r="B191" s="32" t="str">
        <f>'A) Base RI'!B191</f>
        <v>Crans</v>
      </c>
      <c r="C191" s="10">
        <f>'A) Base RI'!C191+'A) Base RI'!D191</f>
        <v>15000171.49</v>
      </c>
      <c r="D191" s="10">
        <f>'A) Base RI'!W191</f>
        <v>-10790.21</v>
      </c>
      <c r="E191" s="384">
        <f>'A) Base RI'!X191</f>
        <v>0</v>
      </c>
      <c r="F191" s="384">
        <f>'A) Base RI'!Y191</f>
        <v>-103164.71</v>
      </c>
      <c r="G191" s="387">
        <f t="shared" si="12"/>
        <v>14886216.569999998</v>
      </c>
      <c r="H191" s="10">
        <f>+'A) Base RI'!E191</f>
        <v>0</v>
      </c>
      <c r="I191" s="10">
        <f>+'A) Base RI'!F191</f>
        <v>0</v>
      </c>
      <c r="J191" s="10">
        <f>+'A) Base RI'!G191+'A) Base RI'!H191+'A) Base RI'!S191</f>
        <v>55106.2</v>
      </c>
      <c r="K191" s="10">
        <f>+'A) Base RI'!I191</f>
        <v>535479.17000000004</v>
      </c>
      <c r="L191" s="10">
        <f>+'A) Base RI'!J191</f>
        <v>541679.1</v>
      </c>
      <c r="M191" s="10">
        <f>+'A) Base RI'!K191</f>
        <v>18938.05</v>
      </c>
      <c r="N191" s="10">
        <f>+'A) Base RI'!Q191</f>
        <v>3865.85</v>
      </c>
      <c r="O191" s="10">
        <f t="shared" si="13"/>
        <v>898983.85</v>
      </c>
      <c r="P191" s="10">
        <f>+'A) Base RI'!L191</f>
        <v>898983.85</v>
      </c>
      <c r="Q191" s="395">
        <f>'A) Base RI'!Z191</f>
        <v>1</v>
      </c>
      <c r="R191" s="387">
        <f t="shared" si="14"/>
        <v>16940268.789999999</v>
      </c>
      <c r="S191" s="428">
        <f>+'A) Base RI'!U191</f>
        <v>56</v>
      </c>
      <c r="T191" s="387">
        <f t="shared" si="15"/>
        <v>16022346.889999997</v>
      </c>
      <c r="U191" s="387">
        <f t="shared" si="16"/>
        <v>302504.79982142855</v>
      </c>
      <c r="V191" s="10">
        <f>+'A) Base RI'!O191</f>
        <v>1474721.4</v>
      </c>
      <c r="W191" s="10">
        <f>+'A) Base RI'!P191</f>
        <v>677094</v>
      </c>
      <c r="X191" s="10">
        <f>+'A) Base RI'!R191</f>
        <v>1134337.6000000001</v>
      </c>
      <c r="Y191" s="387">
        <f t="shared" si="17"/>
        <v>3286153</v>
      </c>
      <c r="Z191" s="10">
        <f>+'A) Base RI'!N191</f>
        <v>40096.699999999997</v>
      </c>
      <c r="AA191" s="10">
        <f>'A) Base RI'!V191</f>
        <v>2373</v>
      </c>
    </row>
    <row r="192" spans="1:27" x14ac:dyDescent="0.25">
      <c r="A192" s="8">
        <f>'A) Base RI'!A192</f>
        <v>5714</v>
      </c>
      <c r="B192" s="32" t="str">
        <f>'A) Base RI'!B192</f>
        <v>Crassier</v>
      </c>
      <c r="C192" s="10">
        <f>'A) Base RI'!C192+'A) Base RI'!D192</f>
        <v>3693730.9</v>
      </c>
      <c r="D192" s="10">
        <f>'A) Base RI'!W192</f>
        <v>-7574.24</v>
      </c>
      <c r="E192" s="384">
        <f>'A) Base RI'!X192</f>
        <v>0</v>
      </c>
      <c r="F192" s="384">
        <f>'A) Base RI'!Y192</f>
        <v>-3239.4</v>
      </c>
      <c r="G192" s="387">
        <f t="shared" si="12"/>
        <v>3682917.26</v>
      </c>
      <c r="H192" s="10">
        <f>+'A) Base RI'!E192</f>
        <v>0</v>
      </c>
      <c r="I192" s="10">
        <f>+'A) Base RI'!F192</f>
        <v>0</v>
      </c>
      <c r="J192" s="10">
        <f>+'A) Base RI'!G192+'A) Base RI'!H192+'A) Base RI'!S192</f>
        <v>52446.280000000006</v>
      </c>
      <c r="K192" s="10">
        <f>+'A) Base RI'!I192</f>
        <v>111001</v>
      </c>
      <c r="L192" s="10">
        <f>+'A) Base RI'!J192</f>
        <v>72501.87</v>
      </c>
      <c r="M192" s="10">
        <f>+'A) Base RI'!K192</f>
        <v>7238.3</v>
      </c>
      <c r="N192" s="10">
        <f>+'A) Base RI'!Q192</f>
        <v>3088.67</v>
      </c>
      <c r="O192" s="10">
        <f t="shared" si="13"/>
        <v>296056.65000000002</v>
      </c>
      <c r="P192" s="10">
        <f>+'A) Base RI'!L192</f>
        <v>296056.65000000002</v>
      </c>
      <c r="Q192" s="395">
        <f>'A) Base RI'!Z192</f>
        <v>1</v>
      </c>
      <c r="R192" s="387">
        <f t="shared" si="14"/>
        <v>4225250.0299999993</v>
      </c>
      <c r="S192" s="428">
        <f>+'A) Base RI'!U192</f>
        <v>68</v>
      </c>
      <c r="T192" s="387">
        <f t="shared" si="15"/>
        <v>3921955.0799999996</v>
      </c>
      <c r="U192" s="387">
        <f t="shared" si="16"/>
        <v>62136.029852941167</v>
      </c>
      <c r="V192" s="10">
        <f>+'A) Base RI'!O192</f>
        <v>3583.5</v>
      </c>
      <c r="W192" s="10">
        <f>+'A) Base RI'!P192</f>
        <v>410571.7</v>
      </c>
      <c r="X192" s="10">
        <f>+'A) Base RI'!R192</f>
        <v>201409.35</v>
      </c>
      <c r="Y192" s="387">
        <f t="shared" si="17"/>
        <v>615564.55000000005</v>
      </c>
      <c r="Z192" s="10">
        <f>+'A) Base RI'!N192</f>
        <v>144109.9</v>
      </c>
      <c r="AA192" s="10">
        <f>'A) Base RI'!V192</f>
        <v>1228</v>
      </c>
    </row>
    <row r="193" spans="1:27" x14ac:dyDescent="0.25">
      <c r="A193" s="8">
        <f>'A) Base RI'!A193</f>
        <v>5715</v>
      </c>
      <c r="B193" s="32" t="str">
        <f>'A) Base RI'!B193</f>
        <v>Duillier</v>
      </c>
      <c r="C193" s="10">
        <f>'A) Base RI'!C193+'A) Base RI'!D193</f>
        <v>4303262.63</v>
      </c>
      <c r="D193" s="10">
        <f>'A) Base RI'!W193</f>
        <v>-31477.46</v>
      </c>
      <c r="E193" s="384">
        <f>'A) Base RI'!X193</f>
        <v>0</v>
      </c>
      <c r="F193" s="384">
        <f>'A) Base RI'!Y193</f>
        <v>-2172.73</v>
      </c>
      <c r="G193" s="387">
        <f t="shared" si="12"/>
        <v>4269612.4399999995</v>
      </c>
      <c r="H193" s="10">
        <f>+'A) Base RI'!E193</f>
        <v>0</v>
      </c>
      <c r="I193" s="10">
        <f>+'A) Base RI'!F193</f>
        <v>0</v>
      </c>
      <c r="J193" s="10">
        <f>+'A) Base RI'!G193+'A) Base RI'!H193+'A) Base RI'!S193</f>
        <v>49709.159999999996</v>
      </c>
      <c r="K193" s="10">
        <f>+'A) Base RI'!I193</f>
        <v>0</v>
      </c>
      <c r="L193" s="10">
        <f>+'A) Base RI'!J193</f>
        <v>38423.9</v>
      </c>
      <c r="M193" s="10">
        <f>+'A) Base RI'!K193</f>
        <v>2974.5</v>
      </c>
      <c r="N193" s="10">
        <f>+'A) Base RI'!Q193</f>
        <v>1872.64</v>
      </c>
      <c r="O193" s="10">
        <f t="shared" si="13"/>
        <v>283485.90000000002</v>
      </c>
      <c r="P193" s="10">
        <f>+'A) Base RI'!L193</f>
        <v>283485.90000000002</v>
      </c>
      <c r="Q193" s="395">
        <f>'A) Base RI'!Z193</f>
        <v>1</v>
      </c>
      <c r="R193" s="387">
        <f t="shared" si="14"/>
        <v>4646078.54</v>
      </c>
      <c r="S193" s="428">
        <f>+'A) Base RI'!U193</f>
        <v>66</v>
      </c>
      <c r="T193" s="387">
        <f t="shared" si="15"/>
        <v>4359618.1399999997</v>
      </c>
      <c r="U193" s="387">
        <f t="shared" si="16"/>
        <v>70395.129393939395</v>
      </c>
      <c r="V193" s="10">
        <f>+'A) Base RI'!O193</f>
        <v>0</v>
      </c>
      <c r="W193" s="10">
        <f>+'A) Base RI'!P193</f>
        <v>424957.5</v>
      </c>
      <c r="X193" s="10">
        <f>+'A) Base RI'!R193</f>
        <v>431528.05</v>
      </c>
      <c r="Y193" s="387">
        <f t="shared" si="17"/>
        <v>856485.55</v>
      </c>
      <c r="Z193" s="10">
        <f>+'A) Base RI'!N193</f>
        <v>115813.65</v>
      </c>
      <c r="AA193" s="10">
        <f>'A) Base RI'!V193</f>
        <v>1146</v>
      </c>
    </row>
    <row r="194" spans="1:27" x14ac:dyDescent="0.25">
      <c r="A194" s="8">
        <f>'A) Base RI'!A194</f>
        <v>5716</v>
      </c>
      <c r="B194" s="32" t="str">
        <f>'A) Base RI'!B194</f>
        <v>Eysins</v>
      </c>
      <c r="C194" s="10">
        <f>'A) Base RI'!C194+'A) Base RI'!D194</f>
        <v>4651577.4800000004</v>
      </c>
      <c r="D194" s="10">
        <f>'A) Base RI'!W194</f>
        <v>-743221.16</v>
      </c>
      <c r="E194" s="384">
        <f>'A) Base RI'!X194</f>
        <v>0</v>
      </c>
      <c r="F194" s="384">
        <f>'A) Base RI'!Y194</f>
        <v>-340941.98</v>
      </c>
      <c r="G194" s="387">
        <f t="shared" si="12"/>
        <v>3567414.3400000003</v>
      </c>
      <c r="H194" s="10">
        <f>+'A) Base RI'!E194</f>
        <v>0</v>
      </c>
      <c r="I194" s="10">
        <f>+'A) Base RI'!F194</f>
        <v>0</v>
      </c>
      <c r="J194" s="10">
        <f>+'A) Base RI'!G194+'A) Base RI'!H194+'A) Base RI'!S194</f>
        <v>7426915.8000000007</v>
      </c>
      <c r="K194" s="10">
        <f>+'A) Base RI'!I194</f>
        <v>0</v>
      </c>
      <c r="L194" s="10">
        <f>+'A) Base RI'!J194</f>
        <v>300606.15000000002</v>
      </c>
      <c r="M194" s="10">
        <f>+'A) Base RI'!K194</f>
        <v>115376.75</v>
      </c>
      <c r="N194" s="10">
        <f>+'A) Base RI'!Q194</f>
        <v>5265.49</v>
      </c>
      <c r="O194" s="10">
        <f t="shared" si="13"/>
        <v>713756.25</v>
      </c>
      <c r="P194" s="10">
        <f>+'A) Base RI'!L194</f>
        <v>713756.25</v>
      </c>
      <c r="Q194" s="395">
        <f>'A) Base RI'!Z194</f>
        <v>1</v>
      </c>
      <c r="R194" s="387">
        <f t="shared" si="14"/>
        <v>12129334.780000001</v>
      </c>
      <c r="S194" s="428">
        <f>+'A) Base RI'!U194</f>
        <v>59.5</v>
      </c>
      <c r="T194" s="387">
        <f t="shared" si="15"/>
        <v>11300201.780000001</v>
      </c>
      <c r="U194" s="387">
        <f t="shared" si="16"/>
        <v>203854.36605042018</v>
      </c>
      <c r="V194" s="10">
        <f>+'A) Base RI'!O194</f>
        <v>6939.6</v>
      </c>
      <c r="W194" s="10">
        <f>+'A) Base RI'!P194</f>
        <v>127321.35</v>
      </c>
      <c r="X194" s="10">
        <f>+'A) Base RI'!R194</f>
        <v>64215.8</v>
      </c>
      <c r="Y194" s="387">
        <f t="shared" si="17"/>
        <v>198476.75</v>
      </c>
      <c r="Z194" s="10">
        <f>+'A) Base RI'!N194</f>
        <v>412218.95</v>
      </c>
      <c r="AA194" s="10">
        <f>'A) Base RI'!V194</f>
        <v>1736</v>
      </c>
    </row>
    <row r="195" spans="1:27" x14ac:dyDescent="0.25">
      <c r="A195" s="8">
        <f>'A) Base RI'!A195</f>
        <v>5717</v>
      </c>
      <c r="B195" s="32" t="str">
        <f>'A) Base RI'!B195</f>
        <v>Founex</v>
      </c>
      <c r="C195" s="10">
        <f>'A) Base RI'!C195+'A) Base RI'!D195</f>
        <v>19522773.259999998</v>
      </c>
      <c r="D195" s="10">
        <f>'A) Base RI'!W195</f>
        <v>-56354.57</v>
      </c>
      <c r="E195" s="384">
        <f>'A) Base RI'!X195</f>
        <v>0</v>
      </c>
      <c r="F195" s="384">
        <f>'A) Base RI'!Y195</f>
        <v>-93291.24</v>
      </c>
      <c r="G195" s="387">
        <f t="shared" si="12"/>
        <v>19373127.449999999</v>
      </c>
      <c r="H195" s="10">
        <f>+'A) Base RI'!E195</f>
        <v>0</v>
      </c>
      <c r="I195" s="10">
        <f>+'A) Base RI'!F195</f>
        <v>0</v>
      </c>
      <c r="J195" s="10">
        <f>+'A) Base RI'!G195+'A) Base RI'!H195+'A) Base RI'!S195</f>
        <v>200916.2</v>
      </c>
      <c r="K195" s="10">
        <f>+'A) Base RI'!I195</f>
        <v>1014904.3</v>
      </c>
      <c r="L195" s="10">
        <f>+'A) Base RI'!J195</f>
        <v>262009.59</v>
      </c>
      <c r="M195" s="10">
        <f>+'A) Base RI'!K195</f>
        <v>51020</v>
      </c>
      <c r="N195" s="10">
        <f>+'A) Base RI'!Q195</f>
        <v>3672.1</v>
      </c>
      <c r="O195" s="10">
        <f t="shared" si="13"/>
        <v>1365887.4</v>
      </c>
      <c r="P195" s="10">
        <f>+'A) Base RI'!L195</f>
        <v>1365887.4</v>
      </c>
      <c r="Q195" s="395">
        <f>'A) Base RI'!Z195</f>
        <v>1</v>
      </c>
      <c r="R195" s="387">
        <f t="shared" si="14"/>
        <v>22271537.039999999</v>
      </c>
      <c r="S195" s="428">
        <f>+'A) Base RI'!U195</f>
        <v>57</v>
      </c>
      <c r="T195" s="387">
        <f t="shared" si="15"/>
        <v>20854629.640000001</v>
      </c>
      <c r="U195" s="387">
        <f t="shared" si="16"/>
        <v>390728.72</v>
      </c>
      <c r="V195" s="10">
        <f>+'A) Base RI'!O195</f>
        <v>69451</v>
      </c>
      <c r="W195" s="10">
        <f>+'A) Base RI'!P195</f>
        <v>1000159.2</v>
      </c>
      <c r="X195" s="10">
        <f>+'A) Base RI'!R195</f>
        <v>596113.35</v>
      </c>
      <c r="Y195" s="387">
        <f t="shared" si="17"/>
        <v>1665723.5499999998</v>
      </c>
      <c r="Z195" s="10">
        <f>+'A) Base RI'!N195</f>
        <v>202572.75</v>
      </c>
      <c r="AA195" s="10">
        <f>'A) Base RI'!V195</f>
        <v>3822</v>
      </c>
    </row>
    <row r="196" spans="1:27" x14ac:dyDescent="0.25">
      <c r="A196" s="8">
        <f>'A) Base RI'!A196</f>
        <v>5718</v>
      </c>
      <c r="B196" s="32" t="str">
        <f>'A) Base RI'!B196</f>
        <v>Genolier</v>
      </c>
      <c r="C196" s="10">
        <f>'A) Base RI'!C196+'A) Base RI'!D196</f>
        <v>9311556.4100000001</v>
      </c>
      <c r="D196" s="10">
        <f>'A) Base RI'!W196</f>
        <v>-33872.870000000003</v>
      </c>
      <c r="E196" s="384">
        <f>'A) Base RI'!X196</f>
        <v>0</v>
      </c>
      <c r="F196" s="384">
        <f>'A) Base RI'!Y196</f>
        <v>-8228.6299999999992</v>
      </c>
      <c r="G196" s="387">
        <f t="shared" si="12"/>
        <v>9269454.9100000001</v>
      </c>
      <c r="H196" s="10">
        <f>+'A) Base RI'!E196</f>
        <v>0</v>
      </c>
      <c r="I196" s="10">
        <f>+'A) Base RI'!F196</f>
        <v>0</v>
      </c>
      <c r="J196" s="10">
        <f>+'A) Base RI'!G196+'A) Base RI'!H196+'A) Base RI'!S196</f>
        <v>291269.56</v>
      </c>
      <c r="K196" s="10">
        <f>+'A) Base RI'!I196</f>
        <v>204264.25</v>
      </c>
      <c r="L196" s="10">
        <f>+'A) Base RI'!J196</f>
        <v>52761.65</v>
      </c>
      <c r="M196" s="10">
        <f>+'A) Base RI'!K196</f>
        <v>43944.1</v>
      </c>
      <c r="N196" s="10">
        <f>+'A) Base RI'!Q196</f>
        <v>5302.28</v>
      </c>
      <c r="O196" s="10">
        <f t="shared" si="13"/>
        <v>708104.75</v>
      </c>
      <c r="P196" s="10">
        <f>+'A) Base RI'!L196</f>
        <v>708104.75</v>
      </c>
      <c r="Q196" s="395">
        <f>'A) Base RI'!Z196</f>
        <v>1</v>
      </c>
      <c r="R196" s="387">
        <f t="shared" si="14"/>
        <v>10575101.5</v>
      </c>
      <c r="S196" s="428">
        <f>+'A) Base RI'!U196</f>
        <v>55</v>
      </c>
      <c r="T196" s="387">
        <f t="shared" si="15"/>
        <v>9823052.6500000004</v>
      </c>
      <c r="U196" s="387">
        <f t="shared" si="16"/>
        <v>192274.57272727272</v>
      </c>
      <c r="V196" s="10">
        <f>+'A) Base RI'!O196</f>
        <v>106136.4</v>
      </c>
      <c r="W196" s="10">
        <f>+'A) Base RI'!P196</f>
        <v>585089.19999999995</v>
      </c>
      <c r="X196" s="10">
        <f>+'A) Base RI'!R196</f>
        <v>543922.30000000005</v>
      </c>
      <c r="Y196" s="387">
        <f t="shared" si="17"/>
        <v>1235147.8999999999</v>
      </c>
      <c r="Z196" s="10">
        <f>+'A) Base RI'!N196</f>
        <v>221075.95</v>
      </c>
      <c r="AA196" s="10">
        <f>'A) Base RI'!V196</f>
        <v>2022</v>
      </c>
    </row>
    <row r="197" spans="1:27" x14ac:dyDescent="0.25">
      <c r="A197" s="8">
        <f>'A) Base RI'!A197</f>
        <v>5719</v>
      </c>
      <c r="B197" s="32" t="str">
        <f>'A) Base RI'!B197</f>
        <v>Gingins</v>
      </c>
      <c r="C197" s="10">
        <f>'A) Base RI'!C197+'A) Base RI'!D197</f>
        <v>8384099.8599999994</v>
      </c>
      <c r="D197" s="10">
        <f>'A) Base RI'!W197</f>
        <v>-7404.84</v>
      </c>
      <c r="E197" s="384">
        <f>'A) Base RI'!X197</f>
        <v>0</v>
      </c>
      <c r="F197" s="384">
        <f>'A) Base RI'!Y197</f>
        <v>-7328.09</v>
      </c>
      <c r="G197" s="387">
        <f t="shared" si="12"/>
        <v>8369366.9299999997</v>
      </c>
      <c r="H197" s="10">
        <f>+'A) Base RI'!E197</f>
        <v>0</v>
      </c>
      <c r="I197" s="10">
        <f>+'A) Base RI'!F197</f>
        <v>0</v>
      </c>
      <c r="J197" s="10">
        <f>+'A) Base RI'!G197+'A) Base RI'!H197+'A) Base RI'!S197</f>
        <v>74089.38</v>
      </c>
      <c r="K197" s="10">
        <f>+'A) Base RI'!I197</f>
        <v>131790.54999999999</v>
      </c>
      <c r="L197" s="10">
        <f>+'A) Base RI'!J197</f>
        <v>65374.67</v>
      </c>
      <c r="M197" s="10">
        <f>+'A) Base RI'!K197</f>
        <v>11673.3</v>
      </c>
      <c r="N197" s="10">
        <f>+'A) Base RI'!Q197</f>
        <v>0</v>
      </c>
      <c r="O197" s="10">
        <f t="shared" si="13"/>
        <v>425359.50000000006</v>
      </c>
      <c r="P197" s="10">
        <f>+'A) Base RI'!L197</f>
        <v>255215.7</v>
      </c>
      <c r="Q197" s="395">
        <f>'A) Base RI'!Z197</f>
        <v>0.6</v>
      </c>
      <c r="R197" s="387">
        <f t="shared" si="14"/>
        <v>9077654.3300000019</v>
      </c>
      <c r="S197" s="428">
        <f>+'A) Base RI'!U197</f>
        <v>60</v>
      </c>
      <c r="T197" s="387">
        <f t="shared" si="15"/>
        <v>8640621.5300000012</v>
      </c>
      <c r="U197" s="387">
        <f t="shared" si="16"/>
        <v>151294.23883333337</v>
      </c>
      <c r="V197" s="10">
        <f>+'A) Base RI'!O197</f>
        <v>9290.4</v>
      </c>
      <c r="W197" s="10">
        <f>+'A) Base RI'!P197</f>
        <v>451399.6</v>
      </c>
      <c r="X197" s="10">
        <f>+'A) Base RI'!R197</f>
        <v>312599.34999999998</v>
      </c>
      <c r="Y197" s="387">
        <f t="shared" si="17"/>
        <v>773289.35</v>
      </c>
      <c r="Z197" s="10">
        <f>+'A) Base RI'!N197</f>
        <v>49842.05</v>
      </c>
      <c r="AA197" s="10">
        <f>'A) Base RI'!V197</f>
        <v>1265</v>
      </c>
    </row>
    <row r="198" spans="1:27" x14ac:dyDescent="0.25">
      <c r="A198" s="8">
        <f>'A) Base RI'!A198</f>
        <v>5720</v>
      </c>
      <c r="B198" s="32" t="str">
        <f>'A) Base RI'!B198</f>
        <v>Givrins</v>
      </c>
      <c r="C198" s="10">
        <f>'A) Base RI'!C198+'A) Base RI'!D198</f>
        <v>4240671.4000000004</v>
      </c>
      <c r="D198" s="10">
        <f>'A) Base RI'!W198</f>
        <v>-26363.84</v>
      </c>
      <c r="E198" s="384">
        <f>'A) Base RI'!X198</f>
        <v>0</v>
      </c>
      <c r="F198" s="384">
        <f>'A) Base RI'!Y198</f>
        <v>-4920.6899999999996</v>
      </c>
      <c r="G198" s="387">
        <f t="shared" si="12"/>
        <v>4209386.87</v>
      </c>
      <c r="H198" s="10">
        <f>+'A) Base RI'!E198</f>
        <v>0</v>
      </c>
      <c r="I198" s="10">
        <f>+'A) Base RI'!F198</f>
        <v>0</v>
      </c>
      <c r="J198" s="10">
        <f>+'A) Base RI'!G198+'A) Base RI'!H198+'A) Base RI'!S198</f>
        <v>5328.74</v>
      </c>
      <c r="K198" s="10">
        <f>+'A) Base RI'!I198</f>
        <v>430543.2</v>
      </c>
      <c r="L198" s="10">
        <f>+'A) Base RI'!J198</f>
        <v>27421.4</v>
      </c>
      <c r="M198" s="10">
        <f>+'A) Base RI'!K198</f>
        <v>0</v>
      </c>
      <c r="N198" s="10">
        <f>+'A) Base RI'!Q198</f>
        <v>16691.669999999998</v>
      </c>
      <c r="O198" s="10">
        <f t="shared" si="13"/>
        <v>321546.72222222219</v>
      </c>
      <c r="P198" s="10">
        <f>+'A) Base RI'!L198</f>
        <v>289392.05</v>
      </c>
      <c r="Q198" s="395">
        <f>'A) Base RI'!Z198</f>
        <v>0.9</v>
      </c>
      <c r="R198" s="387">
        <f t="shared" si="14"/>
        <v>5010918.6022222228</v>
      </c>
      <c r="S198" s="428">
        <f>+'A) Base RI'!U198</f>
        <v>67</v>
      </c>
      <c r="T198" s="387">
        <f t="shared" si="15"/>
        <v>4689371.8800000008</v>
      </c>
      <c r="U198" s="387">
        <f t="shared" si="16"/>
        <v>74789.829883913771</v>
      </c>
      <c r="V198" s="10">
        <f>+'A) Base RI'!O198</f>
        <v>0</v>
      </c>
      <c r="W198" s="10">
        <f>+'A) Base RI'!P198</f>
        <v>303627.40000000002</v>
      </c>
      <c r="X198" s="10">
        <f>+'A) Base RI'!R198</f>
        <v>229048.7</v>
      </c>
      <c r="Y198" s="387">
        <f t="shared" si="17"/>
        <v>532676.10000000009</v>
      </c>
      <c r="Z198" s="10">
        <f>+'A) Base RI'!N198</f>
        <v>16468.349999999999</v>
      </c>
      <c r="AA198" s="10">
        <f>'A) Base RI'!V198</f>
        <v>1010</v>
      </c>
    </row>
    <row r="199" spans="1:27" x14ac:dyDescent="0.25">
      <c r="A199" s="8">
        <f>'A) Base RI'!A199</f>
        <v>5721</v>
      </c>
      <c r="B199" s="32" t="str">
        <f>'A) Base RI'!B199</f>
        <v>Gland</v>
      </c>
      <c r="C199" s="10">
        <f>'A) Base RI'!C199+'A) Base RI'!D199</f>
        <v>31817702.960000001</v>
      </c>
      <c r="D199" s="10">
        <f>'A) Base RI'!W199</f>
        <v>-387058.15</v>
      </c>
      <c r="E199" s="384">
        <f>'A) Base RI'!X199</f>
        <v>0</v>
      </c>
      <c r="F199" s="384">
        <f>'A) Base RI'!Y199</f>
        <v>-30345.08</v>
      </c>
      <c r="G199" s="387">
        <f t="shared" si="12"/>
        <v>31400299.730000004</v>
      </c>
      <c r="H199" s="10">
        <f>+'A) Base RI'!E199</f>
        <v>0</v>
      </c>
      <c r="I199" s="10">
        <f>+'A) Base RI'!F199</f>
        <v>0</v>
      </c>
      <c r="J199" s="10">
        <f>+'A) Base RI'!G199+'A) Base RI'!H199+'A) Base RI'!S199</f>
        <v>7560305.25</v>
      </c>
      <c r="K199" s="10">
        <f>+'A) Base RI'!I199</f>
        <v>724657.05</v>
      </c>
      <c r="L199" s="10">
        <f>+'A) Base RI'!J199</f>
        <v>823754.6</v>
      </c>
      <c r="M199" s="10">
        <f>+'A) Base RI'!K199</f>
        <v>561432.44999999995</v>
      </c>
      <c r="N199" s="10">
        <f>+'A) Base RI'!Q199</f>
        <v>63811.65</v>
      </c>
      <c r="O199" s="10">
        <f t="shared" si="13"/>
        <v>2970191.8</v>
      </c>
      <c r="P199" s="10">
        <f>+'A) Base RI'!L199</f>
        <v>2970191.8</v>
      </c>
      <c r="Q199" s="395">
        <f>'A) Base RI'!Z199</f>
        <v>1</v>
      </c>
      <c r="R199" s="387">
        <f t="shared" si="14"/>
        <v>44104452.530000001</v>
      </c>
      <c r="S199" s="428">
        <f>+'A) Base RI'!U199</f>
        <v>61</v>
      </c>
      <c r="T199" s="387">
        <f t="shared" si="15"/>
        <v>40572828.280000001</v>
      </c>
      <c r="U199" s="387">
        <f t="shared" si="16"/>
        <v>723023.81196721317</v>
      </c>
      <c r="V199" s="10">
        <f>+'A) Base RI'!O199</f>
        <v>234150.9</v>
      </c>
      <c r="W199" s="10">
        <f>+'A) Base RI'!P199</f>
        <v>1971826</v>
      </c>
      <c r="X199" s="10">
        <f>+'A) Base RI'!R199</f>
        <v>1483161.4</v>
      </c>
      <c r="Y199" s="387">
        <f t="shared" si="17"/>
        <v>3689138.3</v>
      </c>
      <c r="Z199" s="10">
        <f>+'A) Base RI'!N199</f>
        <v>2270512.4</v>
      </c>
      <c r="AA199" s="10">
        <f>'A) Base RI'!V199</f>
        <v>13306</v>
      </c>
    </row>
    <row r="200" spans="1:27" x14ac:dyDescent="0.25">
      <c r="A200" s="8">
        <f>'A) Base RI'!A200</f>
        <v>5722</v>
      </c>
      <c r="B200" s="32" t="str">
        <f>'A) Base RI'!B200</f>
        <v>Grens</v>
      </c>
      <c r="C200" s="10">
        <f>'A) Base RI'!C200+'A) Base RI'!D200</f>
        <v>1275552.57</v>
      </c>
      <c r="D200" s="10">
        <f>'A) Base RI'!W200</f>
        <v>-6795.66</v>
      </c>
      <c r="E200" s="384">
        <f>'A) Base RI'!X200</f>
        <v>0</v>
      </c>
      <c r="F200" s="384">
        <f>'A) Base RI'!Y200</f>
        <v>-1516.22</v>
      </c>
      <c r="G200" s="387">
        <f t="shared" ref="G200:G263" si="18">SUM(C200:F200)</f>
        <v>1267240.6900000002</v>
      </c>
      <c r="H200" s="10">
        <f>+'A) Base RI'!E200</f>
        <v>0</v>
      </c>
      <c r="I200" s="10">
        <f>+'A) Base RI'!F200</f>
        <v>0</v>
      </c>
      <c r="J200" s="10">
        <f>+'A) Base RI'!G200+'A) Base RI'!H200+'A) Base RI'!S200</f>
        <v>10571.26</v>
      </c>
      <c r="K200" s="10">
        <f>+'A) Base RI'!I200</f>
        <v>0</v>
      </c>
      <c r="L200" s="10">
        <f>+'A) Base RI'!J200</f>
        <v>9244.85</v>
      </c>
      <c r="M200" s="10">
        <f>+'A) Base RI'!K200</f>
        <v>6180.6</v>
      </c>
      <c r="N200" s="10">
        <f>+'A) Base RI'!Q200</f>
        <v>1639.74</v>
      </c>
      <c r="O200" s="10">
        <f t="shared" ref="O200:O263" si="19">(P200/Q200)*1</f>
        <v>88762.05</v>
      </c>
      <c r="P200" s="10">
        <f>+'A) Base RI'!L200</f>
        <v>88762.05</v>
      </c>
      <c r="Q200" s="395">
        <f>'A) Base RI'!Z200</f>
        <v>1</v>
      </c>
      <c r="R200" s="387">
        <f t="shared" ref="R200:R263" si="20">SUM(G200:O200)</f>
        <v>1383639.1900000004</v>
      </c>
      <c r="S200" s="428">
        <f>+'A) Base RI'!U200</f>
        <v>62</v>
      </c>
      <c r="T200" s="387">
        <f t="shared" ref="T200:T263" si="21">(G200+H200+J200+K200+L200+N200)</f>
        <v>1288696.5400000003</v>
      </c>
      <c r="U200" s="387">
        <f t="shared" ref="U200:U263" si="22">R200/S200</f>
        <v>22316.761129032264</v>
      </c>
      <c r="V200" s="10">
        <f>+'A) Base RI'!O200</f>
        <v>0</v>
      </c>
      <c r="W200" s="10">
        <f>+'A) Base RI'!P200</f>
        <v>4746.8999999999996</v>
      </c>
      <c r="X200" s="10">
        <f>+'A) Base RI'!R200</f>
        <v>12177.1</v>
      </c>
      <c r="Y200" s="387">
        <f t="shared" ref="Y200:Y263" si="23">SUM(V200:X200)</f>
        <v>16924</v>
      </c>
      <c r="Z200" s="10">
        <f>+'A) Base RI'!N200</f>
        <v>13044.45</v>
      </c>
      <c r="AA200" s="10">
        <f>'A) Base RI'!V200</f>
        <v>401</v>
      </c>
    </row>
    <row r="201" spans="1:27" x14ac:dyDescent="0.25">
      <c r="A201" s="8">
        <f>'A) Base RI'!A201</f>
        <v>5723</v>
      </c>
      <c r="B201" s="32" t="str">
        <f>'A) Base RI'!B201</f>
        <v>Mies</v>
      </c>
      <c r="C201" s="10">
        <f>'A) Base RI'!C201+'A) Base RI'!D201</f>
        <v>11044054.84</v>
      </c>
      <c r="D201" s="10">
        <f>'A) Base RI'!W201</f>
        <v>-28842.3</v>
      </c>
      <c r="E201" s="384">
        <f>'A) Base RI'!X201</f>
        <v>0</v>
      </c>
      <c r="F201" s="384">
        <f>'A) Base RI'!Y201</f>
        <v>-30381.17</v>
      </c>
      <c r="G201" s="387">
        <f t="shared" si="18"/>
        <v>10984831.369999999</v>
      </c>
      <c r="H201" s="10">
        <f>+'A) Base RI'!E201</f>
        <v>0</v>
      </c>
      <c r="I201" s="10">
        <f>+'A) Base RI'!F201</f>
        <v>0</v>
      </c>
      <c r="J201" s="10">
        <f>+'A) Base RI'!G201+'A) Base RI'!H201+'A) Base RI'!S201</f>
        <v>193137.68</v>
      </c>
      <c r="K201" s="10">
        <f>+'A) Base RI'!I201</f>
        <v>611612.88</v>
      </c>
      <c r="L201" s="10">
        <f>+'A) Base RI'!J201</f>
        <v>69587.520000000004</v>
      </c>
      <c r="M201" s="10">
        <f>+'A) Base RI'!K201</f>
        <v>45951.85</v>
      </c>
      <c r="N201" s="10">
        <f>+'A) Base RI'!Q201</f>
        <v>2133.86</v>
      </c>
      <c r="O201" s="10">
        <f t="shared" si="19"/>
        <v>883436.8</v>
      </c>
      <c r="P201" s="10">
        <f>+'A) Base RI'!L201</f>
        <v>883436.8</v>
      </c>
      <c r="Q201" s="395">
        <f>'A) Base RI'!Z201</f>
        <v>1</v>
      </c>
      <c r="R201" s="387">
        <f t="shared" si="20"/>
        <v>12790691.959999999</v>
      </c>
      <c r="S201" s="428">
        <f>+'A) Base RI'!U201</f>
        <v>52</v>
      </c>
      <c r="T201" s="387">
        <f t="shared" si="21"/>
        <v>11861303.309999999</v>
      </c>
      <c r="U201" s="387">
        <f t="shared" si="22"/>
        <v>245974.84538461536</v>
      </c>
      <c r="V201" s="10">
        <f>+'A) Base RI'!O201</f>
        <v>136241.60000000001</v>
      </c>
      <c r="W201" s="10">
        <f>+'A) Base RI'!P201</f>
        <v>1358053.1</v>
      </c>
      <c r="X201" s="10">
        <f>+'A) Base RI'!R201</f>
        <v>1694542.35</v>
      </c>
      <c r="Y201" s="387">
        <f t="shared" si="23"/>
        <v>3188837.0500000003</v>
      </c>
      <c r="Z201" s="10">
        <f>+'A) Base RI'!N201</f>
        <v>267148.3</v>
      </c>
      <c r="AA201" s="10">
        <f>'A) Base RI'!V201</f>
        <v>2195</v>
      </c>
    </row>
    <row r="202" spans="1:27" x14ac:dyDescent="0.25">
      <c r="A202" s="8">
        <f>'A) Base RI'!A202</f>
        <v>5724</v>
      </c>
      <c r="B202" s="32" t="str">
        <f>'A) Base RI'!B202</f>
        <v>Nyon</v>
      </c>
      <c r="C202" s="10">
        <f>'A) Base RI'!C202+'A) Base RI'!D202</f>
        <v>69940649.179999992</v>
      </c>
      <c r="D202" s="10">
        <f>'A) Base RI'!W202</f>
        <v>-785292.09</v>
      </c>
      <c r="E202" s="384">
        <f>'A) Base RI'!X202</f>
        <v>0</v>
      </c>
      <c r="F202" s="384">
        <f>'A) Base RI'!Y202</f>
        <v>-638722.21</v>
      </c>
      <c r="G202" s="387">
        <f t="shared" si="18"/>
        <v>68516634.879999995</v>
      </c>
      <c r="H202" s="10">
        <f>+'A) Base RI'!E202</f>
        <v>0</v>
      </c>
      <c r="I202" s="10">
        <f>+'A) Base RI'!F202</f>
        <v>0</v>
      </c>
      <c r="J202" s="10">
        <f>+'A) Base RI'!G202+'A) Base RI'!H202+'A) Base RI'!S202</f>
        <v>9397879.6499999985</v>
      </c>
      <c r="K202" s="10">
        <f>+'A) Base RI'!I202</f>
        <v>1696649.13</v>
      </c>
      <c r="L202" s="10">
        <f>+'A) Base RI'!J202</f>
        <v>2858634.74</v>
      </c>
      <c r="M202" s="10">
        <f>+'A) Base RI'!K202</f>
        <v>871263.4</v>
      </c>
      <c r="N202" s="10">
        <f>+'A) Base RI'!Q202</f>
        <v>209728.74</v>
      </c>
      <c r="O202" s="10">
        <f t="shared" si="19"/>
        <v>5623464.5666666664</v>
      </c>
      <c r="P202" s="10">
        <f>+'A) Base RI'!L202</f>
        <v>8435196.8499999996</v>
      </c>
      <c r="Q202" s="395">
        <f>'A) Base RI'!Z202</f>
        <v>1.5</v>
      </c>
      <c r="R202" s="387">
        <f t="shared" si="20"/>
        <v>89174255.106666654</v>
      </c>
      <c r="S202" s="428">
        <f>+'A) Base RI'!U202</f>
        <v>61</v>
      </c>
      <c r="T202" s="387">
        <f t="shared" si="21"/>
        <v>82679527.139999986</v>
      </c>
      <c r="U202" s="387">
        <f t="shared" si="22"/>
        <v>1461873.0345355188</v>
      </c>
      <c r="V202" s="10">
        <f>+'A) Base RI'!O202</f>
        <v>3136048.1</v>
      </c>
      <c r="W202" s="10">
        <f>+'A) Base RI'!P202</f>
        <v>4698565.8</v>
      </c>
      <c r="X202" s="10">
        <f>+'A) Base RI'!R202</f>
        <v>2607909.7000000002</v>
      </c>
      <c r="Y202" s="387">
        <f t="shared" si="23"/>
        <v>10442523.600000001</v>
      </c>
      <c r="Z202" s="10">
        <f>+'A) Base RI'!N202</f>
        <v>5207617.95</v>
      </c>
      <c r="AA202" s="10">
        <f>'A) Base RI'!V202</f>
        <v>22124</v>
      </c>
    </row>
    <row r="203" spans="1:27" x14ac:dyDescent="0.25">
      <c r="A203" s="8">
        <f>'A) Base RI'!A203</f>
        <v>5725</v>
      </c>
      <c r="B203" s="32" t="str">
        <f>'A) Base RI'!B203</f>
        <v>Prangins</v>
      </c>
      <c r="C203" s="10">
        <f>'A) Base RI'!C203+'A) Base RI'!D203</f>
        <v>15971409.260000002</v>
      </c>
      <c r="D203" s="10">
        <f>'A) Base RI'!W203</f>
        <v>-85048.31</v>
      </c>
      <c r="E203" s="384">
        <f>'A) Base RI'!X203</f>
        <v>0</v>
      </c>
      <c r="F203" s="384">
        <f>'A) Base RI'!Y203</f>
        <v>-31517.41</v>
      </c>
      <c r="G203" s="387">
        <f t="shared" si="18"/>
        <v>15854843.540000001</v>
      </c>
      <c r="H203" s="10">
        <f>+'A) Base RI'!E203</f>
        <v>0</v>
      </c>
      <c r="I203" s="10">
        <f>+'A) Base RI'!F203</f>
        <v>0</v>
      </c>
      <c r="J203" s="10">
        <f>+'A) Base RI'!G203+'A) Base RI'!H203+'A) Base RI'!S203</f>
        <v>2088460.38</v>
      </c>
      <c r="K203" s="10">
        <f>+'A) Base RI'!I203</f>
        <v>273222.59999999998</v>
      </c>
      <c r="L203" s="10">
        <f>+'A) Base RI'!J203</f>
        <v>35398.269999999997</v>
      </c>
      <c r="M203" s="10">
        <f>+'A) Base RI'!K203</f>
        <v>72188.800000000003</v>
      </c>
      <c r="N203" s="10">
        <f>+'A) Base RI'!Q203</f>
        <v>9165.94</v>
      </c>
      <c r="O203" s="10">
        <f t="shared" si="19"/>
        <v>1196262.8214285714</v>
      </c>
      <c r="P203" s="10">
        <f>+'A) Base RI'!L203</f>
        <v>1674767.95</v>
      </c>
      <c r="Q203" s="395">
        <f>'A) Base RI'!Z203</f>
        <v>1.4</v>
      </c>
      <c r="R203" s="387">
        <f t="shared" si="20"/>
        <v>19529542.351428576</v>
      </c>
      <c r="S203" s="428">
        <f>+'A) Base RI'!U203</f>
        <v>55</v>
      </c>
      <c r="T203" s="387">
        <f t="shared" si="21"/>
        <v>18261090.730000004</v>
      </c>
      <c r="U203" s="387">
        <f t="shared" si="22"/>
        <v>355082.58820779232</v>
      </c>
      <c r="V203" s="10">
        <f>+'A) Base RI'!O203</f>
        <v>119069.2</v>
      </c>
      <c r="W203" s="10">
        <f>+'A) Base RI'!P203</f>
        <v>745850.1</v>
      </c>
      <c r="X203" s="10">
        <f>+'A) Base RI'!R203</f>
        <v>445664.65</v>
      </c>
      <c r="Y203" s="387">
        <f t="shared" si="23"/>
        <v>1310583.95</v>
      </c>
      <c r="Z203" s="10">
        <f>+'A) Base RI'!N203</f>
        <v>1315566.8999999999</v>
      </c>
      <c r="AA203" s="10">
        <f>'A) Base RI'!V203</f>
        <v>4060</v>
      </c>
    </row>
    <row r="204" spans="1:27" x14ac:dyDescent="0.25">
      <c r="A204" s="8">
        <f>'A) Base RI'!A204</f>
        <v>5726</v>
      </c>
      <c r="B204" s="32" t="str">
        <f>'A) Base RI'!B204</f>
        <v>La Rippe</v>
      </c>
      <c r="C204" s="10">
        <f>'A) Base RI'!C204+'A) Base RI'!D204</f>
        <v>4245197.7</v>
      </c>
      <c r="D204" s="10">
        <f>'A) Base RI'!W204</f>
        <v>-9014.5300000000007</v>
      </c>
      <c r="E204" s="384">
        <f>'A) Base RI'!X204</f>
        <v>0</v>
      </c>
      <c r="F204" s="384">
        <f>'A) Base RI'!Y204</f>
        <v>-11000</v>
      </c>
      <c r="G204" s="387">
        <f t="shared" si="18"/>
        <v>4225183.17</v>
      </c>
      <c r="H204" s="10">
        <f>+'A) Base RI'!E204</f>
        <v>0</v>
      </c>
      <c r="I204" s="10">
        <f>+'A) Base RI'!F204</f>
        <v>0</v>
      </c>
      <c r="J204" s="10">
        <f>+'A) Base RI'!G204+'A) Base RI'!H204+'A) Base RI'!S204</f>
        <v>47254.36</v>
      </c>
      <c r="K204" s="10">
        <f>+'A) Base RI'!I204</f>
        <v>0</v>
      </c>
      <c r="L204" s="10">
        <f>+'A) Base RI'!J204</f>
        <v>-49286.12</v>
      </c>
      <c r="M204" s="10">
        <f>+'A) Base RI'!K204</f>
        <v>6470.65</v>
      </c>
      <c r="N204" s="10">
        <f>+'A) Base RI'!Q204</f>
        <v>0</v>
      </c>
      <c r="O204" s="10">
        <f t="shared" si="19"/>
        <v>273832</v>
      </c>
      <c r="P204" s="10">
        <f>+'A) Base RI'!L204</f>
        <v>273832</v>
      </c>
      <c r="Q204" s="395">
        <f>'A) Base RI'!Z204</f>
        <v>1</v>
      </c>
      <c r="R204" s="387">
        <f t="shared" si="20"/>
        <v>4503454.0600000005</v>
      </c>
      <c r="S204" s="428">
        <f>+'A) Base RI'!U204</f>
        <v>64</v>
      </c>
      <c r="T204" s="387">
        <f t="shared" si="21"/>
        <v>4223151.41</v>
      </c>
      <c r="U204" s="387">
        <f t="shared" si="22"/>
        <v>70366.469687500008</v>
      </c>
      <c r="V204" s="10">
        <f>+'A) Base RI'!O204</f>
        <v>0</v>
      </c>
      <c r="W204" s="10">
        <f>+'A) Base RI'!P204</f>
        <v>244670.95</v>
      </c>
      <c r="X204" s="10">
        <f>+'A) Base RI'!R204</f>
        <v>223588</v>
      </c>
      <c r="Y204" s="387">
        <f t="shared" si="23"/>
        <v>468258.95</v>
      </c>
      <c r="Z204" s="10">
        <f>+'A) Base RI'!N204</f>
        <v>42138.55</v>
      </c>
      <c r="AA204" s="10">
        <f>'A) Base RI'!V204</f>
        <v>1165</v>
      </c>
    </row>
    <row r="205" spans="1:27" x14ac:dyDescent="0.25">
      <c r="A205" s="8">
        <f>'A) Base RI'!A205</f>
        <v>5727</v>
      </c>
      <c r="B205" s="32" t="str">
        <f>'A) Base RI'!B205</f>
        <v>Saint-Cergue</v>
      </c>
      <c r="C205" s="10">
        <f>'A) Base RI'!C205+'A) Base RI'!D205</f>
        <v>6216764.8700000001</v>
      </c>
      <c r="D205" s="10">
        <f>'A) Base RI'!W205</f>
        <v>-131519.56</v>
      </c>
      <c r="E205" s="384">
        <f>'A) Base RI'!X205</f>
        <v>0</v>
      </c>
      <c r="F205" s="384">
        <f>'A) Base RI'!Y205</f>
        <v>-5622.79</v>
      </c>
      <c r="G205" s="387">
        <f t="shared" si="18"/>
        <v>6079622.5200000005</v>
      </c>
      <c r="H205" s="10">
        <f>+'A) Base RI'!E205</f>
        <v>0</v>
      </c>
      <c r="I205" s="10">
        <f>+'A) Base RI'!F205</f>
        <v>0</v>
      </c>
      <c r="J205" s="10">
        <f>+'A) Base RI'!G205+'A) Base RI'!H205+'A) Base RI'!S205</f>
        <v>41775.160000000003</v>
      </c>
      <c r="K205" s="10">
        <f>+'A) Base RI'!I205</f>
        <v>125706.95</v>
      </c>
      <c r="L205" s="10">
        <f>+'A) Base RI'!J205</f>
        <v>172741.08</v>
      </c>
      <c r="M205" s="10">
        <f>+'A) Base RI'!K205</f>
        <v>12866.65</v>
      </c>
      <c r="N205" s="10">
        <f>+'A) Base RI'!Q205</f>
        <v>40135.339999999997</v>
      </c>
      <c r="O205" s="10">
        <f t="shared" si="19"/>
        <v>534590.3666666667</v>
      </c>
      <c r="P205" s="10">
        <f>+'A) Base RI'!L205</f>
        <v>801885.55</v>
      </c>
      <c r="Q205" s="395">
        <f>'A) Base RI'!Z205</f>
        <v>1.5</v>
      </c>
      <c r="R205" s="387">
        <f t="shared" si="20"/>
        <v>7007438.0666666683</v>
      </c>
      <c r="S205" s="428">
        <f>+'A) Base RI'!U205</f>
        <v>66</v>
      </c>
      <c r="T205" s="387">
        <f t="shared" si="21"/>
        <v>6459981.0500000007</v>
      </c>
      <c r="U205" s="387">
        <f t="shared" si="22"/>
        <v>106173.30404040407</v>
      </c>
      <c r="V205" s="10">
        <f>+'A) Base RI'!O205</f>
        <v>198753.2</v>
      </c>
      <c r="W205" s="10">
        <f>+'A) Base RI'!P205</f>
        <v>722230.4</v>
      </c>
      <c r="X205" s="10">
        <f>+'A) Base RI'!R205</f>
        <v>442501.1</v>
      </c>
      <c r="Y205" s="387">
        <f t="shared" si="23"/>
        <v>1363484.7000000002</v>
      </c>
      <c r="Z205" s="10">
        <f>+'A) Base RI'!N205</f>
        <v>182727.2</v>
      </c>
      <c r="AA205" s="10">
        <f>'A) Base RI'!V205</f>
        <v>2755</v>
      </c>
    </row>
    <row r="206" spans="1:27" x14ac:dyDescent="0.25">
      <c r="A206" s="8">
        <f>'A) Base RI'!A206</f>
        <v>5728</v>
      </c>
      <c r="B206" s="32" t="str">
        <f>'A) Base RI'!B206</f>
        <v>Signy-Avenex</v>
      </c>
      <c r="C206" s="10">
        <f>'A) Base RI'!C206+'A) Base RI'!D206</f>
        <v>1987716.1400000001</v>
      </c>
      <c r="D206" s="10">
        <f>'A) Base RI'!W206</f>
        <v>-20737.400000000001</v>
      </c>
      <c r="E206" s="384">
        <f>'A) Base RI'!X206</f>
        <v>0</v>
      </c>
      <c r="F206" s="384">
        <f>'A) Base RI'!Y206</f>
        <v>-442.63</v>
      </c>
      <c r="G206" s="387">
        <f t="shared" si="18"/>
        <v>1966536.1100000003</v>
      </c>
      <c r="H206" s="10">
        <f>+'A) Base RI'!E206</f>
        <v>0</v>
      </c>
      <c r="I206" s="10">
        <f>+'A) Base RI'!F206</f>
        <v>0</v>
      </c>
      <c r="J206" s="10">
        <f>+'A) Base RI'!G206+'A) Base RI'!H206+'A) Base RI'!S206</f>
        <v>917620.89</v>
      </c>
      <c r="K206" s="10">
        <f>+'A) Base RI'!I206</f>
        <v>35307.15</v>
      </c>
      <c r="L206" s="10">
        <f>+'A) Base RI'!J206</f>
        <v>59682.92</v>
      </c>
      <c r="M206" s="10">
        <f>+'A) Base RI'!K206</f>
        <v>56802.45</v>
      </c>
      <c r="N206" s="10">
        <f>+'A) Base RI'!Q206</f>
        <v>0</v>
      </c>
      <c r="O206" s="10">
        <f t="shared" si="19"/>
        <v>239718</v>
      </c>
      <c r="P206" s="10">
        <f>+'A) Base RI'!L206</f>
        <v>239718</v>
      </c>
      <c r="Q206" s="395">
        <f>'A) Base RI'!Z206</f>
        <v>1</v>
      </c>
      <c r="R206" s="387">
        <f t="shared" si="20"/>
        <v>3275667.5200000005</v>
      </c>
      <c r="S206" s="428">
        <f>+'A) Base RI'!U206</f>
        <v>58</v>
      </c>
      <c r="T206" s="387">
        <f t="shared" si="21"/>
        <v>2979147.0700000003</v>
      </c>
      <c r="U206" s="387">
        <f t="shared" si="22"/>
        <v>56477.02620689656</v>
      </c>
      <c r="V206" s="10">
        <f>+'A) Base RI'!O206</f>
        <v>0</v>
      </c>
      <c r="W206" s="10">
        <f>+'A) Base RI'!P206</f>
        <v>155631.04999999999</v>
      </c>
      <c r="X206" s="10">
        <f>+'A) Base RI'!R206</f>
        <v>94214.6</v>
      </c>
      <c r="Y206" s="387">
        <f t="shared" si="23"/>
        <v>249845.65</v>
      </c>
      <c r="Z206" s="10">
        <f>+'A) Base RI'!N206</f>
        <v>172706.65</v>
      </c>
      <c r="AA206" s="10">
        <f>'A) Base RI'!V206</f>
        <v>584</v>
      </c>
    </row>
    <row r="207" spans="1:27" x14ac:dyDescent="0.25">
      <c r="A207" s="8">
        <f>'A) Base RI'!A207</f>
        <v>5729</v>
      </c>
      <c r="B207" s="32" t="str">
        <f>'A) Base RI'!B207</f>
        <v>Tannay</v>
      </c>
      <c r="C207" s="10">
        <f>'A) Base RI'!C207+'A) Base RI'!D207</f>
        <v>8653736.3499999996</v>
      </c>
      <c r="D207" s="10">
        <f>'A) Base RI'!W207</f>
        <v>-56959.65</v>
      </c>
      <c r="E207" s="384">
        <f>'A) Base RI'!X207</f>
        <v>0</v>
      </c>
      <c r="F207" s="384">
        <f>'A) Base RI'!Y207</f>
        <v>-15816.67</v>
      </c>
      <c r="G207" s="387">
        <f t="shared" si="18"/>
        <v>8580960.0299999993</v>
      </c>
      <c r="H207" s="10">
        <f>+'A) Base RI'!E207</f>
        <v>0</v>
      </c>
      <c r="I207" s="10">
        <f>+'A) Base RI'!F207</f>
        <v>0</v>
      </c>
      <c r="J207" s="10">
        <f>+'A) Base RI'!G207+'A) Base RI'!H207+'A) Base RI'!S207</f>
        <v>375298.25</v>
      </c>
      <c r="K207" s="10">
        <f>+'A) Base RI'!I207</f>
        <v>175769.27</v>
      </c>
      <c r="L207" s="10">
        <f>+'A) Base RI'!J207</f>
        <v>44851.68</v>
      </c>
      <c r="M207" s="10">
        <f>+'A) Base RI'!K207</f>
        <v>4623.75</v>
      </c>
      <c r="N207" s="10">
        <f>+'A) Base RI'!Q207</f>
        <v>0</v>
      </c>
      <c r="O207" s="10">
        <f t="shared" si="19"/>
        <v>600623.46666666667</v>
      </c>
      <c r="P207" s="10">
        <f>+'A) Base RI'!L207</f>
        <v>900935.2</v>
      </c>
      <c r="Q207" s="395">
        <f>'A) Base RI'!Z207</f>
        <v>1.5</v>
      </c>
      <c r="R207" s="387">
        <f t="shared" si="20"/>
        <v>9782126.4466666654</v>
      </c>
      <c r="S207" s="428">
        <f>+'A) Base RI'!U207</f>
        <v>60.5</v>
      </c>
      <c r="T207" s="387">
        <f t="shared" si="21"/>
        <v>9176879.2299999986</v>
      </c>
      <c r="U207" s="387">
        <f t="shared" si="22"/>
        <v>161688.04044077132</v>
      </c>
      <c r="V207" s="10">
        <f>+'A) Base RI'!O207</f>
        <v>3761.9</v>
      </c>
      <c r="W207" s="10">
        <f>+'A) Base RI'!P207</f>
        <v>755997.9</v>
      </c>
      <c r="X207" s="10">
        <f>+'A) Base RI'!R207</f>
        <v>494127.3</v>
      </c>
      <c r="Y207" s="387">
        <f t="shared" si="23"/>
        <v>1253887.1000000001</v>
      </c>
      <c r="Z207" s="10">
        <f>+'A) Base RI'!N207</f>
        <v>17196.75</v>
      </c>
      <c r="AA207" s="10">
        <f>'A) Base RI'!V207</f>
        <v>1644</v>
      </c>
    </row>
    <row r="208" spans="1:27" x14ac:dyDescent="0.25">
      <c r="A208" s="8">
        <f>'A) Base RI'!A208</f>
        <v>5730</v>
      </c>
      <c r="B208" s="32" t="str">
        <f>'A) Base RI'!B208</f>
        <v>Trélex</v>
      </c>
      <c r="C208" s="10">
        <f>'A) Base RI'!C208+'A) Base RI'!D208</f>
        <v>6651999.7600000007</v>
      </c>
      <c r="D208" s="10">
        <f>'A) Base RI'!W208</f>
        <v>-63456.639999999999</v>
      </c>
      <c r="E208" s="384">
        <f>'A) Base RI'!X208</f>
        <v>0</v>
      </c>
      <c r="F208" s="384">
        <f>'A) Base RI'!Y208</f>
        <v>-108930.09</v>
      </c>
      <c r="G208" s="387">
        <f t="shared" si="18"/>
        <v>6479613.0300000012</v>
      </c>
      <c r="H208" s="10">
        <f>+'A) Base RI'!E208</f>
        <v>0</v>
      </c>
      <c r="I208" s="10">
        <f>+'A) Base RI'!F208</f>
        <v>0</v>
      </c>
      <c r="J208" s="10">
        <f>+'A) Base RI'!G208+'A) Base RI'!H208+'A) Base RI'!S208</f>
        <v>24311.079999999998</v>
      </c>
      <c r="K208" s="10">
        <f>+'A) Base RI'!I208</f>
        <v>-58921.7</v>
      </c>
      <c r="L208" s="10">
        <f>+'A) Base RI'!J208</f>
        <v>27005.279999999999</v>
      </c>
      <c r="M208" s="10">
        <f>+'A) Base RI'!K208</f>
        <v>7569.7</v>
      </c>
      <c r="N208" s="10">
        <f>+'A) Base RI'!Q208</f>
        <v>1308.8399999999999</v>
      </c>
      <c r="O208" s="10">
        <f t="shared" si="19"/>
        <v>461367.27777777775</v>
      </c>
      <c r="P208" s="10">
        <f>+'A) Base RI'!L208</f>
        <v>415230.55</v>
      </c>
      <c r="Q208" s="395">
        <f>'A) Base RI'!Z208</f>
        <v>0.9</v>
      </c>
      <c r="R208" s="387">
        <f t="shared" si="20"/>
        <v>6942253.5077777794</v>
      </c>
      <c r="S208" s="428">
        <f>+'A) Base RI'!U208</f>
        <v>55.5</v>
      </c>
      <c r="T208" s="387">
        <f t="shared" si="21"/>
        <v>6473316.5300000012</v>
      </c>
      <c r="U208" s="387">
        <f t="shared" si="22"/>
        <v>125085.64878878882</v>
      </c>
      <c r="V208" s="10">
        <f>+'A) Base RI'!O208</f>
        <v>0</v>
      </c>
      <c r="W208" s="10">
        <f>+'A) Base RI'!P208</f>
        <v>487547.55</v>
      </c>
      <c r="X208" s="10">
        <f>+'A) Base RI'!R208</f>
        <v>1066158.05</v>
      </c>
      <c r="Y208" s="387">
        <f t="shared" si="23"/>
        <v>1553705.6</v>
      </c>
      <c r="Z208" s="10">
        <f>+'A) Base RI'!N208</f>
        <v>18029.25</v>
      </c>
      <c r="AA208" s="10">
        <f>'A) Base RI'!V208</f>
        <v>1439</v>
      </c>
    </row>
    <row r="209" spans="1:27" x14ac:dyDescent="0.25">
      <c r="A209" s="8">
        <f>'A) Base RI'!A209</f>
        <v>5731</v>
      </c>
      <c r="B209" s="32" t="str">
        <f>'A) Base RI'!B209</f>
        <v>Le Vaud</v>
      </c>
      <c r="C209" s="10">
        <f>'A) Base RI'!C209+'A) Base RI'!D209</f>
        <v>4823091.34</v>
      </c>
      <c r="D209" s="10">
        <f>'A) Base RI'!W209</f>
        <v>-31223.040000000001</v>
      </c>
      <c r="E209" s="384">
        <f>'A) Base RI'!X209</f>
        <v>0</v>
      </c>
      <c r="F209" s="384">
        <f>'A) Base RI'!Y209</f>
        <v>-1446.61</v>
      </c>
      <c r="G209" s="387">
        <f t="shared" si="18"/>
        <v>4790421.6899999995</v>
      </c>
      <c r="H209" s="10">
        <f>+'A) Base RI'!E209</f>
        <v>0</v>
      </c>
      <c r="I209" s="10">
        <f>+'A) Base RI'!F209</f>
        <v>0</v>
      </c>
      <c r="J209" s="10">
        <f>+'A) Base RI'!G209+'A) Base RI'!H209+'A) Base RI'!S209</f>
        <v>44083.289999999994</v>
      </c>
      <c r="K209" s="10">
        <f>+'A) Base RI'!I209</f>
        <v>0</v>
      </c>
      <c r="L209" s="10">
        <f>+'A) Base RI'!J209</f>
        <v>29711.61</v>
      </c>
      <c r="M209" s="10">
        <f>+'A) Base RI'!K209</f>
        <v>3522</v>
      </c>
      <c r="N209" s="10">
        <f>+'A) Base RI'!Q209</f>
        <v>-2264.94</v>
      </c>
      <c r="O209" s="10">
        <f t="shared" si="19"/>
        <v>284675.73333333334</v>
      </c>
      <c r="P209" s="10">
        <f>+'A) Base RI'!L209</f>
        <v>427013.6</v>
      </c>
      <c r="Q209" s="395">
        <f>'A) Base RI'!Z209</f>
        <v>1.5</v>
      </c>
      <c r="R209" s="387">
        <f t="shared" si="20"/>
        <v>5150149.3833333328</v>
      </c>
      <c r="S209" s="428">
        <f>+'A) Base RI'!U209</f>
        <v>74</v>
      </c>
      <c r="T209" s="387">
        <f t="shared" si="21"/>
        <v>4861951.6499999994</v>
      </c>
      <c r="U209" s="387">
        <f t="shared" si="22"/>
        <v>69596.613288288281</v>
      </c>
      <c r="V209" s="10">
        <f>+'A) Base RI'!O209</f>
        <v>0</v>
      </c>
      <c r="W209" s="10">
        <f>+'A) Base RI'!P209</f>
        <v>156017.20000000001</v>
      </c>
      <c r="X209" s="10">
        <f>+'A) Base RI'!R209</f>
        <v>77501.2</v>
      </c>
      <c r="Y209" s="387">
        <f t="shared" si="23"/>
        <v>233518.40000000002</v>
      </c>
      <c r="Z209" s="10">
        <f>+'A) Base RI'!N209</f>
        <v>62795.199999999997</v>
      </c>
      <c r="AA209" s="10">
        <f>'A) Base RI'!V209</f>
        <v>1387</v>
      </c>
    </row>
    <row r="210" spans="1:27" x14ac:dyDescent="0.25">
      <c r="A210" s="8">
        <f>'A) Base RI'!A210</f>
        <v>5732</v>
      </c>
      <c r="B210" s="32" t="str">
        <f>'A) Base RI'!B210</f>
        <v>Vich</v>
      </c>
      <c r="C210" s="10">
        <f>'A) Base RI'!C210+'A) Base RI'!D210</f>
        <v>4754155.0999999996</v>
      </c>
      <c r="D210" s="10">
        <f>'A) Base RI'!W210</f>
        <v>-28501.95</v>
      </c>
      <c r="E210" s="384">
        <f>'A) Base RI'!X210</f>
        <v>0</v>
      </c>
      <c r="F210" s="384">
        <f>'A) Base RI'!Y210</f>
        <v>-10729.12</v>
      </c>
      <c r="G210" s="387">
        <f t="shared" si="18"/>
        <v>4714924.0299999993</v>
      </c>
      <c r="H210" s="10">
        <f>+'A) Base RI'!E210</f>
        <v>0</v>
      </c>
      <c r="I210" s="10">
        <f>+'A) Base RI'!F210</f>
        <v>0</v>
      </c>
      <c r="J210" s="10">
        <f>+'A) Base RI'!G210+'A) Base RI'!H210+'A) Base RI'!S210</f>
        <v>127437.73000000001</v>
      </c>
      <c r="K210" s="10">
        <f>+'A) Base RI'!I210</f>
        <v>192467.85</v>
      </c>
      <c r="L210" s="10">
        <f>+'A) Base RI'!J210</f>
        <v>24472.84</v>
      </c>
      <c r="M210" s="10">
        <f>+'A) Base RI'!K210</f>
        <v>6779.15</v>
      </c>
      <c r="N210" s="10">
        <f>+'A) Base RI'!Q210</f>
        <v>5102.84</v>
      </c>
      <c r="O210" s="10">
        <f t="shared" si="19"/>
        <v>380711.55</v>
      </c>
      <c r="P210" s="10">
        <f>+'A) Base RI'!L210</f>
        <v>380711.55</v>
      </c>
      <c r="Q210" s="395">
        <f>'A) Base RI'!Z210</f>
        <v>1</v>
      </c>
      <c r="R210" s="387">
        <f t="shared" si="20"/>
        <v>5451895.9899999993</v>
      </c>
      <c r="S210" s="428">
        <f>+'A) Base RI'!U210</f>
        <v>63</v>
      </c>
      <c r="T210" s="387">
        <f t="shared" si="21"/>
        <v>5064405.2899999991</v>
      </c>
      <c r="U210" s="387">
        <f t="shared" si="22"/>
        <v>86538.031587301579</v>
      </c>
      <c r="V210" s="10">
        <f>+'A) Base RI'!O210</f>
        <v>0</v>
      </c>
      <c r="W210" s="10">
        <f>+'A) Base RI'!P210</f>
        <v>143684.9</v>
      </c>
      <c r="X210" s="10">
        <f>+'A) Base RI'!R210</f>
        <v>42977.05</v>
      </c>
      <c r="Y210" s="387">
        <f t="shared" si="23"/>
        <v>186661.95</v>
      </c>
      <c r="Z210" s="10">
        <f>+'A) Base RI'!N210</f>
        <v>129498.6</v>
      </c>
      <c r="AA210" s="10">
        <f>'A) Base RI'!V210</f>
        <v>1157</v>
      </c>
    </row>
    <row r="211" spans="1:27" x14ac:dyDescent="0.25">
      <c r="A211" s="8">
        <f>'A) Base RI'!A211</f>
        <v>5741</v>
      </c>
      <c r="B211" s="32" t="str">
        <f>'A) Base RI'!B211</f>
        <v>L'Abergement</v>
      </c>
      <c r="C211" s="10">
        <f>'A) Base RI'!C211+'A) Base RI'!D211</f>
        <v>679369.6</v>
      </c>
      <c r="D211" s="10">
        <f>'A) Base RI'!W211</f>
        <v>-4207.6899999999996</v>
      </c>
      <c r="E211" s="384">
        <f>'A) Base RI'!X211</f>
        <v>0</v>
      </c>
      <c r="F211" s="384">
        <f>'A) Base RI'!Y211</f>
        <v>0</v>
      </c>
      <c r="G211" s="387">
        <f t="shared" si="18"/>
        <v>675161.91</v>
      </c>
      <c r="H211" s="10">
        <f>+'A) Base RI'!E211</f>
        <v>0</v>
      </c>
      <c r="I211" s="10">
        <f>+'A) Base RI'!F211</f>
        <v>1450</v>
      </c>
      <c r="J211" s="10">
        <f>+'A) Base RI'!G211+'A) Base RI'!H211+'A) Base RI'!S211</f>
        <v>6139.42</v>
      </c>
      <c r="K211" s="10">
        <f>+'A) Base RI'!I211</f>
        <v>0</v>
      </c>
      <c r="L211" s="10">
        <f>+'A) Base RI'!J211</f>
        <v>46.88</v>
      </c>
      <c r="M211" s="10">
        <f>+'A) Base RI'!K211</f>
        <v>0</v>
      </c>
      <c r="N211" s="10">
        <f>+'A) Base RI'!Q211</f>
        <v>3734.14</v>
      </c>
      <c r="O211" s="10">
        <f t="shared" si="19"/>
        <v>41445.291666666664</v>
      </c>
      <c r="P211" s="10">
        <f>+'A) Base RI'!L211</f>
        <v>49734.35</v>
      </c>
      <c r="Q211" s="395">
        <f>'A) Base RI'!Z211</f>
        <v>1.2</v>
      </c>
      <c r="R211" s="387">
        <f t="shared" si="20"/>
        <v>727977.64166666672</v>
      </c>
      <c r="S211" s="428">
        <f>+'A) Base RI'!U211</f>
        <v>81</v>
      </c>
      <c r="T211" s="387">
        <f t="shared" si="21"/>
        <v>685082.35000000009</v>
      </c>
      <c r="U211" s="387">
        <f t="shared" si="22"/>
        <v>8987.3782921810707</v>
      </c>
      <c r="V211" s="10">
        <f>+'A) Base RI'!O211</f>
        <v>1828.8</v>
      </c>
      <c r="W211" s="10">
        <f>+'A) Base RI'!P211</f>
        <v>29084</v>
      </c>
      <c r="X211" s="10">
        <f>+'A) Base RI'!R211</f>
        <v>27959.8</v>
      </c>
      <c r="Y211" s="387">
        <f t="shared" si="23"/>
        <v>58872.6</v>
      </c>
      <c r="Z211" s="10">
        <f>+'A) Base RI'!N211</f>
        <v>6322.15</v>
      </c>
      <c r="AA211" s="10">
        <f>'A) Base RI'!V211</f>
        <v>254</v>
      </c>
    </row>
    <row r="212" spans="1:27" x14ac:dyDescent="0.25">
      <c r="A212" s="8">
        <f>'A) Base RI'!A212</f>
        <v>5742</v>
      </c>
      <c r="B212" s="32" t="str">
        <f>'A) Base RI'!B212</f>
        <v>Agiez</v>
      </c>
      <c r="C212" s="10">
        <f>'A) Base RI'!C212+'A) Base RI'!D212</f>
        <v>680535.80999999994</v>
      </c>
      <c r="D212" s="10">
        <f>'A) Base RI'!W212</f>
        <v>-497.2</v>
      </c>
      <c r="E212" s="384">
        <f>'A) Base RI'!X212</f>
        <v>0</v>
      </c>
      <c r="F212" s="384">
        <f>'A) Base RI'!Y212</f>
        <v>0</v>
      </c>
      <c r="G212" s="387">
        <f t="shared" si="18"/>
        <v>680038.61</v>
      </c>
      <c r="H212" s="10">
        <f>+'A) Base RI'!E212</f>
        <v>0</v>
      </c>
      <c r="I212" s="10">
        <f>+'A) Base RI'!F212</f>
        <v>0</v>
      </c>
      <c r="J212" s="10">
        <f>+'A) Base RI'!G212+'A) Base RI'!H212+'A) Base RI'!S212</f>
        <v>7797.23</v>
      </c>
      <c r="K212" s="10">
        <f>+'A) Base RI'!I212</f>
        <v>0</v>
      </c>
      <c r="L212" s="10">
        <f>+'A) Base RI'!J212</f>
        <v>23813.74</v>
      </c>
      <c r="M212" s="10">
        <f>+'A) Base RI'!K212</f>
        <v>1672.3</v>
      </c>
      <c r="N212" s="10">
        <f>+'A) Base RI'!Q212</f>
        <v>196.51</v>
      </c>
      <c r="O212" s="10">
        <f t="shared" si="19"/>
        <v>58646.9</v>
      </c>
      <c r="P212" s="10">
        <f>+'A) Base RI'!L212</f>
        <v>29323.45</v>
      </c>
      <c r="Q212" s="395">
        <f>'A) Base RI'!Z212</f>
        <v>0.5</v>
      </c>
      <c r="R212" s="387">
        <f t="shared" si="20"/>
        <v>772165.29</v>
      </c>
      <c r="S212" s="428">
        <f>+'A) Base RI'!U212</f>
        <v>76</v>
      </c>
      <c r="T212" s="387">
        <f t="shared" si="21"/>
        <v>711846.09</v>
      </c>
      <c r="U212" s="387">
        <f t="shared" si="22"/>
        <v>10160.069605263159</v>
      </c>
      <c r="V212" s="10">
        <f>+'A) Base RI'!O212</f>
        <v>2632.2</v>
      </c>
      <c r="W212" s="10">
        <f>+'A) Base RI'!P212</f>
        <v>173</v>
      </c>
      <c r="X212" s="10">
        <f>+'A) Base RI'!R212</f>
        <v>0</v>
      </c>
      <c r="Y212" s="387">
        <f t="shared" si="23"/>
        <v>2805.2</v>
      </c>
      <c r="Z212" s="10">
        <f>+'A) Base RI'!N212</f>
        <v>2863.2</v>
      </c>
      <c r="AA212" s="10">
        <f>'A) Base RI'!V212</f>
        <v>375</v>
      </c>
    </row>
    <row r="213" spans="1:27" x14ac:dyDescent="0.25">
      <c r="A213" s="8">
        <f>'A) Base RI'!A213</f>
        <v>5743</v>
      </c>
      <c r="B213" s="32" t="str">
        <f>'A) Base RI'!B213</f>
        <v>Arnex-sur-Orbe</v>
      </c>
      <c r="C213" s="10">
        <f>'A) Base RI'!C213+'A) Base RI'!D213</f>
        <v>1228101.78</v>
      </c>
      <c r="D213" s="10">
        <f>'A) Base RI'!W213</f>
        <v>-9332.67</v>
      </c>
      <c r="E213" s="384">
        <f>'A) Base RI'!X213</f>
        <v>0</v>
      </c>
      <c r="F213" s="384">
        <f>'A) Base RI'!Y213</f>
        <v>-33.47</v>
      </c>
      <c r="G213" s="387">
        <f t="shared" si="18"/>
        <v>1218735.6400000001</v>
      </c>
      <c r="H213" s="10">
        <f>+'A) Base RI'!E213</f>
        <v>0</v>
      </c>
      <c r="I213" s="10">
        <f>+'A) Base RI'!F213</f>
        <v>0</v>
      </c>
      <c r="J213" s="10">
        <f>+'A) Base RI'!G213+'A) Base RI'!H213+'A) Base RI'!S213</f>
        <v>2609.1</v>
      </c>
      <c r="K213" s="10">
        <f>+'A) Base RI'!I213</f>
        <v>0</v>
      </c>
      <c r="L213" s="10">
        <f>+'A) Base RI'!J213</f>
        <v>5680.32</v>
      </c>
      <c r="M213" s="10">
        <f>+'A) Base RI'!K213</f>
        <v>0</v>
      </c>
      <c r="N213" s="10">
        <f>+'A) Base RI'!Q213</f>
        <v>1118.93</v>
      </c>
      <c r="O213" s="10">
        <f t="shared" si="19"/>
        <v>87707.374999999985</v>
      </c>
      <c r="P213" s="10">
        <f>+'A) Base RI'!L213</f>
        <v>70165.899999999994</v>
      </c>
      <c r="Q213" s="395">
        <f>'A) Base RI'!Z213</f>
        <v>0.8</v>
      </c>
      <c r="R213" s="387">
        <f t="shared" si="20"/>
        <v>1315851.3650000002</v>
      </c>
      <c r="S213" s="428">
        <f>+'A) Base RI'!U213</f>
        <v>71</v>
      </c>
      <c r="T213" s="387">
        <f t="shared" si="21"/>
        <v>1228143.9900000002</v>
      </c>
      <c r="U213" s="387">
        <f t="shared" si="22"/>
        <v>18533.117816901413</v>
      </c>
      <c r="V213" s="10">
        <f>+'A) Base RI'!O213</f>
        <v>15172.7</v>
      </c>
      <c r="W213" s="10">
        <f>+'A) Base RI'!P213</f>
        <v>37230.65</v>
      </c>
      <c r="X213" s="10">
        <f>+'A) Base RI'!R213</f>
        <v>29535.65</v>
      </c>
      <c r="Y213" s="387">
        <f t="shared" si="23"/>
        <v>81939</v>
      </c>
      <c r="Z213" s="10">
        <f>+'A) Base RI'!N213</f>
        <v>20766.900000000001</v>
      </c>
      <c r="AA213" s="10">
        <f>'A) Base RI'!V213</f>
        <v>665</v>
      </c>
    </row>
    <row r="214" spans="1:27" x14ac:dyDescent="0.25">
      <c r="A214" s="8">
        <f>'A) Base RI'!A214</f>
        <v>5744</v>
      </c>
      <c r="B214" s="32" t="str">
        <f>'A) Base RI'!B214</f>
        <v>Ballaigues</v>
      </c>
      <c r="C214" s="10">
        <f>'A) Base RI'!C214+'A) Base RI'!D214</f>
        <v>1566495.73</v>
      </c>
      <c r="D214" s="10">
        <f>'A) Base RI'!W214</f>
        <v>-31713.72</v>
      </c>
      <c r="E214" s="384">
        <f>'A) Base RI'!X214</f>
        <v>0</v>
      </c>
      <c r="F214" s="384">
        <f>'A) Base RI'!Y214</f>
        <v>-2366.9499999999998</v>
      </c>
      <c r="G214" s="387">
        <f t="shared" si="18"/>
        <v>1532415.06</v>
      </c>
      <c r="H214" s="10">
        <f>+'A) Base RI'!E214</f>
        <v>0</v>
      </c>
      <c r="I214" s="10">
        <f>+'A) Base RI'!F214</f>
        <v>0</v>
      </c>
      <c r="J214" s="10">
        <f>+'A) Base RI'!G214+'A) Base RI'!H214+'A) Base RI'!S214</f>
        <v>1359808.27</v>
      </c>
      <c r="K214" s="10">
        <f>+'A) Base RI'!I214</f>
        <v>0</v>
      </c>
      <c r="L214" s="10">
        <f>+'A) Base RI'!J214</f>
        <v>112176.62</v>
      </c>
      <c r="M214" s="10">
        <f>+'A) Base RI'!K214</f>
        <v>0</v>
      </c>
      <c r="N214" s="10">
        <f>+'A) Base RI'!Q214</f>
        <v>5587.23</v>
      </c>
      <c r="O214" s="10">
        <f t="shared" si="19"/>
        <v>190954.7</v>
      </c>
      <c r="P214" s="10">
        <f>+'A) Base RI'!L214</f>
        <v>190954.7</v>
      </c>
      <c r="Q214" s="395">
        <f>'A) Base RI'!Z214</f>
        <v>1</v>
      </c>
      <c r="R214" s="387">
        <f t="shared" si="20"/>
        <v>3200941.8800000004</v>
      </c>
      <c r="S214" s="428">
        <f>+'A) Base RI'!U214</f>
        <v>65</v>
      </c>
      <c r="T214" s="387">
        <f t="shared" si="21"/>
        <v>3009987.18</v>
      </c>
      <c r="U214" s="387">
        <f t="shared" si="22"/>
        <v>49245.2596923077</v>
      </c>
      <c r="V214" s="10">
        <f>+'A) Base RI'!O214</f>
        <v>3917.3</v>
      </c>
      <c r="W214" s="10">
        <f>+'A) Base RI'!P214</f>
        <v>62469</v>
      </c>
      <c r="X214" s="10">
        <f>+'A) Base RI'!R214</f>
        <v>13951.55</v>
      </c>
      <c r="Y214" s="387">
        <f t="shared" si="23"/>
        <v>80337.850000000006</v>
      </c>
      <c r="Z214" s="10">
        <f>+'A) Base RI'!N214</f>
        <v>1852198.25</v>
      </c>
      <c r="AA214" s="10">
        <f>'A) Base RI'!V214</f>
        <v>1173</v>
      </c>
    </row>
    <row r="215" spans="1:27" x14ac:dyDescent="0.25">
      <c r="A215" s="8">
        <f>'A) Base RI'!A215</f>
        <v>5745</v>
      </c>
      <c r="B215" s="32" t="str">
        <f>'A) Base RI'!B215</f>
        <v>Baulmes</v>
      </c>
      <c r="C215" s="10">
        <f>'A) Base RI'!C215+'A) Base RI'!D215</f>
        <v>1953163.02</v>
      </c>
      <c r="D215" s="10">
        <f>'A) Base RI'!W215</f>
        <v>-21357.94</v>
      </c>
      <c r="E215" s="384">
        <f>'A) Base RI'!X215</f>
        <v>0</v>
      </c>
      <c r="F215" s="384">
        <f>'A) Base RI'!Y215</f>
        <v>-0.36</v>
      </c>
      <c r="G215" s="387">
        <f t="shared" si="18"/>
        <v>1931804.72</v>
      </c>
      <c r="H215" s="10">
        <f>+'A) Base RI'!E215</f>
        <v>0</v>
      </c>
      <c r="I215" s="10">
        <f>+'A) Base RI'!F215</f>
        <v>0</v>
      </c>
      <c r="J215" s="10">
        <f>+'A) Base RI'!G215+'A) Base RI'!H215+'A) Base RI'!S215</f>
        <v>58731.81</v>
      </c>
      <c r="K215" s="10">
        <f>+'A) Base RI'!I215</f>
        <v>0</v>
      </c>
      <c r="L215" s="10">
        <f>+'A) Base RI'!J215</f>
        <v>41801.14</v>
      </c>
      <c r="M215" s="10">
        <f>+'A) Base RI'!K215</f>
        <v>0</v>
      </c>
      <c r="N215" s="10">
        <f>+'A) Base RI'!Q215</f>
        <v>0</v>
      </c>
      <c r="O215" s="10">
        <f t="shared" si="19"/>
        <v>145737.60000000001</v>
      </c>
      <c r="P215" s="10">
        <f>+'A) Base RI'!L215</f>
        <v>145737.60000000001</v>
      </c>
      <c r="Q215" s="395">
        <f>'A) Base RI'!Z215</f>
        <v>1</v>
      </c>
      <c r="R215" s="387">
        <f t="shared" si="20"/>
        <v>2178075.27</v>
      </c>
      <c r="S215" s="428">
        <f>+'A) Base RI'!U215</f>
        <v>76.5</v>
      </c>
      <c r="T215" s="387">
        <f t="shared" si="21"/>
        <v>2032337.67</v>
      </c>
      <c r="U215" s="387">
        <f t="shared" si="22"/>
        <v>28471.572156862745</v>
      </c>
      <c r="V215" s="10">
        <f>+'A) Base RI'!O215</f>
        <v>0</v>
      </c>
      <c r="W215" s="10">
        <f>+'A) Base RI'!P215</f>
        <v>93065.55</v>
      </c>
      <c r="X215" s="10">
        <f>+'A) Base RI'!R215</f>
        <v>129476.2</v>
      </c>
      <c r="Y215" s="387">
        <f t="shared" si="23"/>
        <v>222541.75</v>
      </c>
      <c r="Z215" s="10">
        <f>+'A) Base RI'!N215</f>
        <v>195912.2</v>
      </c>
      <c r="AA215" s="10">
        <f>'A) Base RI'!V215</f>
        <v>1126</v>
      </c>
    </row>
    <row r="216" spans="1:27" x14ac:dyDescent="0.25">
      <c r="A216" s="8">
        <f>'A) Base RI'!A216</f>
        <v>5746</v>
      </c>
      <c r="B216" s="32" t="str">
        <f>'A) Base RI'!B216</f>
        <v>Bavois</v>
      </c>
      <c r="C216" s="10">
        <f>'A) Base RI'!C216+'A) Base RI'!D216</f>
        <v>1867482.66</v>
      </c>
      <c r="D216" s="10">
        <f>'A) Base RI'!W216</f>
        <v>-31885.16</v>
      </c>
      <c r="E216" s="384">
        <f>'A) Base RI'!X216</f>
        <v>-8895.35</v>
      </c>
      <c r="F216" s="384">
        <f>'A) Base RI'!Y216</f>
        <v>-158.13</v>
      </c>
      <c r="G216" s="387">
        <f t="shared" si="18"/>
        <v>1826544.02</v>
      </c>
      <c r="H216" s="10">
        <f>+'A) Base RI'!E216</f>
        <v>0</v>
      </c>
      <c r="I216" s="10">
        <f>+'A) Base RI'!F216</f>
        <v>0</v>
      </c>
      <c r="J216" s="10">
        <f>+'A) Base RI'!G216+'A) Base RI'!H216+'A) Base RI'!S216</f>
        <v>-42057.599999999999</v>
      </c>
      <c r="K216" s="10">
        <f>+'A) Base RI'!I216</f>
        <v>0</v>
      </c>
      <c r="L216" s="10">
        <f>+'A) Base RI'!J216</f>
        <v>10301.08</v>
      </c>
      <c r="M216" s="10">
        <f>+'A) Base RI'!K216</f>
        <v>19594.75</v>
      </c>
      <c r="N216" s="10">
        <f>+'A) Base RI'!Q216</f>
        <v>2409.41</v>
      </c>
      <c r="O216" s="10">
        <f t="shared" si="19"/>
        <v>184001.45833333334</v>
      </c>
      <c r="P216" s="10">
        <f>+'A) Base RI'!L216</f>
        <v>220801.75</v>
      </c>
      <c r="Q216" s="395">
        <f>'A) Base RI'!Z216</f>
        <v>1.2</v>
      </c>
      <c r="R216" s="387">
        <f t="shared" si="20"/>
        <v>2000793.1183333332</v>
      </c>
      <c r="S216" s="428">
        <f>+'A) Base RI'!U216</f>
        <v>73</v>
      </c>
      <c r="T216" s="387">
        <f t="shared" si="21"/>
        <v>1797196.91</v>
      </c>
      <c r="U216" s="387">
        <f t="shared" si="22"/>
        <v>27408.124908675796</v>
      </c>
      <c r="V216" s="10">
        <f>+'A) Base RI'!O216</f>
        <v>14077.5</v>
      </c>
      <c r="W216" s="10">
        <f>+'A) Base RI'!P216</f>
        <v>197365.65</v>
      </c>
      <c r="X216" s="10">
        <f>+'A) Base RI'!R216</f>
        <v>123899.5</v>
      </c>
      <c r="Y216" s="387">
        <f t="shared" si="23"/>
        <v>335342.65000000002</v>
      </c>
      <c r="Z216" s="10">
        <f>+'A) Base RI'!N216</f>
        <v>7548.4</v>
      </c>
      <c r="AA216" s="10">
        <f>'A) Base RI'!V216</f>
        <v>978</v>
      </c>
    </row>
    <row r="217" spans="1:27" x14ac:dyDescent="0.25">
      <c r="A217" s="8">
        <f>'A) Base RI'!A217</f>
        <v>5747</v>
      </c>
      <c r="B217" s="32" t="str">
        <f>'A) Base RI'!B217</f>
        <v>Bofflens</v>
      </c>
      <c r="C217" s="10">
        <f>'A) Base RI'!C217+'A) Base RI'!D217</f>
        <v>362645.99</v>
      </c>
      <c r="D217" s="10">
        <f>'A) Base RI'!W217</f>
        <v>-9742.43</v>
      </c>
      <c r="E217" s="384">
        <f>'A) Base RI'!X217</f>
        <v>0</v>
      </c>
      <c r="F217" s="384">
        <f>'A) Base RI'!Y217</f>
        <v>0</v>
      </c>
      <c r="G217" s="387">
        <f t="shared" si="18"/>
        <v>352903.56</v>
      </c>
      <c r="H217" s="10">
        <f>+'A) Base RI'!E217</f>
        <v>0</v>
      </c>
      <c r="I217" s="10">
        <f>+'A) Base RI'!F217</f>
        <v>0</v>
      </c>
      <c r="J217" s="10">
        <f>+'A) Base RI'!G217+'A) Base RI'!H217+'A) Base RI'!S217</f>
        <v>7003.31</v>
      </c>
      <c r="K217" s="10">
        <f>+'A) Base RI'!I217</f>
        <v>0</v>
      </c>
      <c r="L217" s="10">
        <f>+'A) Base RI'!J217</f>
        <v>4478.57</v>
      </c>
      <c r="M217" s="10">
        <f>+'A) Base RI'!K217</f>
        <v>0</v>
      </c>
      <c r="N217" s="10">
        <f>+'A) Base RI'!Q217</f>
        <v>3859.6</v>
      </c>
      <c r="O217" s="10">
        <f t="shared" si="19"/>
        <v>32519.1</v>
      </c>
      <c r="P217" s="10">
        <f>+'A) Base RI'!L217</f>
        <v>32519.1</v>
      </c>
      <c r="Q217" s="395">
        <f>'A) Base RI'!Z217</f>
        <v>1</v>
      </c>
      <c r="R217" s="387">
        <f t="shared" si="20"/>
        <v>400764.13999999996</v>
      </c>
      <c r="S217" s="428">
        <f>+'A) Base RI'!U217</f>
        <v>69</v>
      </c>
      <c r="T217" s="387">
        <f t="shared" si="21"/>
        <v>368245.04</v>
      </c>
      <c r="U217" s="387">
        <f t="shared" si="22"/>
        <v>5808.1759420289845</v>
      </c>
      <c r="V217" s="10">
        <f>+'A) Base RI'!O217</f>
        <v>0</v>
      </c>
      <c r="W217" s="10">
        <f>+'A) Base RI'!P217</f>
        <v>0</v>
      </c>
      <c r="X217" s="10">
        <f>+'A) Base RI'!R217</f>
        <v>0</v>
      </c>
      <c r="Y217" s="387">
        <f t="shared" si="23"/>
        <v>0</v>
      </c>
      <c r="Z217" s="10">
        <f>+'A) Base RI'!N217</f>
        <v>602.6</v>
      </c>
      <c r="AA217" s="10">
        <f>'A) Base RI'!V217</f>
        <v>206</v>
      </c>
    </row>
    <row r="218" spans="1:27" x14ac:dyDescent="0.25">
      <c r="A218" s="8">
        <f>'A) Base RI'!A218</f>
        <v>5748</v>
      </c>
      <c r="B218" s="32" t="str">
        <f>'A) Base RI'!B218</f>
        <v>Bretonnières</v>
      </c>
      <c r="C218" s="10">
        <f>'A) Base RI'!C218+'A) Base RI'!D218</f>
        <v>402982.5</v>
      </c>
      <c r="D218" s="10">
        <f>'A) Base RI'!W218</f>
        <v>-4594.04</v>
      </c>
      <c r="E218" s="384">
        <f>'A) Base RI'!X218</f>
        <v>0</v>
      </c>
      <c r="F218" s="384">
        <f>'A) Base RI'!Y218</f>
        <v>0</v>
      </c>
      <c r="G218" s="387">
        <f t="shared" si="18"/>
        <v>398388.46</v>
      </c>
      <c r="H218" s="10">
        <f>+'A) Base RI'!E218</f>
        <v>0</v>
      </c>
      <c r="I218" s="10">
        <f>+'A) Base RI'!F218</f>
        <v>2050</v>
      </c>
      <c r="J218" s="10">
        <f>+'A) Base RI'!G218+'A) Base RI'!H218+'A) Base RI'!S218</f>
        <v>11308.570000000002</v>
      </c>
      <c r="K218" s="10">
        <f>+'A) Base RI'!I218</f>
        <v>0</v>
      </c>
      <c r="L218" s="10">
        <f>+'A) Base RI'!J218</f>
        <v>1492.63</v>
      </c>
      <c r="M218" s="10">
        <f>+'A) Base RI'!K218</f>
        <v>0</v>
      </c>
      <c r="N218" s="10">
        <f>+'A) Base RI'!Q218</f>
        <v>18094.89</v>
      </c>
      <c r="O218" s="10">
        <f t="shared" si="19"/>
        <v>37040.333333333336</v>
      </c>
      <c r="P218" s="10">
        <f>+'A) Base RI'!L218</f>
        <v>22224.2</v>
      </c>
      <c r="Q218" s="395">
        <f>'A) Base RI'!Z218</f>
        <v>0.6</v>
      </c>
      <c r="R218" s="387">
        <f t="shared" si="20"/>
        <v>468374.88333333336</v>
      </c>
      <c r="S218" s="428">
        <f>+'A) Base RI'!U218</f>
        <v>70.5</v>
      </c>
      <c r="T218" s="387">
        <f t="shared" si="21"/>
        <v>429284.55000000005</v>
      </c>
      <c r="U218" s="387">
        <f t="shared" si="22"/>
        <v>6643.6153664302601</v>
      </c>
      <c r="V218" s="10">
        <f>+'A) Base RI'!O218</f>
        <v>858</v>
      </c>
      <c r="W218" s="10">
        <f>+'A) Base RI'!P218</f>
        <v>13978.25</v>
      </c>
      <c r="X218" s="10">
        <f>+'A) Base RI'!R218</f>
        <v>18819.45</v>
      </c>
      <c r="Y218" s="387">
        <f t="shared" si="23"/>
        <v>33655.699999999997</v>
      </c>
      <c r="Z218" s="10">
        <f>+'A) Base RI'!N218</f>
        <v>197.7</v>
      </c>
      <c r="AA218" s="10">
        <f>'A) Base RI'!V218</f>
        <v>266</v>
      </c>
    </row>
    <row r="219" spans="1:27" x14ac:dyDescent="0.25">
      <c r="A219" s="8">
        <f>'A) Base RI'!A219</f>
        <v>5749</v>
      </c>
      <c r="B219" s="32" t="str">
        <f>'A) Base RI'!B219</f>
        <v>Chavornay</v>
      </c>
      <c r="C219" s="10">
        <f>'A) Base RI'!C219+'A) Base RI'!D219</f>
        <v>9398455.8599999994</v>
      </c>
      <c r="D219" s="10">
        <f>'A) Base RI'!W219</f>
        <v>-291029.56</v>
      </c>
      <c r="E219" s="384">
        <f>'A) Base RI'!X219</f>
        <v>0</v>
      </c>
      <c r="F219" s="384">
        <f>'A) Base RI'!Y219</f>
        <v>-2172.1</v>
      </c>
      <c r="G219" s="387">
        <f t="shared" si="18"/>
        <v>9105254.1999999993</v>
      </c>
      <c r="H219" s="10">
        <f>+'A) Base RI'!E219</f>
        <v>0</v>
      </c>
      <c r="I219" s="10">
        <f>+'A) Base RI'!F219</f>
        <v>0</v>
      </c>
      <c r="J219" s="10">
        <f>+'A) Base RI'!G219+'A) Base RI'!H219+'A) Base RI'!S219</f>
        <v>438780.97000000003</v>
      </c>
      <c r="K219" s="10">
        <f>+'A) Base RI'!I219</f>
        <v>0</v>
      </c>
      <c r="L219" s="10">
        <f>+'A) Base RI'!J219</f>
        <v>232464.93</v>
      </c>
      <c r="M219" s="10">
        <f>+'A) Base RI'!K219</f>
        <v>80561.05</v>
      </c>
      <c r="N219" s="10">
        <f>+'A) Base RI'!Q219</f>
        <v>83293.89</v>
      </c>
      <c r="O219" s="10">
        <f t="shared" si="19"/>
        <v>870017.45</v>
      </c>
      <c r="P219" s="10">
        <f>+'A) Base RI'!L219</f>
        <v>870017.45</v>
      </c>
      <c r="Q219" s="395">
        <f>'A) Base RI'!Z219</f>
        <v>1</v>
      </c>
      <c r="R219" s="387">
        <f t="shared" si="20"/>
        <v>10810372.49</v>
      </c>
      <c r="S219" s="428">
        <f>+'A) Base RI'!U219</f>
        <v>70.5</v>
      </c>
      <c r="T219" s="387">
        <f t="shared" si="21"/>
        <v>9859793.9900000002</v>
      </c>
      <c r="U219" s="387">
        <f t="shared" si="22"/>
        <v>153338.61687943264</v>
      </c>
      <c r="V219" s="10">
        <f>+'A) Base RI'!O219</f>
        <v>44456.6</v>
      </c>
      <c r="W219" s="10">
        <f>+'A) Base RI'!P219</f>
        <v>271360.95</v>
      </c>
      <c r="X219" s="10">
        <f>+'A) Base RI'!R219</f>
        <v>189345.6</v>
      </c>
      <c r="Y219" s="387">
        <f t="shared" si="23"/>
        <v>505163.15</v>
      </c>
      <c r="Z219" s="10">
        <f>+'A) Base RI'!N219</f>
        <v>744756.9</v>
      </c>
      <c r="AA219" s="10">
        <f>'A) Base RI'!V219</f>
        <v>5366</v>
      </c>
    </row>
    <row r="220" spans="1:27" x14ac:dyDescent="0.25">
      <c r="A220" s="8">
        <f>'A) Base RI'!A220</f>
        <v>5750</v>
      </c>
      <c r="B220" s="32" t="str">
        <f>'A) Base RI'!B220</f>
        <v>Les Clées</v>
      </c>
      <c r="C220" s="10">
        <f>'A) Base RI'!C220+'A) Base RI'!D220</f>
        <v>358179.04000000004</v>
      </c>
      <c r="D220" s="10">
        <f>'A) Base RI'!W220</f>
        <v>-3727.83</v>
      </c>
      <c r="E220" s="384">
        <f>'A) Base RI'!X220</f>
        <v>0</v>
      </c>
      <c r="F220" s="384">
        <f>'A) Base RI'!Y220</f>
        <v>-524.70000000000005</v>
      </c>
      <c r="G220" s="387">
        <f t="shared" si="18"/>
        <v>353926.51</v>
      </c>
      <c r="H220" s="10">
        <f>+'A) Base RI'!E220</f>
        <v>0</v>
      </c>
      <c r="I220" s="10">
        <f>+'A) Base RI'!F220</f>
        <v>1120</v>
      </c>
      <c r="J220" s="10">
        <f>+'A) Base RI'!G220+'A) Base RI'!H220+'A) Base RI'!S220</f>
        <v>438.96000000000004</v>
      </c>
      <c r="K220" s="10">
        <f>+'A) Base RI'!I220</f>
        <v>0</v>
      </c>
      <c r="L220" s="10">
        <f>+'A) Base RI'!J220</f>
        <v>5624.75</v>
      </c>
      <c r="M220" s="10">
        <f>+'A) Base RI'!K220</f>
        <v>4.4000000000000004</v>
      </c>
      <c r="N220" s="10">
        <f>+'A) Base RI'!Q220</f>
        <v>2161.48</v>
      </c>
      <c r="O220" s="10">
        <f t="shared" si="19"/>
        <v>22305.833333333336</v>
      </c>
      <c r="P220" s="10">
        <f>+'A) Base RI'!L220</f>
        <v>13383.5</v>
      </c>
      <c r="Q220" s="395">
        <f>'A) Base RI'!Z220</f>
        <v>0.6</v>
      </c>
      <c r="R220" s="387">
        <f t="shared" si="20"/>
        <v>385581.93333333335</v>
      </c>
      <c r="S220" s="428">
        <f>+'A) Base RI'!U220</f>
        <v>80</v>
      </c>
      <c r="T220" s="387">
        <f t="shared" si="21"/>
        <v>362151.7</v>
      </c>
      <c r="U220" s="387">
        <f t="shared" si="22"/>
        <v>4819.774166666667</v>
      </c>
      <c r="V220" s="10">
        <f>+'A) Base RI'!O220</f>
        <v>0</v>
      </c>
      <c r="W220" s="10">
        <f>+'A) Base RI'!P220</f>
        <v>13695</v>
      </c>
      <c r="X220" s="10">
        <f>+'A) Base RI'!R220</f>
        <v>28417.7</v>
      </c>
      <c r="Y220" s="387">
        <f t="shared" si="23"/>
        <v>42112.7</v>
      </c>
      <c r="Z220" s="10">
        <f>+'A) Base RI'!N220</f>
        <v>5002.05</v>
      </c>
      <c r="AA220" s="10">
        <f>'A) Base RI'!V220</f>
        <v>182</v>
      </c>
    </row>
    <row r="221" spans="1:27" x14ac:dyDescent="0.25">
      <c r="A221" s="8">
        <f>'A) Base RI'!A221</f>
        <v>5752</v>
      </c>
      <c r="B221" s="32" t="str">
        <f>'A) Base RI'!B221</f>
        <v>Croy</v>
      </c>
      <c r="C221" s="10">
        <f>'A) Base RI'!C221+'A) Base RI'!D221</f>
        <v>677093.72</v>
      </c>
      <c r="D221" s="10">
        <f>'A) Base RI'!W221</f>
        <v>-35190.639999999999</v>
      </c>
      <c r="E221" s="384">
        <f>'A) Base RI'!X221</f>
        <v>0</v>
      </c>
      <c r="F221" s="384">
        <f>'A) Base RI'!Y221</f>
        <v>0</v>
      </c>
      <c r="G221" s="387">
        <f t="shared" si="18"/>
        <v>641903.07999999996</v>
      </c>
      <c r="H221" s="10">
        <f>+'A) Base RI'!E221</f>
        <v>0</v>
      </c>
      <c r="I221" s="10">
        <f>+'A) Base RI'!F221</f>
        <v>0</v>
      </c>
      <c r="J221" s="10">
        <f>+'A) Base RI'!G221+'A) Base RI'!H221+'A) Base RI'!S221</f>
        <v>4301.6400000000003</v>
      </c>
      <c r="K221" s="10">
        <f>+'A) Base RI'!I221</f>
        <v>0</v>
      </c>
      <c r="L221" s="10">
        <f>+'A) Base RI'!J221</f>
        <v>6413.67</v>
      </c>
      <c r="M221" s="10">
        <f>+'A) Base RI'!K221</f>
        <v>833.4</v>
      </c>
      <c r="N221" s="10">
        <f>+'A) Base RI'!Q221</f>
        <v>751</v>
      </c>
      <c r="O221" s="10">
        <f t="shared" si="19"/>
        <v>61450.857142857145</v>
      </c>
      <c r="P221" s="10">
        <f>+'A) Base RI'!L221</f>
        <v>43015.6</v>
      </c>
      <c r="Q221" s="395">
        <f>'A) Base RI'!Z221</f>
        <v>0.7</v>
      </c>
      <c r="R221" s="387">
        <f t="shared" si="20"/>
        <v>715653.6471428572</v>
      </c>
      <c r="S221" s="428">
        <f>+'A) Base RI'!U221</f>
        <v>74</v>
      </c>
      <c r="T221" s="387">
        <f t="shared" si="21"/>
        <v>653369.39</v>
      </c>
      <c r="U221" s="387">
        <f t="shared" si="22"/>
        <v>9670.9952316602321</v>
      </c>
      <c r="V221" s="10">
        <f>+'A) Base RI'!O221</f>
        <v>18.3</v>
      </c>
      <c r="W221" s="10">
        <f>+'A) Base RI'!P221</f>
        <v>8360</v>
      </c>
      <c r="X221" s="10">
        <f>+'A) Base RI'!R221</f>
        <v>11980.3</v>
      </c>
      <c r="Y221" s="387">
        <f t="shared" si="23"/>
        <v>20358.599999999999</v>
      </c>
      <c r="Z221" s="10">
        <f>+'A) Base RI'!N221</f>
        <v>30061.4</v>
      </c>
      <c r="AA221" s="10">
        <f>'A) Base RI'!V221</f>
        <v>390</v>
      </c>
    </row>
    <row r="222" spans="1:27" x14ac:dyDescent="0.25">
      <c r="A222" s="8">
        <f>'A) Base RI'!A222</f>
        <v>5754</v>
      </c>
      <c r="B222" s="32" t="str">
        <f>'A) Base RI'!B222</f>
        <v>Juriens</v>
      </c>
      <c r="C222" s="10">
        <f>'A) Base RI'!C222+'A) Base RI'!D222</f>
        <v>660188.09</v>
      </c>
      <c r="D222" s="10">
        <f>'A) Base RI'!W222</f>
        <v>-259.32</v>
      </c>
      <c r="E222" s="384">
        <f>'A) Base RI'!X222</f>
        <v>0</v>
      </c>
      <c r="F222" s="384">
        <f>'A) Base RI'!Y222</f>
        <v>0</v>
      </c>
      <c r="G222" s="387">
        <f t="shared" si="18"/>
        <v>659928.77</v>
      </c>
      <c r="H222" s="10">
        <f>+'A) Base RI'!E222</f>
        <v>0</v>
      </c>
      <c r="I222" s="10">
        <f>+'A) Base RI'!F222</f>
        <v>0</v>
      </c>
      <c r="J222" s="10">
        <f>+'A) Base RI'!G222+'A) Base RI'!H222+'A) Base RI'!S222</f>
        <v>4562.2</v>
      </c>
      <c r="K222" s="10">
        <f>+'A) Base RI'!I222</f>
        <v>0</v>
      </c>
      <c r="L222" s="10">
        <f>+'A) Base RI'!J222</f>
        <v>5914.62</v>
      </c>
      <c r="M222" s="10">
        <f>+'A) Base RI'!K222</f>
        <v>1588.5</v>
      </c>
      <c r="N222" s="10">
        <f>+'A) Base RI'!Q222</f>
        <v>789.6</v>
      </c>
      <c r="O222" s="10">
        <f t="shared" si="19"/>
        <v>44038.1</v>
      </c>
      <c r="P222" s="10">
        <f>+'A) Base RI'!L222</f>
        <v>44038.1</v>
      </c>
      <c r="Q222" s="395">
        <f>'A) Base RI'!Z222</f>
        <v>1</v>
      </c>
      <c r="R222" s="387">
        <f t="shared" si="20"/>
        <v>716821.78999999992</v>
      </c>
      <c r="S222" s="428">
        <f>+'A) Base RI'!U222</f>
        <v>79</v>
      </c>
      <c r="T222" s="387">
        <f t="shared" si="21"/>
        <v>671195.19</v>
      </c>
      <c r="U222" s="387">
        <f t="shared" si="22"/>
        <v>9073.6935443037964</v>
      </c>
      <c r="V222" s="10">
        <f>+'A) Base RI'!O222</f>
        <v>24984</v>
      </c>
      <c r="W222" s="10">
        <f>+'A) Base RI'!P222</f>
        <v>35200</v>
      </c>
      <c r="X222" s="10">
        <f>+'A) Base RI'!R222</f>
        <v>66840.149999999994</v>
      </c>
      <c r="Y222" s="387">
        <f t="shared" si="23"/>
        <v>127024.15</v>
      </c>
      <c r="Z222" s="10">
        <f>+'A) Base RI'!N222</f>
        <v>5292.65</v>
      </c>
      <c r="AA222" s="10">
        <f>'A) Base RI'!V222</f>
        <v>348</v>
      </c>
    </row>
    <row r="223" spans="1:27" x14ac:dyDescent="0.25">
      <c r="A223" s="8">
        <f>'A) Base RI'!A223</f>
        <v>5755</v>
      </c>
      <c r="B223" s="32" t="str">
        <f>'A) Base RI'!B223</f>
        <v>Lignerolle</v>
      </c>
      <c r="C223" s="10">
        <f>'A) Base RI'!C223+'A) Base RI'!D223</f>
        <v>772300.9</v>
      </c>
      <c r="D223" s="10">
        <f>'A) Base RI'!W223</f>
        <v>-33063.46</v>
      </c>
      <c r="E223" s="384">
        <f>'A) Base RI'!X223</f>
        <v>0</v>
      </c>
      <c r="F223" s="384">
        <f>'A) Base RI'!Y223</f>
        <v>-0.05</v>
      </c>
      <c r="G223" s="387">
        <f t="shared" si="18"/>
        <v>739237.39</v>
      </c>
      <c r="H223" s="10">
        <f>+'A) Base RI'!E223</f>
        <v>0</v>
      </c>
      <c r="I223" s="10">
        <f>+'A) Base RI'!F223</f>
        <v>2230</v>
      </c>
      <c r="J223" s="10">
        <f>+'A) Base RI'!G223+'A) Base RI'!H223+'A) Base RI'!S223</f>
        <v>28281.31</v>
      </c>
      <c r="K223" s="10">
        <f>+'A) Base RI'!I223</f>
        <v>0</v>
      </c>
      <c r="L223" s="10">
        <f>+'A) Base RI'!J223</f>
        <v>5448.27</v>
      </c>
      <c r="M223" s="10">
        <f>+'A) Base RI'!K223</f>
        <v>2533.1</v>
      </c>
      <c r="N223" s="10">
        <f>+'A) Base RI'!Q223</f>
        <v>2102.0100000000002</v>
      </c>
      <c r="O223" s="10">
        <f t="shared" si="19"/>
        <v>63785.285714285717</v>
      </c>
      <c r="P223" s="10">
        <f>+'A) Base RI'!L223</f>
        <v>44649.7</v>
      </c>
      <c r="Q223" s="395">
        <f>'A) Base RI'!Z223</f>
        <v>0.7</v>
      </c>
      <c r="R223" s="387">
        <f t="shared" si="20"/>
        <v>843617.36571428576</v>
      </c>
      <c r="S223" s="428">
        <f>+'A) Base RI'!U223</f>
        <v>78.5</v>
      </c>
      <c r="T223" s="387">
        <f t="shared" si="21"/>
        <v>775068.9800000001</v>
      </c>
      <c r="U223" s="387">
        <f t="shared" si="22"/>
        <v>10746.718034576888</v>
      </c>
      <c r="V223" s="10">
        <f>+'A) Base RI'!O223</f>
        <v>12975</v>
      </c>
      <c r="W223" s="10">
        <f>+'A) Base RI'!P223</f>
        <v>21937.55</v>
      </c>
      <c r="X223" s="10">
        <f>+'A) Base RI'!R223</f>
        <v>6450.15</v>
      </c>
      <c r="Y223" s="387">
        <f t="shared" si="23"/>
        <v>41362.700000000004</v>
      </c>
      <c r="Z223" s="10">
        <f>+'A) Base RI'!N223</f>
        <v>53250.85</v>
      </c>
      <c r="AA223" s="10">
        <f>'A) Base RI'!V223</f>
        <v>409</v>
      </c>
    </row>
    <row r="224" spans="1:27" x14ac:dyDescent="0.25">
      <c r="A224" s="8">
        <f>'A) Base RI'!A224</f>
        <v>5756</v>
      </c>
      <c r="B224" s="32" t="str">
        <f>'A) Base RI'!B224</f>
        <v>Montcherand</v>
      </c>
      <c r="C224" s="10">
        <f>'A) Base RI'!C224+'A) Base RI'!D224</f>
        <v>1159382.47</v>
      </c>
      <c r="D224" s="10">
        <f>'A) Base RI'!W224</f>
        <v>-15200.07</v>
      </c>
      <c r="E224" s="384">
        <f>'A) Base RI'!X224</f>
        <v>0</v>
      </c>
      <c r="F224" s="384">
        <f>'A) Base RI'!Y224</f>
        <v>-2286.56</v>
      </c>
      <c r="G224" s="387">
        <f t="shared" si="18"/>
        <v>1141895.8399999999</v>
      </c>
      <c r="H224" s="10">
        <f>+'A) Base RI'!E224</f>
        <v>0</v>
      </c>
      <c r="I224" s="10">
        <f>+'A) Base RI'!F224</f>
        <v>0</v>
      </c>
      <c r="J224" s="10">
        <f>+'A) Base RI'!G224+'A) Base RI'!H224+'A) Base RI'!S224</f>
        <v>34422.959999999999</v>
      </c>
      <c r="K224" s="10">
        <f>+'A) Base RI'!I224</f>
        <v>0</v>
      </c>
      <c r="L224" s="10">
        <f>+'A) Base RI'!J224</f>
        <v>14446.56</v>
      </c>
      <c r="M224" s="10">
        <f>+'A) Base RI'!K224</f>
        <v>-946.1</v>
      </c>
      <c r="N224" s="10">
        <f>+'A) Base RI'!Q224</f>
        <v>0</v>
      </c>
      <c r="O224" s="10">
        <f t="shared" si="19"/>
        <v>87426.5</v>
      </c>
      <c r="P224" s="10">
        <f>+'A) Base RI'!L224</f>
        <v>87426.5</v>
      </c>
      <c r="Q224" s="395">
        <f>'A) Base RI'!Z224</f>
        <v>1</v>
      </c>
      <c r="R224" s="387">
        <f t="shared" si="20"/>
        <v>1277245.7599999998</v>
      </c>
      <c r="S224" s="428">
        <f>+'A) Base RI'!U224</f>
        <v>72</v>
      </c>
      <c r="T224" s="387">
        <f t="shared" si="21"/>
        <v>1190765.3599999999</v>
      </c>
      <c r="U224" s="387">
        <f t="shared" si="22"/>
        <v>17739.52444444444</v>
      </c>
      <c r="V224" s="10">
        <f>+'A) Base RI'!O224</f>
        <v>12210.2</v>
      </c>
      <c r="W224" s="10">
        <f>+'A) Base RI'!P224</f>
        <v>12655.5</v>
      </c>
      <c r="X224" s="10">
        <f>+'A) Base RI'!R224</f>
        <v>22526.1</v>
      </c>
      <c r="Y224" s="387">
        <f t="shared" si="23"/>
        <v>47391.8</v>
      </c>
      <c r="Z224" s="10">
        <f>+'A) Base RI'!N224</f>
        <v>20910.599999999999</v>
      </c>
      <c r="AA224" s="10">
        <f>'A) Base RI'!V224</f>
        <v>502</v>
      </c>
    </row>
    <row r="225" spans="1:27" x14ac:dyDescent="0.25">
      <c r="A225" s="8">
        <f>'A) Base RI'!A225</f>
        <v>5757</v>
      </c>
      <c r="B225" s="32" t="str">
        <f>'A) Base RI'!B225</f>
        <v>Orbe</v>
      </c>
      <c r="C225" s="10">
        <f>'A) Base RI'!C225+'A) Base RI'!D225</f>
        <v>12996110.869999999</v>
      </c>
      <c r="D225" s="10">
        <f>'A) Base RI'!W225</f>
        <v>-298002.68</v>
      </c>
      <c r="E225" s="384">
        <f>'A) Base RI'!X225</f>
        <v>0</v>
      </c>
      <c r="F225" s="384">
        <f>'A) Base RI'!Y225</f>
        <v>-2591.52</v>
      </c>
      <c r="G225" s="387">
        <f t="shared" si="18"/>
        <v>12695516.67</v>
      </c>
      <c r="H225" s="10">
        <f>+'A) Base RI'!E225</f>
        <v>0</v>
      </c>
      <c r="I225" s="10">
        <f>+'A) Base RI'!F225</f>
        <v>0</v>
      </c>
      <c r="J225" s="10">
        <f>+'A) Base RI'!G225+'A) Base RI'!H225+'A) Base RI'!S225</f>
        <v>1501688.0199999998</v>
      </c>
      <c r="K225" s="10">
        <f>+'A) Base RI'!I225</f>
        <v>0</v>
      </c>
      <c r="L225" s="10">
        <f>+'A) Base RI'!J225</f>
        <v>503885.29</v>
      </c>
      <c r="M225" s="10">
        <f>+'A) Base RI'!K225</f>
        <v>102434.65</v>
      </c>
      <c r="N225" s="10">
        <f>+'A) Base RI'!Q225</f>
        <v>102711.97</v>
      </c>
      <c r="O225" s="10">
        <f t="shared" si="19"/>
        <v>1415717.55</v>
      </c>
      <c r="P225" s="10">
        <f>+'A) Base RI'!L225</f>
        <v>1415717.55</v>
      </c>
      <c r="Q225" s="395">
        <f>'A) Base RI'!Z225</f>
        <v>1</v>
      </c>
      <c r="R225" s="387">
        <f t="shared" si="20"/>
        <v>16321954.15</v>
      </c>
      <c r="S225" s="428">
        <f>+'A) Base RI'!U225</f>
        <v>75.5</v>
      </c>
      <c r="T225" s="387">
        <f t="shared" si="21"/>
        <v>14803801.949999999</v>
      </c>
      <c r="U225" s="387">
        <f t="shared" si="22"/>
        <v>216184.82317880794</v>
      </c>
      <c r="V225" s="10">
        <f>+'A) Base RI'!O225</f>
        <v>20485.099999999999</v>
      </c>
      <c r="W225" s="10">
        <f>+'A) Base RI'!P225</f>
        <v>971488.65</v>
      </c>
      <c r="X225" s="10">
        <f>+'A) Base RI'!R225</f>
        <v>379666.35</v>
      </c>
      <c r="Y225" s="387">
        <f t="shared" si="23"/>
        <v>1371640.1</v>
      </c>
      <c r="Z225" s="10">
        <f>+'A) Base RI'!N225</f>
        <v>3266196.25</v>
      </c>
      <c r="AA225" s="10">
        <f>'A) Base RI'!V225</f>
        <v>7570</v>
      </c>
    </row>
    <row r="226" spans="1:27" x14ac:dyDescent="0.25">
      <c r="A226" s="8">
        <f>'A) Base RI'!A226</f>
        <v>5758</v>
      </c>
      <c r="B226" s="32" t="str">
        <f>'A) Base RI'!B226</f>
        <v>La Praz</v>
      </c>
      <c r="C226" s="10">
        <f>'A) Base RI'!C226+'A) Base RI'!D226</f>
        <v>358713.89</v>
      </c>
      <c r="D226" s="10">
        <f>'A) Base RI'!W226</f>
        <v>-3326.73</v>
      </c>
      <c r="E226" s="384">
        <f>'A) Base RI'!X226</f>
        <v>0</v>
      </c>
      <c r="F226" s="384">
        <f>'A) Base RI'!Y226</f>
        <v>-275.73</v>
      </c>
      <c r="G226" s="387">
        <f t="shared" si="18"/>
        <v>355111.43000000005</v>
      </c>
      <c r="H226" s="10">
        <f>+'A) Base RI'!E226</f>
        <v>0</v>
      </c>
      <c r="I226" s="10">
        <f>+'A) Base RI'!F226</f>
        <v>1100</v>
      </c>
      <c r="J226" s="10">
        <f>+'A) Base RI'!G226+'A) Base RI'!H226+'A) Base RI'!S226</f>
        <v>5398.93</v>
      </c>
      <c r="K226" s="10">
        <f>+'A) Base RI'!I226</f>
        <v>0</v>
      </c>
      <c r="L226" s="10">
        <f>+'A) Base RI'!J226</f>
        <v>6151.03</v>
      </c>
      <c r="M226" s="10">
        <f>+'A) Base RI'!K226</f>
        <v>0</v>
      </c>
      <c r="N226" s="10">
        <f>+'A) Base RI'!Q226</f>
        <v>0</v>
      </c>
      <c r="O226" s="10">
        <f t="shared" si="19"/>
        <v>28303.5</v>
      </c>
      <c r="P226" s="10">
        <f>+'A) Base RI'!L226</f>
        <v>25473.15</v>
      </c>
      <c r="Q226" s="395">
        <f>'A) Base RI'!Z226</f>
        <v>0.9</v>
      </c>
      <c r="R226" s="387">
        <f t="shared" si="20"/>
        <v>396064.89000000007</v>
      </c>
      <c r="S226" s="428">
        <f>+'A) Base RI'!U226</f>
        <v>83</v>
      </c>
      <c r="T226" s="387">
        <f t="shared" si="21"/>
        <v>366661.39000000007</v>
      </c>
      <c r="U226" s="387">
        <f t="shared" si="22"/>
        <v>4771.8661445783146</v>
      </c>
      <c r="V226" s="10">
        <f>+'A) Base RI'!O226</f>
        <v>0</v>
      </c>
      <c r="W226" s="10">
        <f>+'A) Base RI'!P226</f>
        <v>12752.15</v>
      </c>
      <c r="X226" s="10">
        <f>+'A) Base RI'!R226</f>
        <v>29904.9</v>
      </c>
      <c r="Y226" s="387">
        <f t="shared" si="23"/>
        <v>42657.05</v>
      </c>
      <c r="Z226" s="10">
        <f>+'A) Base RI'!N226</f>
        <v>1860.55</v>
      </c>
      <c r="AA226" s="10">
        <f>'A) Base RI'!V226</f>
        <v>182</v>
      </c>
    </row>
    <row r="227" spans="1:27" x14ac:dyDescent="0.25">
      <c r="A227" s="8">
        <f>'A) Base RI'!A227</f>
        <v>5759</v>
      </c>
      <c r="B227" s="32" t="str">
        <f>'A) Base RI'!B227</f>
        <v>Premier</v>
      </c>
      <c r="C227" s="10">
        <f>'A) Base RI'!C227+'A) Base RI'!D227</f>
        <v>432483.76</v>
      </c>
      <c r="D227" s="10">
        <f>'A) Base RI'!W227</f>
        <v>-1373.78</v>
      </c>
      <c r="E227" s="384">
        <f>'A) Base RI'!X227</f>
        <v>0</v>
      </c>
      <c r="F227" s="384">
        <f>'A) Base RI'!Y227</f>
        <v>-172.25</v>
      </c>
      <c r="G227" s="387">
        <f t="shared" si="18"/>
        <v>430937.73</v>
      </c>
      <c r="H227" s="10">
        <f>+'A) Base RI'!E227</f>
        <v>0</v>
      </c>
      <c r="I227" s="10">
        <f>+'A) Base RI'!F227</f>
        <v>0</v>
      </c>
      <c r="J227" s="10">
        <f>+'A) Base RI'!G227+'A) Base RI'!H227+'A) Base RI'!S227</f>
        <v>2051.41</v>
      </c>
      <c r="K227" s="10">
        <f>+'A) Base RI'!I227</f>
        <v>0</v>
      </c>
      <c r="L227" s="10">
        <f>+'A) Base RI'!J227</f>
        <v>3014.22</v>
      </c>
      <c r="M227" s="10">
        <f>+'A) Base RI'!K227</f>
        <v>242.95</v>
      </c>
      <c r="N227" s="10">
        <f>+'A) Base RI'!Q227</f>
        <v>764.54</v>
      </c>
      <c r="O227" s="10">
        <f t="shared" si="19"/>
        <v>32043.7</v>
      </c>
      <c r="P227" s="10">
        <f>+'A) Base RI'!L227</f>
        <v>32043.7</v>
      </c>
      <c r="Q227" s="395">
        <f>'A) Base RI'!Z227</f>
        <v>1</v>
      </c>
      <c r="R227" s="387">
        <f t="shared" si="20"/>
        <v>469054.54999999993</v>
      </c>
      <c r="S227" s="428">
        <f>+'A) Base RI'!U227</f>
        <v>79.5</v>
      </c>
      <c r="T227" s="387">
        <f t="shared" si="21"/>
        <v>436767.89999999991</v>
      </c>
      <c r="U227" s="387">
        <f t="shared" si="22"/>
        <v>5900.0572327044019</v>
      </c>
      <c r="V227" s="10">
        <f>+'A) Base RI'!O227</f>
        <v>0</v>
      </c>
      <c r="W227" s="10">
        <f>+'A) Base RI'!P227</f>
        <v>0</v>
      </c>
      <c r="X227" s="10">
        <f>+'A) Base RI'!R227</f>
        <v>0</v>
      </c>
      <c r="Y227" s="387">
        <f t="shared" si="23"/>
        <v>0</v>
      </c>
      <c r="Z227" s="10">
        <f>+'A) Base RI'!N227</f>
        <v>4410.6499999999996</v>
      </c>
      <c r="AA227" s="10">
        <f>'A) Base RI'!V227</f>
        <v>232</v>
      </c>
    </row>
    <row r="228" spans="1:27" x14ac:dyDescent="0.25">
      <c r="A228" s="8">
        <f>'A) Base RI'!A228</f>
        <v>5760</v>
      </c>
      <c r="B228" s="32" t="str">
        <f>'A) Base RI'!B228</f>
        <v>Rances</v>
      </c>
      <c r="C228" s="10">
        <f>'A) Base RI'!C228+'A) Base RI'!D228</f>
        <v>1021641.52</v>
      </c>
      <c r="D228" s="10">
        <f>'A) Base RI'!W228</f>
        <v>-21935.22</v>
      </c>
      <c r="E228" s="384">
        <f>'A) Base RI'!X228</f>
        <v>0</v>
      </c>
      <c r="F228" s="384">
        <f>'A) Base RI'!Y228</f>
        <v>-1752.3</v>
      </c>
      <c r="G228" s="387">
        <f t="shared" si="18"/>
        <v>997954</v>
      </c>
      <c r="H228" s="10">
        <f>+'A) Base RI'!E228</f>
        <v>0</v>
      </c>
      <c r="I228" s="10">
        <f>+'A) Base RI'!F228</f>
        <v>0</v>
      </c>
      <c r="J228" s="10">
        <f>+'A) Base RI'!G228+'A) Base RI'!H228+'A) Base RI'!S228</f>
        <v>24664.710000000003</v>
      </c>
      <c r="K228" s="10">
        <f>+'A) Base RI'!I228</f>
        <v>0</v>
      </c>
      <c r="L228" s="10">
        <f>+'A) Base RI'!J228</f>
        <v>3150.73</v>
      </c>
      <c r="M228" s="10">
        <f>+'A) Base RI'!K228</f>
        <v>0</v>
      </c>
      <c r="N228" s="10">
        <f>+'A) Base RI'!Q228</f>
        <v>0</v>
      </c>
      <c r="O228" s="10">
        <f t="shared" si="19"/>
        <v>82095.333333333328</v>
      </c>
      <c r="P228" s="10">
        <f>+'A) Base RI'!L228</f>
        <v>123143</v>
      </c>
      <c r="Q228" s="395">
        <f>'A) Base RI'!Z228</f>
        <v>1.5</v>
      </c>
      <c r="R228" s="387">
        <f t="shared" si="20"/>
        <v>1107864.7733333332</v>
      </c>
      <c r="S228" s="428">
        <f>+'A) Base RI'!U228</f>
        <v>76.5</v>
      </c>
      <c r="T228" s="387">
        <f t="shared" si="21"/>
        <v>1025769.44</v>
      </c>
      <c r="U228" s="387">
        <f t="shared" si="22"/>
        <v>14481.892461873636</v>
      </c>
      <c r="V228" s="10">
        <f>+'A) Base RI'!O228</f>
        <v>0</v>
      </c>
      <c r="W228" s="10">
        <f>+'A) Base RI'!P228</f>
        <v>53108</v>
      </c>
      <c r="X228" s="10">
        <f>+'A) Base RI'!R228</f>
        <v>38755.65</v>
      </c>
      <c r="Y228" s="387">
        <f t="shared" si="23"/>
        <v>91863.65</v>
      </c>
      <c r="Z228" s="10">
        <f>+'A) Base RI'!N228</f>
        <v>34603.35</v>
      </c>
      <c r="AA228" s="10">
        <f>'A) Base RI'!V228</f>
        <v>512</v>
      </c>
    </row>
    <row r="229" spans="1:27" x14ac:dyDescent="0.25">
      <c r="A229" s="8">
        <f>'A) Base RI'!A229</f>
        <v>5761</v>
      </c>
      <c r="B229" s="32" t="str">
        <f>'A) Base RI'!B229</f>
        <v>Romainmôtier-Envy</v>
      </c>
      <c r="C229" s="10">
        <f>'A) Base RI'!C229+'A) Base RI'!D229</f>
        <v>942641.01</v>
      </c>
      <c r="D229" s="10">
        <f>'A) Base RI'!W229</f>
        <v>-14114.64</v>
      </c>
      <c r="E229" s="384">
        <f>'A) Base RI'!X229</f>
        <v>0</v>
      </c>
      <c r="F229" s="384">
        <f>'A) Base RI'!Y229</f>
        <v>-83.6</v>
      </c>
      <c r="G229" s="387">
        <f t="shared" si="18"/>
        <v>928442.77</v>
      </c>
      <c r="H229" s="10">
        <f>+'A) Base RI'!E229</f>
        <v>0</v>
      </c>
      <c r="I229" s="10">
        <f>+'A) Base RI'!F229</f>
        <v>0</v>
      </c>
      <c r="J229" s="10">
        <f>+'A) Base RI'!G229+'A) Base RI'!H229+'A) Base RI'!S229</f>
        <v>14250.919999999998</v>
      </c>
      <c r="K229" s="10">
        <f>+'A) Base RI'!I229</f>
        <v>0</v>
      </c>
      <c r="L229" s="10">
        <f>+'A) Base RI'!J229</f>
        <v>9440.07</v>
      </c>
      <c r="M229" s="10">
        <f>+'A) Base RI'!K229</f>
        <v>6593.8</v>
      </c>
      <c r="N229" s="10">
        <f>+'A) Base RI'!Q229</f>
        <v>2530.39</v>
      </c>
      <c r="O229" s="10">
        <f t="shared" si="19"/>
        <v>84774.818181818177</v>
      </c>
      <c r="P229" s="10">
        <f>+'A) Base RI'!L229</f>
        <v>93252.3</v>
      </c>
      <c r="Q229" s="395">
        <f>'A) Base RI'!Z229</f>
        <v>1.1000000000000001</v>
      </c>
      <c r="R229" s="387">
        <f t="shared" si="20"/>
        <v>1046032.7681818183</v>
      </c>
      <c r="S229" s="428">
        <f>+'A) Base RI'!U229</f>
        <v>81</v>
      </c>
      <c r="T229" s="387">
        <f t="shared" si="21"/>
        <v>954664.15</v>
      </c>
      <c r="U229" s="387">
        <f t="shared" si="22"/>
        <v>12913.984792368126</v>
      </c>
      <c r="V229" s="10">
        <f>+'A) Base RI'!O229</f>
        <v>0</v>
      </c>
      <c r="W229" s="10">
        <f>+'A) Base RI'!P229</f>
        <v>109791</v>
      </c>
      <c r="X229" s="10">
        <f>+'A) Base RI'!R229</f>
        <v>40738.300000000003</v>
      </c>
      <c r="Y229" s="387">
        <f t="shared" si="23"/>
        <v>150529.29999999999</v>
      </c>
      <c r="Z229" s="10">
        <f>+'A) Base RI'!N229</f>
        <v>67027.600000000006</v>
      </c>
      <c r="AA229" s="10">
        <f>'A) Base RI'!V229</f>
        <v>551</v>
      </c>
    </row>
    <row r="230" spans="1:27" x14ac:dyDescent="0.25">
      <c r="A230" s="8">
        <f>'A) Base RI'!A230</f>
        <v>5762</v>
      </c>
      <c r="B230" s="32" t="str">
        <f>'A) Base RI'!B230</f>
        <v>Sergey</v>
      </c>
      <c r="C230" s="10">
        <f>'A) Base RI'!C230+'A) Base RI'!D230</f>
        <v>276000.64000000001</v>
      </c>
      <c r="D230" s="10">
        <f>'A) Base RI'!W230</f>
        <v>-69.739999999999995</v>
      </c>
      <c r="E230" s="384">
        <f>'A) Base RI'!X230</f>
        <v>0</v>
      </c>
      <c r="F230" s="384">
        <f>'A) Base RI'!Y230</f>
        <v>0</v>
      </c>
      <c r="G230" s="387">
        <f t="shared" si="18"/>
        <v>275930.90000000002</v>
      </c>
      <c r="H230" s="10">
        <f>+'A) Base RI'!E230</f>
        <v>0</v>
      </c>
      <c r="I230" s="10">
        <f>+'A) Base RI'!F230</f>
        <v>0</v>
      </c>
      <c r="J230" s="10">
        <f>+'A) Base RI'!G230+'A) Base RI'!H230+'A) Base RI'!S230</f>
        <v>2827.41</v>
      </c>
      <c r="K230" s="10">
        <f>+'A) Base RI'!I230</f>
        <v>0</v>
      </c>
      <c r="L230" s="10">
        <f>+'A) Base RI'!J230</f>
        <v>0</v>
      </c>
      <c r="M230" s="10">
        <f>+'A) Base RI'!K230</f>
        <v>191.55</v>
      </c>
      <c r="N230" s="10">
        <f>+'A) Base RI'!Q230</f>
        <v>0</v>
      </c>
      <c r="O230" s="10">
        <f t="shared" si="19"/>
        <v>21321.15</v>
      </c>
      <c r="P230" s="10">
        <f>+'A) Base RI'!L230</f>
        <v>21321.15</v>
      </c>
      <c r="Q230" s="395">
        <f>'A) Base RI'!Z230</f>
        <v>1</v>
      </c>
      <c r="R230" s="387">
        <f t="shared" si="20"/>
        <v>300271.01</v>
      </c>
      <c r="S230" s="428">
        <f>+'A) Base RI'!U230</f>
        <v>78</v>
      </c>
      <c r="T230" s="387">
        <f t="shared" si="21"/>
        <v>278758.31</v>
      </c>
      <c r="U230" s="387">
        <f t="shared" si="22"/>
        <v>3849.6283333333336</v>
      </c>
      <c r="V230" s="10">
        <f>+'A) Base RI'!O230</f>
        <v>0</v>
      </c>
      <c r="W230" s="10">
        <f>+'A) Base RI'!P230</f>
        <v>0</v>
      </c>
      <c r="X230" s="10">
        <f>+'A) Base RI'!R230</f>
        <v>0</v>
      </c>
      <c r="Y230" s="387">
        <f t="shared" si="23"/>
        <v>0</v>
      </c>
      <c r="Z230" s="10">
        <f>+'A) Base RI'!N230</f>
        <v>12165.4</v>
      </c>
      <c r="AA230" s="10">
        <f>'A) Base RI'!V230</f>
        <v>141</v>
      </c>
    </row>
    <row r="231" spans="1:27" x14ac:dyDescent="0.25">
      <c r="A231" s="8">
        <f>'A) Base RI'!A231</f>
        <v>5763</v>
      </c>
      <c r="B231" s="32" t="str">
        <f>'A) Base RI'!B231</f>
        <v>Valeyres-sous-Rances</v>
      </c>
      <c r="C231" s="10">
        <f>'A) Base RI'!C231+'A) Base RI'!D231</f>
        <v>1398704.89</v>
      </c>
      <c r="D231" s="10">
        <f>'A) Base RI'!W231</f>
        <v>-6356.74</v>
      </c>
      <c r="E231" s="384">
        <f>'A) Base RI'!X231</f>
        <v>0</v>
      </c>
      <c r="F231" s="384">
        <f>'A) Base RI'!Y231</f>
        <v>-468.94</v>
      </c>
      <c r="G231" s="387">
        <f t="shared" si="18"/>
        <v>1391879.21</v>
      </c>
      <c r="H231" s="10">
        <f>+'A) Base RI'!E231</f>
        <v>0</v>
      </c>
      <c r="I231" s="10">
        <f>+'A) Base RI'!F231</f>
        <v>3270</v>
      </c>
      <c r="J231" s="10">
        <f>+'A) Base RI'!G231+'A) Base RI'!H231+'A) Base RI'!S231</f>
        <v>31617.200000000001</v>
      </c>
      <c r="K231" s="10">
        <f>+'A) Base RI'!I231</f>
        <v>0</v>
      </c>
      <c r="L231" s="10">
        <f>+'A) Base RI'!J231</f>
        <v>17906.5</v>
      </c>
      <c r="M231" s="10">
        <f>+'A) Base RI'!K231</f>
        <v>4048.15</v>
      </c>
      <c r="N231" s="10">
        <f>+'A) Base RI'!Q231</f>
        <v>1584.64</v>
      </c>
      <c r="O231" s="10">
        <f t="shared" si="19"/>
        <v>90844.5</v>
      </c>
      <c r="P231" s="10">
        <f>+'A) Base RI'!L231</f>
        <v>90844.5</v>
      </c>
      <c r="Q231" s="395">
        <f>'A) Base RI'!Z231</f>
        <v>1</v>
      </c>
      <c r="R231" s="387">
        <f t="shared" si="20"/>
        <v>1541150.1999999997</v>
      </c>
      <c r="S231" s="428">
        <f>+'A) Base RI'!U231</f>
        <v>68</v>
      </c>
      <c r="T231" s="387">
        <f t="shared" si="21"/>
        <v>1442987.5499999998</v>
      </c>
      <c r="U231" s="387">
        <f t="shared" si="22"/>
        <v>22663.97352941176</v>
      </c>
      <c r="V231" s="10">
        <f>+'A) Base RI'!O231</f>
        <v>0</v>
      </c>
      <c r="W231" s="10">
        <f>+'A) Base RI'!P231</f>
        <v>16216.05</v>
      </c>
      <c r="X231" s="10">
        <f>+'A) Base RI'!R231</f>
        <v>10651.8</v>
      </c>
      <c r="Y231" s="387">
        <f t="shared" si="23"/>
        <v>26867.85</v>
      </c>
      <c r="Z231" s="10">
        <f>+'A) Base RI'!N231</f>
        <v>33568.9</v>
      </c>
      <c r="AA231" s="10">
        <f>'A) Base RI'!V231</f>
        <v>614</v>
      </c>
    </row>
    <row r="232" spans="1:27" x14ac:dyDescent="0.25">
      <c r="A232" s="8">
        <f>'A) Base RI'!A232</f>
        <v>5764</v>
      </c>
      <c r="B232" s="32" t="str">
        <f>'A) Base RI'!B232</f>
        <v>Vallorbe</v>
      </c>
      <c r="C232" s="10">
        <f>'A) Base RI'!C232+'A) Base RI'!D232</f>
        <v>5125663.05</v>
      </c>
      <c r="D232" s="10">
        <f>'A) Base RI'!W232</f>
        <v>-219535.31</v>
      </c>
      <c r="E232" s="384">
        <f>'A) Base RI'!X232</f>
        <v>0</v>
      </c>
      <c r="F232" s="384">
        <f>'A) Base RI'!Y232</f>
        <v>-977.23</v>
      </c>
      <c r="G232" s="387">
        <f t="shared" si="18"/>
        <v>4905150.51</v>
      </c>
      <c r="H232" s="10">
        <f>+'A) Base RI'!E232</f>
        <v>0</v>
      </c>
      <c r="I232" s="10">
        <f>+'A) Base RI'!F232</f>
        <v>0</v>
      </c>
      <c r="J232" s="10">
        <f>+'A) Base RI'!G232+'A) Base RI'!H232+'A) Base RI'!S232</f>
        <v>248472.09</v>
      </c>
      <c r="K232" s="10">
        <f>+'A) Base RI'!I232</f>
        <v>0</v>
      </c>
      <c r="L232" s="10">
        <f>+'A) Base RI'!J232</f>
        <v>225664.27</v>
      </c>
      <c r="M232" s="10">
        <f>+'A) Base RI'!K232</f>
        <v>36099.75</v>
      </c>
      <c r="N232" s="10">
        <f>+'A) Base RI'!Q232</f>
        <v>93962.65</v>
      </c>
      <c r="O232" s="10">
        <f t="shared" si="19"/>
        <v>473941.1</v>
      </c>
      <c r="P232" s="10">
        <f>+'A) Base RI'!L232</f>
        <v>473941.1</v>
      </c>
      <c r="Q232" s="395">
        <f>'A) Base RI'!Z232</f>
        <v>1</v>
      </c>
      <c r="R232" s="387">
        <f t="shared" si="20"/>
        <v>5983290.3699999992</v>
      </c>
      <c r="S232" s="428">
        <f>+'A) Base RI'!U232</f>
        <v>71.5</v>
      </c>
      <c r="T232" s="387">
        <f t="shared" si="21"/>
        <v>5473249.5199999996</v>
      </c>
      <c r="U232" s="387">
        <f t="shared" si="22"/>
        <v>83682.382797202779</v>
      </c>
      <c r="V232" s="10">
        <f>+'A) Base RI'!O232</f>
        <v>14462</v>
      </c>
      <c r="W232" s="10">
        <f>+'A) Base RI'!P232</f>
        <v>264458.65000000002</v>
      </c>
      <c r="X232" s="10">
        <f>+'A) Base RI'!R232</f>
        <v>180308.7</v>
      </c>
      <c r="Y232" s="387">
        <f t="shared" si="23"/>
        <v>459229.35000000003</v>
      </c>
      <c r="Z232" s="10">
        <f>+'A) Base RI'!N232</f>
        <v>2206248.75</v>
      </c>
      <c r="AA232" s="10">
        <f>'A) Base RI'!V232</f>
        <v>3924</v>
      </c>
    </row>
    <row r="233" spans="1:27" x14ac:dyDescent="0.25">
      <c r="A233" s="8">
        <f>'A) Base RI'!A233</f>
        <v>5765</v>
      </c>
      <c r="B233" s="32" t="str">
        <f>'A) Base RI'!B233</f>
        <v>Vaulion</v>
      </c>
      <c r="C233" s="10">
        <f>'A) Base RI'!C233+'A) Base RI'!D233</f>
        <v>741965.09</v>
      </c>
      <c r="D233" s="10">
        <f>'A) Base RI'!W233</f>
        <v>-32350.36</v>
      </c>
      <c r="E233" s="384">
        <f>'A) Base RI'!X233</f>
        <v>0</v>
      </c>
      <c r="F233" s="384">
        <f>'A) Base RI'!Y233</f>
        <v>-11.32</v>
      </c>
      <c r="G233" s="387">
        <f t="shared" si="18"/>
        <v>709603.41</v>
      </c>
      <c r="H233" s="10">
        <f>+'A) Base RI'!E233</f>
        <v>0</v>
      </c>
      <c r="I233" s="10">
        <f>+'A) Base RI'!F233</f>
        <v>0</v>
      </c>
      <c r="J233" s="10">
        <f>+'A) Base RI'!G233+'A) Base RI'!H233+'A) Base RI'!S233</f>
        <v>22524.41</v>
      </c>
      <c r="K233" s="10">
        <f>+'A) Base RI'!I233</f>
        <v>0</v>
      </c>
      <c r="L233" s="10">
        <f>+'A) Base RI'!J233</f>
        <v>9790.44</v>
      </c>
      <c r="M233" s="10">
        <f>+'A) Base RI'!K233</f>
        <v>0</v>
      </c>
      <c r="N233" s="10">
        <f>+'A) Base RI'!Q233</f>
        <v>25491.74</v>
      </c>
      <c r="O233" s="10">
        <f t="shared" si="19"/>
        <v>65227.8</v>
      </c>
      <c r="P233" s="10">
        <f>+'A) Base RI'!L233</f>
        <v>32613.9</v>
      </c>
      <c r="Q233" s="395">
        <f>'A) Base RI'!Z233</f>
        <v>0.5</v>
      </c>
      <c r="R233" s="387">
        <f t="shared" si="20"/>
        <v>832637.8</v>
      </c>
      <c r="S233" s="428">
        <f>+'A) Base RI'!U233</f>
        <v>81</v>
      </c>
      <c r="T233" s="387">
        <f t="shared" si="21"/>
        <v>767410</v>
      </c>
      <c r="U233" s="387">
        <f t="shared" si="22"/>
        <v>10279.479012345679</v>
      </c>
      <c r="V233" s="10">
        <f>+'A) Base RI'!O233</f>
        <v>1782</v>
      </c>
      <c r="W233" s="10">
        <f>+'A) Base RI'!P233</f>
        <v>42886.1</v>
      </c>
      <c r="X233" s="10">
        <f>+'A) Base RI'!R233</f>
        <v>24421.15</v>
      </c>
      <c r="Y233" s="387">
        <f t="shared" si="23"/>
        <v>69089.25</v>
      </c>
      <c r="Z233" s="10">
        <f>+'A) Base RI'!N233</f>
        <v>51234.400000000001</v>
      </c>
      <c r="AA233" s="10">
        <f>'A) Base RI'!V233</f>
        <v>492</v>
      </c>
    </row>
    <row r="234" spans="1:27" x14ac:dyDescent="0.25">
      <c r="A234" s="8">
        <f>'A) Base RI'!A234</f>
        <v>5766</v>
      </c>
      <c r="B234" s="32" t="str">
        <f>'A) Base RI'!B234</f>
        <v>Vuiteboeuf</v>
      </c>
      <c r="C234" s="10">
        <f>'A) Base RI'!C234+'A) Base RI'!D234</f>
        <v>1046208.1699999999</v>
      </c>
      <c r="D234" s="10">
        <f>'A) Base RI'!W234</f>
        <v>-7221.79</v>
      </c>
      <c r="E234" s="384">
        <f>'A) Base RI'!X234</f>
        <v>0</v>
      </c>
      <c r="F234" s="384">
        <f>'A) Base RI'!Y234</f>
        <v>-56.39</v>
      </c>
      <c r="G234" s="387">
        <f t="shared" si="18"/>
        <v>1038929.9899999999</v>
      </c>
      <c r="H234" s="10">
        <f>+'A) Base RI'!E234</f>
        <v>0</v>
      </c>
      <c r="I234" s="10">
        <f>+'A) Base RI'!F234</f>
        <v>3770</v>
      </c>
      <c r="J234" s="10">
        <f>+'A) Base RI'!G234+'A) Base RI'!H234+'A) Base RI'!S234</f>
        <v>8388.1</v>
      </c>
      <c r="K234" s="10">
        <f>+'A) Base RI'!I234</f>
        <v>0</v>
      </c>
      <c r="L234" s="10">
        <f>+'A) Base RI'!J234</f>
        <v>33734.78</v>
      </c>
      <c r="M234" s="10">
        <f>+'A) Base RI'!K234</f>
        <v>-3890.85</v>
      </c>
      <c r="N234" s="10">
        <f>+'A) Base RI'!Q234</f>
        <v>638.48</v>
      </c>
      <c r="O234" s="10">
        <f t="shared" si="19"/>
        <v>84987.14285714287</v>
      </c>
      <c r="P234" s="10">
        <f>+'A) Base RI'!L234</f>
        <v>59491</v>
      </c>
      <c r="Q234" s="395">
        <f>'A) Base RI'!Z234</f>
        <v>0.7</v>
      </c>
      <c r="R234" s="387">
        <f t="shared" si="20"/>
        <v>1166557.6428571427</v>
      </c>
      <c r="S234" s="428">
        <f>+'A) Base RI'!U234</f>
        <v>75</v>
      </c>
      <c r="T234" s="387">
        <f t="shared" si="21"/>
        <v>1081691.3499999999</v>
      </c>
      <c r="U234" s="387">
        <f t="shared" si="22"/>
        <v>15554.101904761903</v>
      </c>
      <c r="V234" s="10">
        <f>+'A) Base RI'!O234</f>
        <v>0</v>
      </c>
      <c r="W234" s="10">
        <f>+'A) Base RI'!P234</f>
        <v>28165.7</v>
      </c>
      <c r="X234" s="10">
        <f>+'A) Base RI'!R234</f>
        <v>57992</v>
      </c>
      <c r="Y234" s="387">
        <f t="shared" si="23"/>
        <v>86157.7</v>
      </c>
      <c r="Z234" s="10">
        <f>+'A) Base RI'!N234</f>
        <v>29394.75</v>
      </c>
      <c r="AA234" s="10">
        <f>'A) Base RI'!V234</f>
        <v>591</v>
      </c>
    </row>
    <row r="235" spans="1:27" x14ac:dyDescent="0.25">
      <c r="A235" s="8">
        <f>'A) Base RI'!A235</f>
        <v>5785</v>
      </c>
      <c r="B235" s="32" t="str">
        <f>'A) Base RI'!B235</f>
        <v>Corcelles-le-Jorat</v>
      </c>
      <c r="C235" s="10">
        <f>'A) Base RI'!C235+'A) Base RI'!D235</f>
        <v>1007776.1799999999</v>
      </c>
      <c r="D235" s="10">
        <f>'A) Base RI'!W235</f>
        <v>-20850.54</v>
      </c>
      <c r="E235" s="384">
        <f>'A) Base RI'!X235</f>
        <v>0</v>
      </c>
      <c r="F235" s="384">
        <f>'A) Base RI'!Y235</f>
        <v>-621.45000000000005</v>
      </c>
      <c r="G235" s="387">
        <f t="shared" si="18"/>
        <v>986304.19</v>
      </c>
      <c r="H235" s="10">
        <f>+'A) Base RI'!E235</f>
        <v>0</v>
      </c>
      <c r="I235" s="10">
        <f>+'A) Base RI'!F235</f>
        <v>0</v>
      </c>
      <c r="J235" s="10">
        <f>+'A) Base RI'!G235+'A) Base RI'!H235+'A) Base RI'!S235</f>
        <v>22541.39</v>
      </c>
      <c r="K235" s="10">
        <f>+'A) Base RI'!I235</f>
        <v>0</v>
      </c>
      <c r="L235" s="10">
        <f>+'A) Base RI'!J235</f>
        <v>30363.09</v>
      </c>
      <c r="M235" s="10">
        <f>+'A) Base RI'!K235</f>
        <v>1577.1</v>
      </c>
      <c r="N235" s="10">
        <f>+'A) Base RI'!Q235</f>
        <v>6050.33</v>
      </c>
      <c r="O235" s="10">
        <f t="shared" si="19"/>
        <v>75819.350000000006</v>
      </c>
      <c r="P235" s="10">
        <f>+'A) Base RI'!L235</f>
        <v>75819.350000000006</v>
      </c>
      <c r="Q235" s="395">
        <f>'A) Base RI'!Z235</f>
        <v>1</v>
      </c>
      <c r="R235" s="387">
        <f t="shared" si="20"/>
        <v>1122655.45</v>
      </c>
      <c r="S235" s="428">
        <f>+'A) Base RI'!U235</f>
        <v>77</v>
      </c>
      <c r="T235" s="387">
        <f t="shared" si="21"/>
        <v>1045258.9999999999</v>
      </c>
      <c r="U235" s="387">
        <f t="shared" si="22"/>
        <v>14579.940909090908</v>
      </c>
      <c r="V235" s="10">
        <f>+'A) Base RI'!O235</f>
        <v>-2728.8</v>
      </c>
      <c r="W235" s="10">
        <f>+'A) Base RI'!P235</f>
        <v>39548.5</v>
      </c>
      <c r="X235" s="10">
        <f>+'A) Base RI'!R235</f>
        <v>39085.1</v>
      </c>
      <c r="Y235" s="387">
        <f t="shared" si="23"/>
        <v>75904.799999999988</v>
      </c>
      <c r="Z235" s="10">
        <f>+'A) Base RI'!N235</f>
        <v>0</v>
      </c>
      <c r="AA235" s="10">
        <f>'A) Base RI'!V235</f>
        <v>489</v>
      </c>
    </row>
    <row r="236" spans="1:27" x14ac:dyDescent="0.25">
      <c r="A236" s="8">
        <f>'A) Base RI'!A236</f>
        <v>5788</v>
      </c>
      <c r="B236" s="32" t="str">
        <f>'A) Base RI'!B236</f>
        <v>Essertes</v>
      </c>
      <c r="C236" s="10">
        <f>'A) Base RI'!C236+'A) Base RI'!D236</f>
        <v>836191.69</v>
      </c>
      <c r="D236" s="10">
        <f>'A) Base RI'!W236</f>
        <v>-15837.16</v>
      </c>
      <c r="E236" s="384">
        <f>'A) Base RI'!X236</f>
        <v>0</v>
      </c>
      <c r="F236" s="384">
        <f>'A) Base RI'!Y236</f>
        <v>-120.35</v>
      </c>
      <c r="G236" s="387">
        <f t="shared" si="18"/>
        <v>820234.17999999993</v>
      </c>
      <c r="H236" s="10">
        <f>+'A) Base RI'!E236</f>
        <v>0</v>
      </c>
      <c r="I236" s="10">
        <f>+'A) Base RI'!F236</f>
        <v>0</v>
      </c>
      <c r="J236" s="10">
        <f>+'A) Base RI'!G236+'A) Base RI'!H236+'A) Base RI'!S236</f>
        <v>6522.83</v>
      </c>
      <c r="K236" s="10">
        <f>+'A) Base RI'!I236</f>
        <v>0</v>
      </c>
      <c r="L236" s="10">
        <f>+'A) Base RI'!J236</f>
        <v>25625.35</v>
      </c>
      <c r="M236" s="10">
        <f>+'A) Base RI'!K236</f>
        <v>4569</v>
      </c>
      <c r="N236" s="10">
        <f>+'A) Base RI'!Q236</f>
        <v>0</v>
      </c>
      <c r="O236" s="10">
        <f t="shared" si="19"/>
        <v>95067.64</v>
      </c>
      <c r="P236" s="10">
        <f>+'A) Base RI'!L236</f>
        <v>118834.55</v>
      </c>
      <c r="Q236" s="395">
        <f>'A) Base RI'!Z236</f>
        <v>1.25</v>
      </c>
      <c r="R236" s="387">
        <f t="shared" si="20"/>
        <v>952018.99999999988</v>
      </c>
      <c r="S236" s="428">
        <f>+'A) Base RI'!U236</f>
        <v>71.5</v>
      </c>
      <c r="T236" s="387">
        <f t="shared" si="21"/>
        <v>852382.35999999987</v>
      </c>
      <c r="U236" s="387">
        <f t="shared" si="22"/>
        <v>13314.951048951047</v>
      </c>
      <c r="V236" s="10">
        <f>+'A) Base RI'!O236</f>
        <v>0</v>
      </c>
      <c r="W236" s="10">
        <f>+'A) Base RI'!P236</f>
        <v>16995</v>
      </c>
      <c r="X236" s="10">
        <f>+'A) Base RI'!R236</f>
        <v>12172.1</v>
      </c>
      <c r="Y236" s="387">
        <f t="shared" si="23"/>
        <v>29167.1</v>
      </c>
      <c r="Z236" s="10">
        <f>+'A) Base RI'!N236</f>
        <v>0</v>
      </c>
      <c r="AA236" s="10">
        <f>'A) Base RI'!V236</f>
        <v>397</v>
      </c>
    </row>
    <row r="237" spans="1:27" x14ac:dyDescent="0.25">
      <c r="A237" s="8">
        <f>'A) Base RI'!A237</f>
        <v>5790</v>
      </c>
      <c r="B237" s="32" t="str">
        <f>'A) Base RI'!B237</f>
        <v>Maracon</v>
      </c>
      <c r="C237" s="10">
        <f>'A) Base RI'!C237+'A) Base RI'!D237</f>
        <v>1009965.03</v>
      </c>
      <c r="D237" s="10">
        <f>'A) Base RI'!W237</f>
        <v>-2396.16</v>
      </c>
      <c r="E237" s="384">
        <f>'A) Base RI'!X237</f>
        <v>0</v>
      </c>
      <c r="F237" s="384">
        <f>'A) Base RI'!Y237</f>
        <v>-314.92</v>
      </c>
      <c r="G237" s="387">
        <f t="shared" si="18"/>
        <v>1007253.95</v>
      </c>
      <c r="H237" s="10">
        <f>+'A) Base RI'!E237</f>
        <v>0</v>
      </c>
      <c r="I237" s="10">
        <f>+'A) Base RI'!F237</f>
        <v>0</v>
      </c>
      <c r="J237" s="10">
        <f>+'A) Base RI'!G237+'A) Base RI'!H237+'A) Base RI'!S237</f>
        <v>8846.31</v>
      </c>
      <c r="K237" s="10">
        <f>+'A) Base RI'!I237</f>
        <v>0</v>
      </c>
      <c r="L237" s="10">
        <f>+'A) Base RI'!J237</f>
        <v>13334.81</v>
      </c>
      <c r="M237" s="10">
        <f>+'A) Base RI'!K237</f>
        <v>3472</v>
      </c>
      <c r="N237" s="10">
        <f>+'A) Base RI'!Q237</f>
        <v>0</v>
      </c>
      <c r="O237" s="10">
        <f t="shared" si="19"/>
        <v>97410.7</v>
      </c>
      <c r="P237" s="10">
        <f>+'A) Base RI'!L237</f>
        <v>97410.7</v>
      </c>
      <c r="Q237" s="395">
        <f>'A) Base RI'!Z237</f>
        <v>1</v>
      </c>
      <c r="R237" s="387">
        <f t="shared" si="20"/>
        <v>1130317.77</v>
      </c>
      <c r="S237" s="428">
        <f>+'A) Base RI'!U237</f>
        <v>74.5</v>
      </c>
      <c r="T237" s="387">
        <f t="shared" si="21"/>
        <v>1029435.0700000001</v>
      </c>
      <c r="U237" s="387">
        <f t="shared" si="22"/>
        <v>15172.050604026846</v>
      </c>
      <c r="V237" s="10">
        <f>+'A) Base RI'!O237</f>
        <v>0</v>
      </c>
      <c r="W237" s="10">
        <f>+'A) Base RI'!P237</f>
        <v>62894.35</v>
      </c>
      <c r="X237" s="10">
        <f>+'A) Base RI'!R237</f>
        <v>0</v>
      </c>
      <c r="Y237" s="387">
        <f t="shared" si="23"/>
        <v>62894.35</v>
      </c>
      <c r="Z237" s="10">
        <f>+'A) Base RI'!N237</f>
        <v>5741.85</v>
      </c>
      <c r="AA237" s="10">
        <f>'A) Base RI'!V237</f>
        <v>547</v>
      </c>
    </row>
    <row r="238" spans="1:27" x14ac:dyDescent="0.25">
      <c r="A238" s="8">
        <f>'A) Base RI'!A238</f>
        <v>5792</v>
      </c>
      <c r="B238" s="32" t="str">
        <f>'A) Base RI'!B238</f>
        <v>Montpreveyres</v>
      </c>
      <c r="C238" s="10">
        <f>'A) Base RI'!C238+'A) Base RI'!D238</f>
        <v>1380386.69</v>
      </c>
      <c r="D238" s="10">
        <f>'A) Base RI'!W238</f>
        <v>-1933.93</v>
      </c>
      <c r="E238" s="384">
        <f>'A) Base RI'!X238</f>
        <v>0</v>
      </c>
      <c r="F238" s="384">
        <f>'A) Base RI'!Y238</f>
        <v>-46.19</v>
      </c>
      <c r="G238" s="387">
        <f t="shared" si="18"/>
        <v>1378406.57</v>
      </c>
      <c r="H238" s="10">
        <f>+'A) Base RI'!E238</f>
        <v>0</v>
      </c>
      <c r="I238" s="10">
        <f>+'A) Base RI'!F238</f>
        <v>0</v>
      </c>
      <c r="J238" s="10">
        <f>+'A) Base RI'!G238+'A) Base RI'!H238+'A) Base RI'!S238</f>
        <v>-12171.52</v>
      </c>
      <c r="K238" s="10">
        <f>+'A) Base RI'!I238</f>
        <v>0</v>
      </c>
      <c r="L238" s="10">
        <f>+'A) Base RI'!J238</f>
        <v>26336.82</v>
      </c>
      <c r="M238" s="10">
        <f>+'A) Base RI'!K238</f>
        <v>2131.5</v>
      </c>
      <c r="N238" s="10">
        <f>+'A) Base RI'!Q238</f>
        <v>5083.87</v>
      </c>
      <c r="O238" s="10">
        <f t="shared" si="19"/>
        <v>121223.4</v>
      </c>
      <c r="P238" s="10">
        <f>+'A) Base RI'!L238</f>
        <v>121223.4</v>
      </c>
      <c r="Q238" s="395">
        <f>'A) Base RI'!Z238</f>
        <v>1</v>
      </c>
      <c r="R238" s="387">
        <f t="shared" si="20"/>
        <v>1521010.6400000001</v>
      </c>
      <c r="S238" s="428">
        <f>+'A) Base RI'!U238</f>
        <v>75.5</v>
      </c>
      <c r="T238" s="387">
        <f t="shared" si="21"/>
        <v>1397655.7400000002</v>
      </c>
      <c r="U238" s="387">
        <f t="shared" si="22"/>
        <v>20145.836291390729</v>
      </c>
      <c r="V238" s="10">
        <f>+'A) Base RI'!O238</f>
        <v>8751.4</v>
      </c>
      <c r="W238" s="10">
        <f>+'A) Base RI'!P238</f>
        <v>94919.1</v>
      </c>
      <c r="X238" s="10">
        <f>+'A) Base RI'!R238</f>
        <v>70944.45</v>
      </c>
      <c r="Y238" s="387">
        <f t="shared" si="23"/>
        <v>174614.95</v>
      </c>
      <c r="Z238" s="10">
        <f>+'A) Base RI'!N238</f>
        <v>681.3</v>
      </c>
      <c r="AA238" s="10">
        <f>'A) Base RI'!V238</f>
        <v>662</v>
      </c>
    </row>
    <row r="239" spans="1:27" x14ac:dyDescent="0.25">
      <c r="A239" s="8">
        <f>'A) Base RI'!A239</f>
        <v>5798</v>
      </c>
      <c r="B239" s="32" t="str">
        <f>'A) Base RI'!B239</f>
        <v>Ropraz</v>
      </c>
      <c r="C239" s="10">
        <f>'A) Base RI'!C239+'A) Base RI'!D239</f>
        <v>1164566.29</v>
      </c>
      <c r="D239" s="10">
        <f>'A) Base RI'!W239</f>
        <v>-15733.32</v>
      </c>
      <c r="E239" s="384">
        <f>'A) Base RI'!X239</f>
        <v>0</v>
      </c>
      <c r="F239" s="384">
        <f>'A) Base RI'!Y239</f>
        <v>-9.9</v>
      </c>
      <c r="G239" s="387">
        <f t="shared" si="18"/>
        <v>1148823.07</v>
      </c>
      <c r="H239" s="10">
        <f>+'A) Base RI'!E239</f>
        <v>0</v>
      </c>
      <c r="I239" s="10">
        <f>+'A) Base RI'!F239</f>
        <v>0</v>
      </c>
      <c r="J239" s="10">
        <f>+'A) Base RI'!G239+'A) Base RI'!H239+'A) Base RI'!S239</f>
        <v>58764.32</v>
      </c>
      <c r="K239" s="10">
        <f>+'A) Base RI'!I239</f>
        <v>0</v>
      </c>
      <c r="L239" s="10">
        <f>+'A) Base RI'!J239</f>
        <v>40765.65</v>
      </c>
      <c r="M239" s="10">
        <f>+'A) Base RI'!K239</f>
        <v>10881.05</v>
      </c>
      <c r="N239" s="10">
        <f>+'A) Base RI'!Q239</f>
        <v>3820.21</v>
      </c>
      <c r="O239" s="10">
        <f t="shared" si="19"/>
        <v>88918.1</v>
      </c>
      <c r="P239" s="10">
        <f>+'A) Base RI'!L239</f>
        <v>88918.1</v>
      </c>
      <c r="Q239" s="395">
        <f>'A) Base RI'!Z239</f>
        <v>1</v>
      </c>
      <c r="R239" s="387">
        <f t="shared" si="20"/>
        <v>1351972.4000000001</v>
      </c>
      <c r="S239" s="428">
        <f>+'A) Base RI'!U239</f>
        <v>77.5</v>
      </c>
      <c r="T239" s="387">
        <f t="shared" si="21"/>
        <v>1252173.25</v>
      </c>
      <c r="U239" s="387">
        <f t="shared" si="22"/>
        <v>17444.805161290325</v>
      </c>
      <c r="V239" s="10">
        <f>+'A) Base RI'!O239</f>
        <v>0</v>
      </c>
      <c r="W239" s="10">
        <f>+'A) Base RI'!P239</f>
        <v>45540</v>
      </c>
      <c r="X239" s="10">
        <f>+'A) Base RI'!R239</f>
        <v>80957</v>
      </c>
      <c r="Y239" s="387">
        <f t="shared" si="23"/>
        <v>126497</v>
      </c>
      <c r="Z239" s="10">
        <f>+'A) Base RI'!N239</f>
        <v>19232.099999999999</v>
      </c>
      <c r="AA239" s="10">
        <f>'A) Base RI'!V239</f>
        <v>534</v>
      </c>
    </row>
    <row r="240" spans="1:27" x14ac:dyDescent="0.25">
      <c r="A240" s="8">
        <f>'A) Base RI'!A240</f>
        <v>5799</v>
      </c>
      <c r="B240" s="32" t="str">
        <f>'A) Base RI'!B240</f>
        <v>Servion</v>
      </c>
      <c r="C240" s="10">
        <f>'A) Base RI'!C240+'A) Base RI'!D240</f>
        <v>4449786.1100000003</v>
      </c>
      <c r="D240" s="10">
        <f>'A) Base RI'!W240</f>
        <v>-33285.89</v>
      </c>
      <c r="E240" s="384">
        <f>'A) Base RI'!X240</f>
        <v>0</v>
      </c>
      <c r="F240" s="384">
        <f>'A) Base RI'!Y240</f>
        <v>-566.70000000000005</v>
      </c>
      <c r="G240" s="387">
        <f t="shared" si="18"/>
        <v>4415933.5200000005</v>
      </c>
      <c r="H240" s="10">
        <f>+'A) Base RI'!E240</f>
        <v>0</v>
      </c>
      <c r="I240" s="10">
        <f>+'A) Base RI'!F240</f>
        <v>0</v>
      </c>
      <c r="J240" s="10">
        <f>+'A) Base RI'!G240+'A) Base RI'!H240+'A) Base RI'!S240</f>
        <v>54359.53</v>
      </c>
      <c r="K240" s="10">
        <f>+'A) Base RI'!I240</f>
        <v>0</v>
      </c>
      <c r="L240" s="10">
        <f>+'A) Base RI'!J240</f>
        <v>42510.8</v>
      </c>
      <c r="M240" s="10">
        <f>+'A) Base RI'!K240</f>
        <v>20358.650000000001</v>
      </c>
      <c r="N240" s="10">
        <f>+'A) Base RI'!Q240</f>
        <v>350.73</v>
      </c>
      <c r="O240" s="10">
        <f t="shared" si="19"/>
        <v>416840.95</v>
      </c>
      <c r="P240" s="10">
        <f>+'A) Base RI'!L240</f>
        <v>416840.95</v>
      </c>
      <c r="Q240" s="395">
        <f>'A) Base RI'!Z240</f>
        <v>1</v>
      </c>
      <c r="R240" s="387">
        <f t="shared" si="20"/>
        <v>4950354.1800000016</v>
      </c>
      <c r="S240" s="428">
        <f>+'A) Base RI'!U240</f>
        <v>69</v>
      </c>
      <c r="T240" s="387">
        <f t="shared" si="21"/>
        <v>4513154.580000001</v>
      </c>
      <c r="U240" s="387">
        <f t="shared" si="22"/>
        <v>71744.263478260895</v>
      </c>
      <c r="V240" s="10">
        <f>+'A) Base RI'!O240</f>
        <v>55082.6</v>
      </c>
      <c r="W240" s="10">
        <f>+'A) Base RI'!P240</f>
        <v>185338.5</v>
      </c>
      <c r="X240" s="10">
        <f>+'A) Base RI'!R240</f>
        <v>237738.1</v>
      </c>
      <c r="Y240" s="387">
        <f t="shared" si="23"/>
        <v>478159.2</v>
      </c>
      <c r="Z240" s="10">
        <f>+'A) Base RI'!N240</f>
        <v>33537.599999999999</v>
      </c>
      <c r="AA240" s="10">
        <f>'A) Base RI'!V240</f>
        <v>2107</v>
      </c>
    </row>
    <row r="241" spans="1:27" x14ac:dyDescent="0.25">
      <c r="A241" s="8">
        <f>'A) Base RI'!A241</f>
        <v>5803</v>
      </c>
      <c r="B241" s="32" t="str">
        <f>'A) Base RI'!B241</f>
        <v>Vulliens</v>
      </c>
      <c r="C241" s="10">
        <f>'A) Base RI'!C241+'A) Base RI'!D241</f>
        <v>1265794.6000000001</v>
      </c>
      <c r="D241" s="10">
        <f>'A) Base RI'!W241</f>
        <v>-27436.33</v>
      </c>
      <c r="E241" s="384">
        <f>'A) Base RI'!X241</f>
        <v>0</v>
      </c>
      <c r="F241" s="384">
        <f>'A) Base RI'!Y241</f>
        <v>-570.45000000000005</v>
      </c>
      <c r="G241" s="387">
        <f t="shared" si="18"/>
        <v>1237787.82</v>
      </c>
      <c r="H241" s="10">
        <f>+'A) Base RI'!E241</f>
        <v>0</v>
      </c>
      <c r="I241" s="10">
        <f>+'A) Base RI'!F241</f>
        <v>0</v>
      </c>
      <c r="J241" s="10">
        <f>+'A) Base RI'!G241+'A) Base RI'!H241+'A) Base RI'!S241</f>
        <v>3612.3099999999995</v>
      </c>
      <c r="K241" s="10">
        <f>+'A) Base RI'!I241</f>
        <v>0</v>
      </c>
      <c r="L241" s="10">
        <f>+'A) Base RI'!J241</f>
        <v>22871.35</v>
      </c>
      <c r="M241" s="10">
        <f>+'A) Base RI'!K241</f>
        <v>0</v>
      </c>
      <c r="N241" s="10">
        <f>+'A) Base RI'!Q241</f>
        <v>29.96</v>
      </c>
      <c r="O241" s="10">
        <f t="shared" si="19"/>
        <v>103408.85</v>
      </c>
      <c r="P241" s="10">
        <f>+'A) Base RI'!L241</f>
        <v>103408.85</v>
      </c>
      <c r="Q241" s="395">
        <f>'A) Base RI'!Z241</f>
        <v>1</v>
      </c>
      <c r="R241" s="387">
        <f t="shared" si="20"/>
        <v>1367710.2900000003</v>
      </c>
      <c r="S241" s="428">
        <f>+'A) Base RI'!U241</f>
        <v>76</v>
      </c>
      <c r="T241" s="387">
        <f t="shared" si="21"/>
        <v>1264301.4400000002</v>
      </c>
      <c r="U241" s="387">
        <f t="shared" si="22"/>
        <v>17996.188026315795</v>
      </c>
      <c r="V241" s="10">
        <f>+'A) Base RI'!O241</f>
        <v>-3273.2</v>
      </c>
      <c r="W241" s="10">
        <f>+'A) Base RI'!P241</f>
        <v>71500</v>
      </c>
      <c r="X241" s="10">
        <f>+'A) Base RI'!R241</f>
        <v>39305.199999999997</v>
      </c>
      <c r="Y241" s="387">
        <f t="shared" si="23"/>
        <v>107532</v>
      </c>
      <c r="Z241" s="10">
        <f>+'A) Base RI'!N241</f>
        <v>898.7</v>
      </c>
      <c r="AA241" s="10">
        <f>'A) Base RI'!V241</f>
        <v>631</v>
      </c>
    </row>
    <row r="242" spans="1:27" x14ac:dyDescent="0.25">
      <c r="A242" s="8">
        <f>'A) Base RI'!A242</f>
        <v>5804</v>
      </c>
      <c r="B242" s="32" t="str">
        <f>'A) Base RI'!B242</f>
        <v>Jorat-Menthue</v>
      </c>
      <c r="C242" s="10">
        <f>'A) Base RI'!C242+'A) Base RI'!D242</f>
        <v>3033939.92</v>
      </c>
      <c r="D242" s="10">
        <f>'A) Base RI'!W242</f>
        <v>-99710.62</v>
      </c>
      <c r="E242" s="384">
        <f>'A) Base RI'!X242</f>
        <v>0</v>
      </c>
      <c r="F242" s="384">
        <f>'A) Base RI'!Y242</f>
        <v>-784.42</v>
      </c>
      <c r="G242" s="387">
        <f t="shared" si="18"/>
        <v>2933444.88</v>
      </c>
      <c r="H242" s="10">
        <f>+'A) Base RI'!E242</f>
        <v>0</v>
      </c>
      <c r="I242" s="10">
        <f>+'A) Base RI'!F242</f>
        <v>0</v>
      </c>
      <c r="J242" s="10">
        <f>+'A) Base RI'!G242+'A) Base RI'!H242+'A) Base RI'!S242</f>
        <v>30803.800000000003</v>
      </c>
      <c r="K242" s="10">
        <f>+'A) Base RI'!I242</f>
        <v>0</v>
      </c>
      <c r="L242" s="10">
        <f>+'A) Base RI'!J242</f>
        <v>54059.41</v>
      </c>
      <c r="M242" s="10">
        <f>+'A) Base RI'!K242</f>
        <v>3278.5</v>
      </c>
      <c r="N242" s="10">
        <f>+'A) Base RI'!Q242</f>
        <v>6872.94</v>
      </c>
      <c r="O242" s="10">
        <f t="shared" si="19"/>
        <v>274777.40000000002</v>
      </c>
      <c r="P242" s="10">
        <f>+'A) Base RI'!L242</f>
        <v>274777.40000000002</v>
      </c>
      <c r="Q242" s="395">
        <f>'A) Base RI'!Z242</f>
        <v>1</v>
      </c>
      <c r="R242" s="387">
        <f t="shared" si="20"/>
        <v>3303236.9299999997</v>
      </c>
      <c r="S242" s="428">
        <f>+'A) Base RI'!U242</f>
        <v>70.5</v>
      </c>
      <c r="T242" s="387">
        <f t="shared" si="21"/>
        <v>3025181.03</v>
      </c>
      <c r="U242" s="387">
        <f t="shared" si="22"/>
        <v>46854.424539007086</v>
      </c>
      <c r="V242" s="10">
        <f>+'A) Base RI'!O242</f>
        <v>40418.400000000001</v>
      </c>
      <c r="W242" s="10">
        <f>+'A) Base RI'!P242</f>
        <v>79980</v>
      </c>
      <c r="X242" s="10">
        <f>+'A) Base RI'!R242</f>
        <v>41713.65</v>
      </c>
      <c r="Y242" s="387">
        <f t="shared" si="23"/>
        <v>162112.04999999999</v>
      </c>
      <c r="Z242" s="10">
        <f>+'A) Base RI'!N242</f>
        <v>15774.9</v>
      </c>
      <c r="AA242" s="10">
        <f>'A) Base RI'!V242</f>
        <v>1603</v>
      </c>
    </row>
    <row r="243" spans="1:27" x14ac:dyDescent="0.25">
      <c r="A243" s="8">
        <f>'A) Base RI'!A243</f>
        <v>5805</v>
      </c>
      <c r="B243" s="32" t="str">
        <f>'A) Base RI'!B243</f>
        <v>Oron</v>
      </c>
      <c r="C243" s="10">
        <f>'A) Base RI'!C243+'A) Base RI'!D243</f>
        <v>9406317.0500000007</v>
      </c>
      <c r="D243" s="10">
        <f>'A) Base RI'!W243</f>
        <v>-289366</v>
      </c>
      <c r="E243" s="384">
        <f>'A) Base RI'!X243</f>
        <v>0</v>
      </c>
      <c r="F243" s="384">
        <f>'A) Base RI'!Y243</f>
        <v>-1323.83</v>
      </c>
      <c r="G243" s="387">
        <f t="shared" si="18"/>
        <v>9115627.2200000007</v>
      </c>
      <c r="H243" s="10">
        <f>+'A) Base RI'!E243</f>
        <v>0</v>
      </c>
      <c r="I243" s="10">
        <f>+'A) Base RI'!F243</f>
        <v>0</v>
      </c>
      <c r="J243" s="10">
        <f>+'A) Base RI'!G243+'A) Base RI'!H243+'A) Base RI'!S243</f>
        <v>766949.27</v>
      </c>
      <c r="K243" s="10">
        <f>+'A) Base RI'!I243</f>
        <v>37768.199999999997</v>
      </c>
      <c r="L243" s="10">
        <f>+'A) Base RI'!J243</f>
        <v>171373.15</v>
      </c>
      <c r="M243" s="10">
        <f>+'A) Base RI'!K243</f>
        <v>82491.100000000006</v>
      </c>
      <c r="N243" s="10">
        <f>+'A) Base RI'!Q243</f>
        <v>55475.61</v>
      </c>
      <c r="O243" s="10">
        <f t="shared" si="19"/>
        <v>956290.818181818</v>
      </c>
      <c r="P243" s="10">
        <f>+'A) Base RI'!L243</f>
        <v>1051919.8999999999</v>
      </c>
      <c r="Q243" s="395">
        <f>'A) Base RI'!Z243</f>
        <v>1.1000000000000001</v>
      </c>
      <c r="R243" s="387">
        <f t="shared" si="20"/>
        <v>11185975.368181817</v>
      </c>
      <c r="S243" s="428">
        <f>+'A) Base RI'!U243</f>
        <v>69</v>
      </c>
      <c r="T243" s="387">
        <f t="shared" si="21"/>
        <v>10147193.449999999</v>
      </c>
      <c r="U243" s="387">
        <f t="shared" si="22"/>
        <v>162115.58504611329</v>
      </c>
      <c r="V243" s="10">
        <f>+'A) Base RI'!O243</f>
        <v>-81995.3</v>
      </c>
      <c r="W243" s="10">
        <f>+'A) Base RI'!P243</f>
        <v>412093.05</v>
      </c>
      <c r="X243" s="10">
        <f>+'A) Base RI'!R243</f>
        <v>248779.65</v>
      </c>
      <c r="Y243" s="387">
        <f t="shared" si="23"/>
        <v>578877.4</v>
      </c>
      <c r="Z243" s="10">
        <f>+'A) Base RI'!N243</f>
        <v>100890.6</v>
      </c>
      <c r="AA243" s="10">
        <f>'A) Base RI'!V243</f>
        <v>5703</v>
      </c>
    </row>
    <row r="244" spans="1:27" x14ac:dyDescent="0.25">
      <c r="A244" s="8">
        <f>'A) Base RI'!A244</f>
        <v>5806</v>
      </c>
      <c r="B244" s="32" t="str">
        <f>'A) Base RI'!B244</f>
        <v>Jorat-Mézières</v>
      </c>
      <c r="C244" s="10">
        <f>'A) Base RI'!C244+'A) Base RI'!D244</f>
        <v>6575562.29</v>
      </c>
      <c r="D244" s="10">
        <f>'A) Base RI'!W244</f>
        <v>-33808.839999999997</v>
      </c>
      <c r="E244" s="384">
        <f>'A) Base RI'!X244</f>
        <v>0</v>
      </c>
      <c r="F244" s="384">
        <f>'A) Base RI'!Y244</f>
        <v>-883.54</v>
      </c>
      <c r="G244" s="387">
        <f t="shared" si="18"/>
        <v>6540869.9100000001</v>
      </c>
      <c r="H244" s="10">
        <f>+'A) Base RI'!E244</f>
        <v>0</v>
      </c>
      <c r="I244" s="10">
        <f>+'A) Base RI'!F244</f>
        <v>0</v>
      </c>
      <c r="J244" s="10">
        <f>+'A) Base RI'!G244+'A) Base RI'!H244+'A) Base RI'!S244</f>
        <v>199063.79</v>
      </c>
      <c r="K244" s="10">
        <f>+'A) Base RI'!I244</f>
        <v>53357.25</v>
      </c>
      <c r="L244" s="10">
        <f>+'A) Base RI'!J244</f>
        <v>79955.679999999993</v>
      </c>
      <c r="M244" s="10">
        <f>+'A) Base RI'!K244</f>
        <v>25070.35</v>
      </c>
      <c r="N244" s="10">
        <f>+'A) Base RI'!Q244</f>
        <v>22479.03</v>
      </c>
      <c r="O244" s="10">
        <f t="shared" si="19"/>
        <v>530879.35</v>
      </c>
      <c r="P244" s="10">
        <f>+'A) Base RI'!L244</f>
        <v>530879.35</v>
      </c>
      <c r="Q244" s="395">
        <f>'A) Base RI'!Z244</f>
        <v>1</v>
      </c>
      <c r="R244" s="387">
        <f t="shared" si="20"/>
        <v>7451675.3599999994</v>
      </c>
      <c r="S244" s="428">
        <f>+'A) Base RI'!U244</f>
        <v>73</v>
      </c>
      <c r="T244" s="387">
        <f t="shared" si="21"/>
        <v>6895725.6600000001</v>
      </c>
      <c r="U244" s="387">
        <f t="shared" si="22"/>
        <v>102077.74465753423</v>
      </c>
      <c r="V244" s="10">
        <f>+'A) Base RI'!O244</f>
        <v>130916.2</v>
      </c>
      <c r="W244" s="10">
        <f>+'A) Base RI'!P244</f>
        <v>484897.95</v>
      </c>
      <c r="X244" s="10">
        <f>+'A) Base RI'!R244</f>
        <v>355717.5</v>
      </c>
      <c r="Y244" s="387">
        <f t="shared" si="23"/>
        <v>971531.65</v>
      </c>
      <c r="Z244" s="10">
        <f>+'A) Base RI'!N244</f>
        <v>31196.15</v>
      </c>
      <c r="AA244" s="10">
        <f>'A) Base RI'!V244</f>
        <v>3095</v>
      </c>
    </row>
    <row r="245" spans="1:27" x14ac:dyDescent="0.25">
      <c r="A245" s="8">
        <f>'A) Base RI'!A245</f>
        <v>5812</v>
      </c>
      <c r="B245" s="32" t="str">
        <f>'A) Base RI'!B245</f>
        <v>Champtauroz</v>
      </c>
      <c r="C245" s="10">
        <f>'A) Base RI'!C245+'A) Base RI'!D245</f>
        <v>244631.59</v>
      </c>
      <c r="D245" s="10">
        <f>'A) Base RI'!W245</f>
        <v>-5587.26</v>
      </c>
      <c r="E245" s="384">
        <f>'A) Base RI'!X245</f>
        <v>0</v>
      </c>
      <c r="F245" s="384">
        <f>'A) Base RI'!Y245</f>
        <v>-53.85</v>
      </c>
      <c r="G245" s="387">
        <f t="shared" si="18"/>
        <v>238990.47999999998</v>
      </c>
      <c r="H245" s="10">
        <f>+'A) Base RI'!E245</f>
        <v>0</v>
      </c>
      <c r="I245" s="10">
        <f>+'A) Base RI'!F245</f>
        <v>0</v>
      </c>
      <c r="J245" s="10">
        <f>+'A) Base RI'!G245+'A) Base RI'!H245+'A) Base RI'!S245</f>
        <v>-1652.0299999999997</v>
      </c>
      <c r="K245" s="10">
        <f>+'A) Base RI'!I245</f>
        <v>0</v>
      </c>
      <c r="L245" s="10">
        <f>+'A) Base RI'!J245</f>
        <v>526.65</v>
      </c>
      <c r="M245" s="10">
        <f>+'A) Base RI'!K245</f>
        <v>894.75</v>
      </c>
      <c r="N245" s="10">
        <f>+'A) Base RI'!Q245</f>
        <v>381.99</v>
      </c>
      <c r="O245" s="10">
        <f t="shared" si="19"/>
        <v>18742.75</v>
      </c>
      <c r="P245" s="10">
        <f>+'A) Base RI'!L245</f>
        <v>14994.2</v>
      </c>
      <c r="Q245" s="395">
        <f>'A) Base RI'!Z245</f>
        <v>0.8</v>
      </c>
      <c r="R245" s="387">
        <f t="shared" si="20"/>
        <v>257884.58999999997</v>
      </c>
      <c r="S245" s="428">
        <f>+'A) Base RI'!U245</f>
        <v>77</v>
      </c>
      <c r="T245" s="387">
        <f t="shared" si="21"/>
        <v>238247.08999999997</v>
      </c>
      <c r="U245" s="387">
        <f t="shared" si="22"/>
        <v>3349.1505194805191</v>
      </c>
      <c r="V245" s="10">
        <f>+'A) Base RI'!O245</f>
        <v>926.3</v>
      </c>
      <c r="W245" s="10">
        <f>+'A) Base RI'!P245</f>
        <v>12760</v>
      </c>
      <c r="X245" s="10">
        <f>+'A) Base RI'!R245</f>
        <v>525</v>
      </c>
      <c r="Y245" s="387">
        <f t="shared" si="23"/>
        <v>14211.3</v>
      </c>
      <c r="Z245" s="10">
        <f>+'A) Base RI'!N245</f>
        <v>0</v>
      </c>
      <c r="AA245" s="10">
        <f>'A) Base RI'!V245</f>
        <v>169</v>
      </c>
    </row>
    <row r="246" spans="1:27" x14ac:dyDescent="0.25">
      <c r="A246" s="8">
        <f>'A) Base RI'!A246</f>
        <v>5813</v>
      </c>
      <c r="B246" s="32" t="str">
        <f>'A) Base RI'!B246</f>
        <v>Chevroux</v>
      </c>
      <c r="C246" s="10">
        <f>'A) Base RI'!C246+'A) Base RI'!D246</f>
        <v>924567.42</v>
      </c>
      <c r="D246" s="10">
        <f>'A) Base RI'!W246</f>
        <v>-28813.71</v>
      </c>
      <c r="E246" s="384">
        <f>'A) Base RI'!X246</f>
        <v>0</v>
      </c>
      <c r="F246" s="384">
        <f>'A) Base RI'!Y246</f>
        <v>0</v>
      </c>
      <c r="G246" s="387">
        <f t="shared" si="18"/>
        <v>895753.71000000008</v>
      </c>
      <c r="H246" s="10">
        <f>+'A) Base RI'!E246</f>
        <v>0</v>
      </c>
      <c r="I246" s="10">
        <f>+'A) Base RI'!F246</f>
        <v>3210</v>
      </c>
      <c r="J246" s="10">
        <f>+'A) Base RI'!G246+'A) Base RI'!H246+'A) Base RI'!S246</f>
        <v>35878.43</v>
      </c>
      <c r="K246" s="10">
        <f>+'A) Base RI'!I246</f>
        <v>0</v>
      </c>
      <c r="L246" s="10">
        <f>+'A) Base RI'!J246</f>
        <v>16389.599999999999</v>
      </c>
      <c r="M246" s="10">
        <f>+'A) Base RI'!K246</f>
        <v>0</v>
      </c>
      <c r="N246" s="10">
        <f>+'A) Base RI'!Q246</f>
        <v>147.9</v>
      </c>
      <c r="O246" s="10">
        <f t="shared" si="19"/>
        <v>95088.375</v>
      </c>
      <c r="P246" s="10">
        <f>+'A) Base RI'!L246</f>
        <v>114106.05</v>
      </c>
      <c r="Q246" s="395">
        <f>'A) Base RI'!Z246</f>
        <v>1.2</v>
      </c>
      <c r="R246" s="387">
        <f t="shared" si="20"/>
        <v>1046468.0150000001</v>
      </c>
      <c r="S246" s="428">
        <f>+'A) Base RI'!U246</f>
        <v>68.5</v>
      </c>
      <c r="T246" s="387">
        <f t="shared" si="21"/>
        <v>948169.64000000013</v>
      </c>
      <c r="U246" s="387">
        <f t="shared" si="22"/>
        <v>15276.905328467155</v>
      </c>
      <c r="V246" s="10">
        <f>+'A) Base RI'!O246</f>
        <v>3090.9</v>
      </c>
      <c r="W246" s="10">
        <f>+'A) Base RI'!P246</f>
        <v>79172.3</v>
      </c>
      <c r="X246" s="10">
        <f>+'A) Base RI'!R246</f>
        <v>70066.399999999994</v>
      </c>
      <c r="Y246" s="387">
        <f t="shared" si="23"/>
        <v>152329.59999999998</v>
      </c>
      <c r="Z246" s="10">
        <f>+'A) Base RI'!N246</f>
        <v>0</v>
      </c>
      <c r="AA246" s="10">
        <f>'A) Base RI'!V246</f>
        <v>506</v>
      </c>
    </row>
    <row r="247" spans="1:27" x14ac:dyDescent="0.25">
      <c r="A247" s="8">
        <f>'A) Base RI'!A247</f>
        <v>5816</v>
      </c>
      <c r="B247" s="32" t="str">
        <f>'A) Base RI'!B247</f>
        <v>Corcelles-près-Payerne</v>
      </c>
      <c r="C247" s="10">
        <f>'A) Base RI'!C247+'A) Base RI'!D247</f>
        <v>3756186.4099999997</v>
      </c>
      <c r="D247" s="10">
        <f>'A) Base RI'!W247</f>
        <v>-124649.64</v>
      </c>
      <c r="E247" s="384">
        <f>'A) Base RI'!X247</f>
        <v>0</v>
      </c>
      <c r="F247" s="384">
        <f>'A) Base RI'!Y247</f>
        <v>-39.9</v>
      </c>
      <c r="G247" s="387">
        <f t="shared" si="18"/>
        <v>3631496.8699999996</v>
      </c>
      <c r="H247" s="10">
        <f>+'A) Base RI'!E247</f>
        <v>0</v>
      </c>
      <c r="I247" s="10">
        <f>+'A) Base RI'!F247</f>
        <v>0</v>
      </c>
      <c r="J247" s="10">
        <f>+'A) Base RI'!G247+'A) Base RI'!H247+'A) Base RI'!S247</f>
        <v>229866.03000000003</v>
      </c>
      <c r="K247" s="10">
        <f>+'A) Base RI'!I247</f>
        <v>0</v>
      </c>
      <c r="L247" s="10">
        <f>+'A) Base RI'!J247</f>
        <v>169156.29</v>
      </c>
      <c r="M247" s="10">
        <f>+'A) Base RI'!K247</f>
        <v>27650.1</v>
      </c>
      <c r="N247" s="10">
        <f>+'A) Base RI'!Q247</f>
        <v>52136.26</v>
      </c>
      <c r="O247" s="10">
        <f t="shared" si="19"/>
        <v>386805.42857142858</v>
      </c>
      <c r="P247" s="10">
        <f>+'A) Base RI'!L247</f>
        <v>270763.8</v>
      </c>
      <c r="Q247" s="395">
        <f>'A) Base RI'!Z247</f>
        <v>0.7</v>
      </c>
      <c r="R247" s="387">
        <f t="shared" si="20"/>
        <v>4497110.978571428</v>
      </c>
      <c r="S247" s="428">
        <f>+'A) Base RI'!U247</f>
        <v>68.5</v>
      </c>
      <c r="T247" s="387">
        <f t="shared" si="21"/>
        <v>4082655.4499999993</v>
      </c>
      <c r="U247" s="387">
        <f t="shared" si="22"/>
        <v>65651.255161626686</v>
      </c>
      <c r="V247" s="10">
        <f>+'A) Base RI'!O247</f>
        <v>1269.9000000000001</v>
      </c>
      <c r="W247" s="10">
        <f>+'A) Base RI'!P247</f>
        <v>157913.5</v>
      </c>
      <c r="X247" s="10">
        <f>+'A) Base RI'!R247</f>
        <v>96820.05</v>
      </c>
      <c r="Y247" s="387">
        <f t="shared" si="23"/>
        <v>256003.45</v>
      </c>
      <c r="Z247" s="10">
        <f>+'A) Base RI'!N247</f>
        <v>25265.5</v>
      </c>
      <c r="AA247" s="10">
        <f>'A) Base RI'!V247</f>
        <v>2722</v>
      </c>
    </row>
    <row r="248" spans="1:27" x14ac:dyDescent="0.25">
      <c r="A248" s="8">
        <f>'A) Base RI'!A248</f>
        <v>5817</v>
      </c>
      <c r="B248" s="32" t="str">
        <f>'A) Base RI'!B248</f>
        <v>Grandcour</v>
      </c>
      <c r="C248" s="10">
        <f>'A) Base RI'!C248+'A) Base RI'!D248</f>
        <v>1633631.5</v>
      </c>
      <c r="D248" s="10">
        <f>'A) Base RI'!W248</f>
        <v>-36557.29</v>
      </c>
      <c r="E248" s="384">
        <f>'A) Base RI'!X248</f>
        <v>0</v>
      </c>
      <c r="F248" s="384">
        <f>'A) Base RI'!Y248</f>
        <v>-64.3</v>
      </c>
      <c r="G248" s="387">
        <f t="shared" si="18"/>
        <v>1597009.91</v>
      </c>
      <c r="H248" s="10">
        <f>+'A) Base RI'!E248</f>
        <v>0</v>
      </c>
      <c r="I248" s="10">
        <f>+'A) Base RI'!F248</f>
        <v>5910</v>
      </c>
      <c r="J248" s="10">
        <f>+'A) Base RI'!G248+'A) Base RI'!H248+'A) Base RI'!S248</f>
        <v>37809.549999999996</v>
      </c>
      <c r="K248" s="10">
        <f>+'A) Base RI'!I248</f>
        <v>0</v>
      </c>
      <c r="L248" s="10">
        <f>+'A) Base RI'!J248</f>
        <v>34806.870000000003</v>
      </c>
      <c r="M248" s="10">
        <f>+'A) Base RI'!K248</f>
        <v>4344.6499999999996</v>
      </c>
      <c r="N248" s="10">
        <f>+'A) Base RI'!Q248</f>
        <v>0</v>
      </c>
      <c r="O248" s="10">
        <f t="shared" si="19"/>
        <v>129917.15</v>
      </c>
      <c r="P248" s="10">
        <f>+'A) Base RI'!L248</f>
        <v>129917.15</v>
      </c>
      <c r="Q248" s="395">
        <f>'A) Base RI'!Z248</f>
        <v>1</v>
      </c>
      <c r="R248" s="387">
        <f t="shared" si="20"/>
        <v>1809798.13</v>
      </c>
      <c r="S248" s="428">
        <f>+'A) Base RI'!U248</f>
        <v>73.5</v>
      </c>
      <c r="T248" s="387">
        <f t="shared" si="21"/>
        <v>1669626.33</v>
      </c>
      <c r="U248" s="387">
        <f t="shared" si="22"/>
        <v>24623.103809523807</v>
      </c>
      <c r="V248" s="10">
        <f>+'A) Base RI'!O248</f>
        <v>0</v>
      </c>
      <c r="W248" s="10">
        <f>+'A) Base RI'!P248</f>
        <v>30975.95</v>
      </c>
      <c r="X248" s="10">
        <f>+'A) Base RI'!R248</f>
        <v>10179.85</v>
      </c>
      <c r="Y248" s="387">
        <f t="shared" si="23"/>
        <v>41155.800000000003</v>
      </c>
      <c r="Z248" s="10">
        <f>+'A) Base RI'!N248</f>
        <v>7672.05</v>
      </c>
      <c r="AA248" s="10">
        <f>'A) Base RI'!V248</f>
        <v>987</v>
      </c>
    </row>
    <row r="249" spans="1:27" x14ac:dyDescent="0.25">
      <c r="A249" s="8">
        <f>'A) Base RI'!A249</f>
        <v>5819</v>
      </c>
      <c r="B249" s="32" t="str">
        <f>'A) Base RI'!B249</f>
        <v>Henniez</v>
      </c>
      <c r="C249" s="10">
        <f>'A) Base RI'!C249+'A) Base RI'!D249</f>
        <v>673551.4</v>
      </c>
      <c r="D249" s="10">
        <f>'A) Base RI'!W249</f>
        <v>-43903.92</v>
      </c>
      <c r="E249" s="384">
        <f>'A) Base RI'!X249</f>
        <v>0</v>
      </c>
      <c r="F249" s="384">
        <f>'A) Base RI'!Y249</f>
        <v>-24695.9</v>
      </c>
      <c r="G249" s="387">
        <f t="shared" si="18"/>
        <v>604951.57999999996</v>
      </c>
      <c r="H249" s="10">
        <f>+'A) Base RI'!E249</f>
        <v>0</v>
      </c>
      <c r="I249" s="10">
        <f>+'A) Base RI'!F249</f>
        <v>0</v>
      </c>
      <c r="J249" s="10">
        <f>+'A) Base RI'!G249+'A) Base RI'!H249+'A) Base RI'!S249</f>
        <v>-25561.61</v>
      </c>
      <c r="K249" s="10">
        <f>+'A) Base RI'!I249</f>
        <v>0</v>
      </c>
      <c r="L249" s="10">
        <f>+'A) Base RI'!J249</f>
        <v>21624.85</v>
      </c>
      <c r="M249" s="10">
        <f>+'A) Base RI'!K249</f>
        <v>1744.95</v>
      </c>
      <c r="N249" s="10">
        <f>+'A) Base RI'!Q249</f>
        <v>-733.37</v>
      </c>
      <c r="O249" s="10">
        <f t="shared" si="19"/>
        <v>92319.25</v>
      </c>
      <c r="P249" s="10">
        <f>+'A) Base RI'!L249</f>
        <v>92319.25</v>
      </c>
      <c r="Q249" s="395">
        <f>'A) Base RI'!Z249</f>
        <v>1</v>
      </c>
      <c r="R249" s="387">
        <f t="shared" si="20"/>
        <v>694345.64999999991</v>
      </c>
      <c r="S249" s="428">
        <f>+'A) Base RI'!U249</f>
        <v>69</v>
      </c>
      <c r="T249" s="387">
        <f t="shared" si="21"/>
        <v>600281.44999999995</v>
      </c>
      <c r="U249" s="387">
        <f t="shared" si="22"/>
        <v>10062.980434782607</v>
      </c>
      <c r="V249" s="10">
        <f>+'A) Base RI'!O249</f>
        <v>0</v>
      </c>
      <c r="W249" s="10">
        <f>+'A) Base RI'!P249</f>
        <v>44013.45</v>
      </c>
      <c r="X249" s="10">
        <f>+'A) Base RI'!R249</f>
        <v>19216.5</v>
      </c>
      <c r="Y249" s="387">
        <f t="shared" si="23"/>
        <v>63229.95</v>
      </c>
      <c r="Z249" s="10">
        <f>+'A) Base RI'!N249</f>
        <v>5222.3500000000004</v>
      </c>
      <c r="AA249" s="10">
        <f>'A) Base RI'!V249</f>
        <v>407</v>
      </c>
    </row>
    <row r="250" spans="1:27" x14ac:dyDescent="0.25">
      <c r="A250" s="8">
        <f>'A) Base RI'!A250</f>
        <v>5821</v>
      </c>
      <c r="B250" s="32" t="str">
        <f>'A) Base RI'!B250</f>
        <v>Missy</v>
      </c>
      <c r="C250" s="10">
        <f>'A) Base RI'!C250+'A) Base RI'!D250</f>
        <v>508439.89999999997</v>
      </c>
      <c r="D250" s="10">
        <f>'A) Base RI'!W250</f>
        <v>-14061.66</v>
      </c>
      <c r="E250" s="384">
        <f>'A) Base RI'!X250</f>
        <v>0</v>
      </c>
      <c r="F250" s="384">
        <f>'A) Base RI'!Y250</f>
        <v>0</v>
      </c>
      <c r="G250" s="387">
        <f t="shared" si="18"/>
        <v>494378.23999999999</v>
      </c>
      <c r="H250" s="10">
        <f>+'A) Base RI'!E250</f>
        <v>0</v>
      </c>
      <c r="I250" s="10">
        <f>+'A) Base RI'!F250</f>
        <v>2230</v>
      </c>
      <c r="J250" s="10">
        <f>+'A) Base RI'!G250+'A) Base RI'!H250+'A) Base RI'!S250</f>
        <v>6697.72</v>
      </c>
      <c r="K250" s="10">
        <f>+'A) Base RI'!I250</f>
        <v>0</v>
      </c>
      <c r="L250" s="10">
        <f>+'A) Base RI'!J250</f>
        <v>21347.9</v>
      </c>
      <c r="M250" s="10">
        <f>+'A) Base RI'!K250</f>
        <v>1305</v>
      </c>
      <c r="N250" s="10">
        <f>+'A) Base RI'!Q250</f>
        <v>514.79999999999995</v>
      </c>
      <c r="O250" s="10">
        <f t="shared" si="19"/>
        <v>52743.7</v>
      </c>
      <c r="P250" s="10">
        <f>+'A) Base RI'!L250</f>
        <v>52743.7</v>
      </c>
      <c r="Q250" s="395">
        <f>'A) Base RI'!Z250</f>
        <v>1</v>
      </c>
      <c r="R250" s="387">
        <f t="shared" si="20"/>
        <v>579217.36</v>
      </c>
      <c r="S250" s="428">
        <f>+'A) Base RI'!U250</f>
        <v>72</v>
      </c>
      <c r="T250" s="387">
        <f t="shared" si="21"/>
        <v>522938.66</v>
      </c>
      <c r="U250" s="387">
        <f t="shared" si="22"/>
        <v>8044.6855555555558</v>
      </c>
      <c r="V250" s="10">
        <f>+'A) Base RI'!O250</f>
        <v>0</v>
      </c>
      <c r="W250" s="10">
        <f>+'A) Base RI'!P250</f>
        <v>8421.75</v>
      </c>
      <c r="X250" s="10">
        <f>+'A) Base RI'!R250</f>
        <v>16164</v>
      </c>
      <c r="Y250" s="387">
        <f t="shared" si="23"/>
        <v>24585.75</v>
      </c>
      <c r="Z250" s="10">
        <f>+'A) Base RI'!N250</f>
        <v>0</v>
      </c>
      <c r="AA250" s="10">
        <f>'A) Base RI'!V250</f>
        <v>366</v>
      </c>
    </row>
    <row r="251" spans="1:27" x14ac:dyDescent="0.25">
      <c r="A251" s="8">
        <f>'A) Base RI'!A251</f>
        <v>5822</v>
      </c>
      <c r="B251" s="32" t="str">
        <f>'A) Base RI'!B251</f>
        <v>Payerne</v>
      </c>
      <c r="C251" s="10">
        <f>'A) Base RI'!C251+'A) Base RI'!D251</f>
        <v>14321003.010000002</v>
      </c>
      <c r="D251" s="10">
        <f>'A) Base RI'!W251</f>
        <v>-528323.68999999994</v>
      </c>
      <c r="E251" s="384">
        <f>'A) Base RI'!X251</f>
        <v>0</v>
      </c>
      <c r="F251" s="384">
        <f>'A) Base RI'!Y251</f>
        <v>-3170.58</v>
      </c>
      <c r="G251" s="387">
        <f t="shared" si="18"/>
        <v>13789508.740000002</v>
      </c>
      <c r="H251" s="10">
        <f>+'A) Base RI'!E251</f>
        <v>0</v>
      </c>
      <c r="I251" s="10">
        <f>+'A) Base RI'!F251</f>
        <v>0</v>
      </c>
      <c r="J251" s="10">
        <f>+'A) Base RI'!G251+'A) Base RI'!H251+'A) Base RI'!S251</f>
        <v>1134017</v>
      </c>
      <c r="K251" s="10">
        <f>+'A) Base RI'!I251</f>
        <v>0</v>
      </c>
      <c r="L251" s="10">
        <f>+'A) Base RI'!J251</f>
        <v>684056.64</v>
      </c>
      <c r="M251" s="10">
        <f>+'A) Base RI'!K251</f>
        <v>209805.9</v>
      </c>
      <c r="N251" s="10">
        <f>+'A) Base RI'!Q251</f>
        <v>169489.4</v>
      </c>
      <c r="O251" s="10">
        <f t="shared" si="19"/>
        <v>1531986.75</v>
      </c>
      <c r="P251" s="10">
        <f>+'A) Base RI'!L251</f>
        <v>1531986.75</v>
      </c>
      <c r="Q251" s="395">
        <f>'A) Base RI'!Z251</f>
        <v>1</v>
      </c>
      <c r="R251" s="387">
        <f t="shared" si="20"/>
        <v>17518864.430000003</v>
      </c>
      <c r="S251" s="428">
        <f>+'A) Base RI'!U251</f>
        <v>73</v>
      </c>
      <c r="T251" s="387">
        <f t="shared" si="21"/>
        <v>15777071.780000003</v>
      </c>
      <c r="U251" s="387">
        <f t="shared" si="22"/>
        <v>239984.44424657538</v>
      </c>
      <c r="V251" s="10">
        <f>+'A) Base RI'!O251</f>
        <v>487838.2</v>
      </c>
      <c r="W251" s="10">
        <f>+'A) Base RI'!P251</f>
        <v>1137375.1000000001</v>
      </c>
      <c r="X251" s="10">
        <f>+'A) Base RI'!R251</f>
        <v>639524.65</v>
      </c>
      <c r="Y251" s="387">
        <f t="shared" si="23"/>
        <v>2264737.9500000002</v>
      </c>
      <c r="Z251" s="10">
        <f>+'A) Base RI'!N251</f>
        <v>26658.9</v>
      </c>
      <c r="AA251" s="10">
        <f>'A) Base RI'!V251</f>
        <v>10258</v>
      </c>
    </row>
    <row r="252" spans="1:27" x14ac:dyDescent="0.25">
      <c r="A252" s="8">
        <f>'A) Base RI'!A252</f>
        <v>5827</v>
      </c>
      <c r="B252" s="32" t="str">
        <f>'A) Base RI'!B252</f>
        <v>Trey</v>
      </c>
      <c r="C252" s="10">
        <f>'A) Base RI'!C252+'A) Base RI'!D252</f>
        <v>526382.49</v>
      </c>
      <c r="D252" s="10">
        <f>'A) Base RI'!W252</f>
        <v>-12646.72</v>
      </c>
      <c r="E252" s="384">
        <f>'A) Base RI'!X252</f>
        <v>0</v>
      </c>
      <c r="F252" s="384">
        <f>'A) Base RI'!Y252</f>
        <v>0</v>
      </c>
      <c r="G252" s="387">
        <f t="shared" si="18"/>
        <v>513735.77</v>
      </c>
      <c r="H252" s="10">
        <f>+'A) Base RI'!E252</f>
        <v>0</v>
      </c>
      <c r="I252" s="10">
        <f>+'A) Base RI'!F252</f>
        <v>1600</v>
      </c>
      <c r="J252" s="10">
        <f>+'A) Base RI'!G252+'A) Base RI'!H252+'A) Base RI'!S252</f>
        <v>8326.81</v>
      </c>
      <c r="K252" s="10">
        <f>+'A) Base RI'!I252</f>
        <v>0</v>
      </c>
      <c r="L252" s="10">
        <f>+'A) Base RI'!J252</f>
        <v>19238.439999999999</v>
      </c>
      <c r="M252" s="10">
        <f>+'A) Base RI'!K252</f>
        <v>1796.35</v>
      </c>
      <c r="N252" s="10">
        <f>+'A) Base RI'!Q252</f>
        <v>18140.900000000001</v>
      </c>
      <c r="O252" s="10">
        <f t="shared" si="19"/>
        <v>41462.35</v>
      </c>
      <c r="P252" s="10">
        <f>+'A) Base RI'!L252</f>
        <v>41462.35</v>
      </c>
      <c r="Q252" s="395">
        <f>'A) Base RI'!Z252</f>
        <v>1</v>
      </c>
      <c r="R252" s="387">
        <f t="shared" si="20"/>
        <v>604300.62</v>
      </c>
      <c r="S252" s="428">
        <f>+'A) Base RI'!U252</f>
        <v>78</v>
      </c>
      <c r="T252" s="387">
        <f t="shared" si="21"/>
        <v>559441.92000000004</v>
      </c>
      <c r="U252" s="387">
        <f t="shared" si="22"/>
        <v>7747.4438461538457</v>
      </c>
      <c r="V252" s="10">
        <f>+'A) Base RI'!O252</f>
        <v>0</v>
      </c>
      <c r="W252" s="10">
        <f>+'A) Base RI'!P252</f>
        <v>109292.4</v>
      </c>
      <c r="X252" s="10">
        <f>+'A) Base RI'!R252</f>
        <v>6090.35</v>
      </c>
      <c r="Y252" s="387">
        <f t="shared" si="23"/>
        <v>115382.75</v>
      </c>
      <c r="Z252" s="10">
        <f>+'A) Base RI'!N252</f>
        <v>0</v>
      </c>
      <c r="AA252" s="10">
        <f>'A) Base RI'!V252</f>
        <v>321</v>
      </c>
    </row>
    <row r="253" spans="1:27" x14ac:dyDescent="0.25">
      <c r="A253" s="8">
        <f>'A) Base RI'!A253</f>
        <v>5828</v>
      </c>
      <c r="B253" s="32" t="str">
        <f>'A) Base RI'!B253</f>
        <v>Treytorrens (Payerne)</v>
      </c>
      <c r="C253" s="10">
        <f>'A) Base RI'!C253+'A) Base RI'!D253</f>
        <v>223192.06</v>
      </c>
      <c r="D253" s="10">
        <f>'A) Base RI'!W253</f>
        <v>-888.96</v>
      </c>
      <c r="E253" s="384">
        <f>'A) Base RI'!X253</f>
        <v>0</v>
      </c>
      <c r="F253" s="384">
        <f>'A) Base RI'!Y253</f>
        <v>0</v>
      </c>
      <c r="G253" s="387">
        <f t="shared" si="18"/>
        <v>222303.1</v>
      </c>
      <c r="H253" s="10">
        <f>+'A) Base RI'!E253</f>
        <v>0</v>
      </c>
      <c r="I253" s="10">
        <f>+'A) Base RI'!F253</f>
        <v>0</v>
      </c>
      <c r="J253" s="10">
        <f>+'A) Base RI'!G253+'A) Base RI'!H253+'A) Base RI'!S253</f>
        <v>279.76</v>
      </c>
      <c r="K253" s="10">
        <f>+'A) Base RI'!I253</f>
        <v>0</v>
      </c>
      <c r="L253" s="10">
        <f>+'A) Base RI'!J253</f>
        <v>72.45</v>
      </c>
      <c r="M253" s="10">
        <f>+'A) Base RI'!K253</f>
        <v>0</v>
      </c>
      <c r="N253" s="10">
        <f>+'A) Base RI'!Q253</f>
        <v>0</v>
      </c>
      <c r="O253" s="10">
        <f t="shared" si="19"/>
        <v>16530.366666666665</v>
      </c>
      <c r="P253" s="10">
        <f>+'A) Base RI'!L253</f>
        <v>24795.55</v>
      </c>
      <c r="Q253" s="395">
        <f>'A) Base RI'!Z253</f>
        <v>1.5</v>
      </c>
      <c r="R253" s="387">
        <f t="shared" si="20"/>
        <v>239185.6766666667</v>
      </c>
      <c r="S253" s="428">
        <f>+'A) Base RI'!U253</f>
        <v>82.5</v>
      </c>
      <c r="T253" s="387">
        <f t="shared" si="21"/>
        <v>222655.31000000003</v>
      </c>
      <c r="U253" s="387">
        <f t="shared" si="22"/>
        <v>2899.2203232323236</v>
      </c>
      <c r="V253" s="10">
        <f>+'A) Base RI'!O253</f>
        <v>0</v>
      </c>
      <c r="W253" s="10">
        <f>+'A) Base RI'!P253</f>
        <v>9900</v>
      </c>
      <c r="X253" s="10">
        <f>+'A) Base RI'!R253</f>
        <v>3774.05</v>
      </c>
      <c r="Y253" s="387">
        <f t="shared" si="23"/>
        <v>13674.05</v>
      </c>
      <c r="Z253" s="10">
        <f>+'A) Base RI'!N253</f>
        <v>0</v>
      </c>
      <c r="AA253" s="10">
        <f>'A) Base RI'!V253</f>
        <v>110</v>
      </c>
    </row>
    <row r="254" spans="1:27" x14ac:dyDescent="0.25">
      <c r="A254" s="8">
        <f>'A) Base RI'!A254</f>
        <v>5830</v>
      </c>
      <c r="B254" s="32" t="str">
        <f>'A) Base RI'!B254</f>
        <v>Villarzel</v>
      </c>
      <c r="C254" s="10">
        <f>'A) Base RI'!C254+'A) Base RI'!D254</f>
        <v>840379.14</v>
      </c>
      <c r="D254" s="10">
        <f>'A) Base RI'!W254</f>
        <v>-5067.7700000000004</v>
      </c>
      <c r="E254" s="384">
        <f>'A) Base RI'!X254</f>
        <v>0</v>
      </c>
      <c r="F254" s="384">
        <f>'A) Base RI'!Y254</f>
        <v>-51.36</v>
      </c>
      <c r="G254" s="387">
        <f t="shared" si="18"/>
        <v>835260.01</v>
      </c>
      <c r="H254" s="10">
        <f>+'A) Base RI'!E254</f>
        <v>0</v>
      </c>
      <c r="I254" s="10">
        <f>+'A) Base RI'!F254</f>
        <v>0</v>
      </c>
      <c r="J254" s="10">
        <f>+'A) Base RI'!G254+'A) Base RI'!H254+'A) Base RI'!S254</f>
        <v>12545.18</v>
      </c>
      <c r="K254" s="10">
        <f>+'A) Base RI'!I254</f>
        <v>0</v>
      </c>
      <c r="L254" s="10">
        <f>+'A) Base RI'!J254</f>
        <v>12123.73</v>
      </c>
      <c r="M254" s="10">
        <f>+'A) Base RI'!K254</f>
        <v>441.2</v>
      </c>
      <c r="N254" s="10">
        <f>+'A) Base RI'!Q254</f>
        <v>9204.1</v>
      </c>
      <c r="O254" s="10">
        <f t="shared" si="19"/>
        <v>61174.8</v>
      </c>
      <c r="P254" s="10">
        <f>+'A) Base RI'!L254</f>
        <v>61174.8</v>
      </c>
      <c r="Q254" s="395">
        <f>'A) Base RI'!Z254</f>
        <v>1</v>
      </c>
      <c r="R254" s="387">
        <f t="shared" si="20"/>
        <v>930749.02</v>
      </c>
      <c r="S254" s="428">
        <f>+'A) Base RI'!U254</f>
        <v>75</v>
      </c>
      <c r="T254" s="387">
        <f t="shared" si="21"/>
        <v>869133.02</v>
      </c>
      <c r="U254" s="387">
        <f t="shared" si="22"/>
        <v>12409.986933333334</v>
      </c>
      <c r="V254" s="10">
        <f>+'A) Base RI'!O254</f>
        <v>19364.3</v>
      </c>
      <c r="W254" s="10">
        <f>+'A) Base RI'!P254</f>
        <v>50741.35</v>
      </c>
      <c r="X254" s="10">
        <f>+'A) Base RI'!R254</f>
        <v>54388.3</v>
      </c>
      <c r="Y254" s="387">
        <f t="shared" si="23"/>
        <v>124493.95</v>
      </c>
      <c r="Z254" s="10">
        <f>+'A) Base RI'!N254</f>
        <v>8196.65</v>
      </c>
      <c r="AA254" s="10">
        <f>'A) Base RI'!V254</f>
        <v>500</v>
      </c>
    </row>
    <row r="255" spans="1:27" x14ac:dyDescent="0.25">
      <c r="A255" s="8">
        <f>'A) Base RI'!A255</f>
        <v>5831</v>
      </c>
      <c r="B255" s="32" t="str">
        <f>'A) Base RI'!B255</f>
        <v>Valbroye</v>
      </c>
      <c r="C255" s="10">
        <f>'A) Base RI'!C255+'A) Base RI'!D255</f>
        <v>4954592.4800000004</v>
      </c>
      <c r="D255" s="10">
        <f>'A) Base RI'!W255</f>
        <v>-137134.32</v>
      </c>
      <c r="E255" s="384">
        <f>'A) Base RI'!X255</f>
        <v>0</v>
      </c>
      <c r="F255" s="384">
        <f>'A) Base RI'!Y255</f>
        <v>-591.34</v>
      </c>
      <c r="G255" s="387">
        <f t="shared" si="18"/>
        <v>4816866.82</v>
      </c>
      <c r="H255" s="10">
        <f>+'A) Base RI'!E255</f>
        <v>0</v>
      </c>
      <c r="I255" s="10">
        <f>+'A) Base RI'!F255</f>
        <v>0</v>
      </c>
      <c r="J255" s="10">
        <f>+'A) Base RI'!G255+'A) Base RI'!H255+'A) Base RI'!S255</f>
        <v>169321.99</v>
      </c>
      <c r="K255" s="10">
        <f>+'A) Base RI'!I255</f>
        <v>0</v>
      </c>
      <c r="L255" s="10">
        <f>+'A) Base RI'!J255</f>
        <v>163886.23000000001</v>
      </c>
      <c r="M255" s="10">
        <f>+'A) Base RI'!K255</f>
        <v>24539.599999999999</v>
      </c>
      <c r="N255" s="10">
        <f>+'A) Base RI'!Q255</f>
        <v>41332.51</v>
      </c>
      <c r="O255" s="10">
        <f t="shared" si="19"/>
        <v>499404.83333333337</v>
      </c>
      <c r="P255" s="10">
        <f>+'A) Base RI'!L255</f>
        <v>299642.90000000002</v>
      </c>
      <c r="Q255" s="395">
        <f>'A) Base RI'!Z255</f>
        <v>0.6</v>
      </c>
      <c r="R255" s="387">
        <f t="shared" si="20"/>
        <v>5715351.9833333334</v>
      </c>
      <c r="S255" s="428">
        <f>+'A) Base RI'!U255</f>
        <v>70.5</v>
      </c>
      <c r="T255" s="387">
        <f t="shared" si="21"/>
        <v>5191407.5500000007</v>
      </c>
      <c r="U255" s="387">
        <f t="shared" si="22"/>
        <v>81068.822458628842</v>
      </c>
      <c r="V255" s="10">
        <f>+'A) Base RI'!O255</f>
        <v>190844.4</v>
      </c>
      <c r="W255" s="10">
        <f>+'A) Base RI'!P255</f>
        <v>278818.25</v>
      </c>
      <c r="X255" s="10">
        <f>+'A) Base RI'!R255</f>
        <v>382124.95</v>
      </c>
      <c r="Y255" s="387">
        <f t="shared" si="23"/>
        <v>851787.60000000009</v>
      </c>
      <c r="Z255" s="10">
        <f>+'A) Base RI'!N255</f>
        <v>21377.35</v>
      </c>
      <c r="AA255" s="10">
        <f>'A) Base RI'!V255</f>
        <v>3349</v>
      </c>
    </row>
    <row r="256" spans="1:27" x14ac:dyDescent="0.25">
      <c r="A256" s="8">
        <f>'A) Base RI'!A256</f>
        <v>5841</v>
      </c>
      <c r="B256" s="32" t="str">
        <f>'A) Base RI'!B256</f>
        <v>Château-d'Oex</v>
      </c>
      <c r="C256" s="10">
        <f>'A) Base RI'!C256+'A) Base RI'!D256</f>
        <v>7096883.7800000003</v>
      </c>
      <c r="D256" s="10">
        <f>'A) Base RI'!W256</f>
        <v>-292514.46000000002</v>
      </c>
      <c r="E256" s="384">
        <f>'A) Base RI'!X256</f>
        <v>0</v>
      </c>
      <c r="F256" s="384">
        <f>'A) Base RI'!Y256</f>
        <v>-7607.52</v>
      </c>
      <c r="G256" s="387">
        <f t="shared" si="18"/>
        <v>6796761.8000000007</v>
      </c>
      <c r="H256" s="10">
        <f>+'A) Base RI'!E256</f>
        <v>0</v>
      </c>
      <c r="I256" s="10">
        <f>+'A) Base RI'!F256</f>
        <v>0</v>
      </c>
      <c r="J256" s="10">
        <f>+'A) Base RI'!G256+'A) Base RI'!H256+'A) Base RI'!S256</f>
        <v>180237.53</v>
      </c>
      <c r="K256" s="10">
        <f>+'A) Base RI'!I256</f>
        <v>607555.07999999996</v>
      </c>
      <c r="L256" s="10">
        <f>+'A) Base RI'!J256</f>
        <v>395554.33</v>
      </c>
      <c r="M256" s="10">
        <f>+'A) Base RI'!K256</f>
        <v>23339.8</v>
      </c>
      <c r="N256" s="10">
        <f>+'A) Base RI'!Q256</f>
        <v>7461.84</v>
      </c>
      <c r="O256" s="10">
        <f t="shared" si="19"/>
        <v>1023987.1</v>
      </c>
      <c r="P256" s="10">
        <f>+'A) Base RI'!L256</f>
        <v>1535980.65</v>
      </c>
      <c r="Q256" s="395">
        <f>'A) Base RI'!Z256</f>
        <v>1.5</v>
      </c>
      <c r="R256" s="387">
        <f t="shared" si="20"/>
        <v>9034897.4800000004</v>
      </c>
      <c r="S256" s="428">
        <f>+'A) Base RI'!U256</f>
        <v>81.5</v>
      </c>
      <c r="T256" s="387">
        <f t="shared" si="21"/>
        <v>7987570.580000001</v>
      </c>
      <c r="U256" s="387">
        <f t="shared" si="22"/>
        <v>110857.63779141105</v>
      </c>
      <c r="V256" s="10">
        <f>+'A) Base RI'!O256</f>
        <v>443777</v>
      </c>
      <c r="W256" s="10">
        <f>+'A) Base RI'!P256</f>
        <v>796748.95</v>
      </c>
      <c r="X256" s="10">
        <f>+'A) Base RI'!R256</f>
        <v>545825.94999999995</v>
      </c>
      <c r="Y256" s="387">
        <f t="shared" si="23"/>
        <v>1786351.9</v>
      </c>
      <c r="Z256" s="10">
        <f>+'A) Base RI'!N256</f>
        <v>4103.45</v>
      </c>
      <c r="AA256" s="10">
        <f>'A) Base RI'!V256</f>
        <v>3549</v>
      </c>
    </row>
    <row r="257" spans="1:27" x14ac:dyDescent="0.25">
      <c r="A257" s="8">
        <f>'A) Base RI'!A257</f>
        <v>5842</v>
      </c>
      <c r="B257" s="32" t="str">
        <f>'A) Base RI'!B257</f>
        <v>Rossinière</v>
      </c>
      <c r="C257" s="10">
        <f>'A) Base RI'!C257+'A) Base RI'!D257</f>
        <v>1002680.83</v>
      </c>
      <c r="D257" s="10">
        <f>'A) Base RI'!W257</f>
        <v>-3160.77</v>
      </c>
      <c r="E257" s="384">
        <f>'A) Base RI'!X257</f>
        <v>0</v>
      </c>
      <c r="F257" s="384">
        <f>'A) Base RI'!Y257</f>
        <v>-310.87</v>
      </c>
      <c r="G257" s="387">
        <f t="shared" si="18"/>
        <v>999209.19</v>
      </c>
      <c r="H257" s="10">
        <f>+'A) Base RI'!E257</f>
        <v>0</v>
      </c>
      <c r="I257" s="10">
        <f>+'A) Base RI'!F257</f>
        <v>0</v>
      </c>
      <c r="J257" s="10">
        <f>+'A) Base RI'!G257+'A) Base RI'!H257+'A) Base RI'!S257</f>
        <v>84488.97</v>
      </c>
      <c r="K257" s="10">
        <f>+'A) Base RI'!I257</f>
        <v>20057.8</v>
      </c>
      <c r="L257" s="10">
        <f>+'A) Base RI'!J257</f>
        <v>10197.969999999999</v>
      </c>
      <c r="M257" s="10">
        <f>+'A) Base RI'!K257</f>
        <v>916.35</v>
      </c>
      <c r="N257" s="10">
        <f>+'A) Base RI'!Q257</f>
        <v>0</v>
      </c>
      <c r="O257" s="10">
        <f t="shared" si="19"/>
        <v>95648.833333333328</v>
      </c>
      <c r="P257" s="10">
        <f>+'A) Base RI'!L257</f>
        <v>143473.25</v>
      </c>
      <c r="Q257" s="395">
        <f>'A) Base RI'!Z257</f>
        <v>1.5</v>
      </c>
      <c r="R257" s="387">
        <f t="shared" si="20"/>
        <v>1210519.1133333333</v>
      </c>
      <c r="S257" s="428">
        <f>+'A) Base RI'!U257</f>
        <v>81</v>
      </c>
      <c r="T257" s="387">
        <f t="shared" si="21"/>
        <v>1113953.93</v>
      </c>
      <c r="U257" s="387">
        <f t="shared" si="22"/>
        <v>14944.680411522633</v>
      </c>
      <c r="V257" s="10">
        <f>+'A) Base RI'!O257</f>
        <v>27713.5</v>
      </c>
      <c r="W257" s="10">
        <f>+'A) Base RI'!P257</f>
        <v>26823.7</v>
      </c>
      <c r="X257" s="10">
        <f>+'A) Base RI'!R257</f>
        <v>32625.15</v>
      </c>
      <c r="Y257" s="387">
        <f t="shared" si="23"/>
        <v>87162.35</v>
      </c>
      <c r="Z257" s="10">
        <f>+'A) Base RI'!N257</f>
        <v>0</v>
      </c>
      <c r="AA257" s="10">
        <f>'A) Base RI'!V257</f>
        <v>534</v>
      </c>
    </row>
    <row r="258" spans="1:27" x14ac:dyDescent="0.25">
      <c r="A258" s="8">
        <f>'A) Base RI'!A258</f>
        <v>5843</v>
      </c>
      <c r="B258" s="32" t="str">
        <f>'A) Base RI'!B258</f>
        <v>Rougemont</v>
      </c>
      <c r="C258" s="10">
        <f>'A) Base RI'!C258+'A) Base RI'!D258</f>
        <v>4547704.18</v>
      </c>
      <c r="D258" s="10">
        <f>'A) Base RI'!W258</f>
        <v>-12741.46</v>
      </c>
      <c r="E258" s="384">
        <f>'A) Base RI'!X258</f>
        <v>0</v>
      </c>
      <c r="F258" s="384">
        <f>'A) Base RI'!Y258</f>
        <v>-19721.29</v>
      </c>
      <c r="G258" s="387">
        <f t="shared" si="18"/>
        <v>4515241.43</v>
      </c>
      <c r="H258" s="10">
        <f>+'A) Base RI'!E258</f>
        <v>0</v>
      </c>
      <c r="I258" s="10">
        <f>+'A) Base RI'!F258</f>
        <v>0</v>
      </c>
      <c r="J258" s="10">
        <f>+'A) Base RI'!G258+'A) Base RI'!H258+'A) Base RI'!S258</f>
        <v>128014.79000000001</v>
      </c>
      <c r="K258" s="10">
        <f>+'A) Base RI'!I258</f>
        <v>1583236.52</v>
      </c>
      <c r="L258" s="10">
        <f>+'A) Base RI'!J258</f>
        <v>87280.53</v>
      </c>
      <c r="M258" s="10">
        <f>+'A) Base RI'!K258</f>
        <v>37320.050000000003</v>
      </c>
      <c r="N258" s="10">
        <f>+'A) Base RI'!Q258</f>
        <v>22904.38</v>
      </c>
      <c r="O258" s="10">
        <f t="shared" si="19"/>
        <v>810522.4</v>
      </c>
      <c r="P258" s="10">
        <f>+'A) Base RI'!L258</f>
        <v>1215783.6000000001</v>
      </c>
      <c r="Q258" s="395">
        <f>'A) Base RI'!Z258</f>
        <v>1.5</v>
      </c>
      <c r="R258" s="387">
        <f t="shared" si="20"/>
        <v>7184520.1000000006</v>
      </c>
      <c r="S258" s="428">
        <f>+'A) Base RI'!U258</f>
        <v>74</v>
      </c>
      <c r="T258" s="387">
        <f t="shared" si="21"/>
        <v>6336677.6500000004</v>
      </c>
      <c r="U258" s="387">
        <f t="shared" si="22"/>
        <v>97088.109459459462</v>
      </c>
      <c r="V258" s="10">
        <f>+'A) Base RI'!O258</f>
        <v>574714.4</v>
      </c>
      <c r="W258" s="10">
        <f>+'A) Base RI'!P258</f>
        <v>746902.4</v>
      </c>
      <c r="X258" s="10">
        <f>+'A) Base RI'!R258</f>
        <v>995117.3</v>
      </c>
      <c r="Y258" s="387">
        <f t="shared" si="23"/>
        <v>2316734.1</v>
      </c>
      <c r="Z258" s="10">
        <f>+'A) Base RI'!N258</f>
        <v>10483.35</v>
      </c>
      <c r="AA258" s="10">
        <f>'A) Base RI'!V258</f>
        <v>862</v>
      </c>
    </row>
    <row r="259" spans="1:27" x14ac:dyDescent="0.25">
      <c r="A259" s="8">
        <f>'A) Base RI'!A259</f>
        <v>5851</v>
      </c>
      <c r="B259" s="32" t="str">
        <f>'A) Base RI'!B259</f>
        <v>Allaman</v>
      </c>
      <c r="C259" s="10">
        <f>'A) Base RI'!C259+'A) Base RI'!D259</f>
        <v>1113825.68</v>
      </c>
      <c r="D259" s="10">
        <f>'A) Base RI'!W259</f>
        <v>-11973.54</v>
      </c>
      <c r="E259" s="384">
        <f>'A) Base RI'!X259</f>
        <v>0</v>
      </c>
      <c r="F259" s="384">
        <f>'A) Base RI'!Y259</f>
        <v>-916.92</v>
      </c>
      <c r="G259" s="387">
        <f t="shared" si="18"/>
        <v>1100935.22</v>
      </c>
      <c r="H259" s="10">
        <f>+'A) Base RI'!E259</f>
        <v>0</v>
      </c>
      <c r="I259" s="10">
        <f>+'A) Base RI'!F259</f>
        <v>0</v>
      </c>
      <c r="J259" s="10">
        <f>+'A) Base RI'!G259+'A) Base RI'!H259+'A) Base RI'!S259</f>
        <v>85373.96</v>
      </c>
      <c r="K259" s="10">
        <f>+'A) Base RI'!I259</f>
        <v>16716.099999999999</v>
      </c>
      <c r="L259" s="10">
        <f>+'A) Base RI'!J259</f>
        <v>43367.31</v>
      </c>
      <c r="M259" s="10">
        <f>+'A) Base RI'!K259</f>
        <v>23465</v>
      </c>
      <c r="N259" s="10">
        <f>+'A) Base RI'!Q259</f>
        <v>1194.1500000000001</v>
      </c>
      <c r="O259" s="10">
        <f t="shared" si="19"/>
        <v>221504.40909090909</v>
      </c>
      <c r="P259" s="10">
        <f>+'A) Base RI'!L259</f>
        <v>243654.85</v>
      </c>
      <c r="Q259" s="395">
        <f>'A) Base RI'!Z259</f>
        <v>1.1000000000000001</v>
      </c>
      <c r="R259" s="387">
        <f t="shared" si="20"/>
        <v>1492556.1490909092</v>
      </c>
      <c r="S259" s="428">
        <f>+'A) Base RI'!U259</f>
        <v>60</v>
      </c>
      <c r="T259" s="387">
        <f t="shared" si="21"/>
        <v>1247586.74</v>
      </c>
      <c r="U259" s="387">
        <f t="shared" si="22"/>
        <v>24875.935818181821</v>
      </c>
      <c r="V259" s="10">
        <f>+'A) Base RI'!O259</f>
        <v>46126.7</v>
      </c>
      <c r="W259" s="10">
        <f>+'A) Base RI'!P259</f>
        <v>25826.55</v>
      </c>
      <c r="X259" s="10">
        <f>+'A) Base RI'!R259</f>
        <v>0</v>
      </c>
      <c r="Y259" s="387">
        <f t="shared" si="23"/>
        <v>71953.25</v>
      </c>
      <c r="Z259" s="10">
        <f>+'A) Base RI'!N259</f>
        <v>59074.75</v>
      </c>
      <c r="AA259" s="10">
        <f>'A) Base RI'!V259</f>
        <v>430</v>
      </c>
    </row>
    <row r="260" spans="1:27" x14ac:dyDescent="0.25">
      <c r="A260" s="8">
        <f>'A) Base RI'!A260</f>
        <v>5852</v>
      </c>
      <c r="B260" s="32" t="str">
        <f>'A) Base RI'!B260</f>
        <v>Bursinel</v>
      </c>
      <c r="C260" s="10">
        <f>'A) Base RI'!C260+'A) Base RI'!D260</f>
        <v>1766075.25</v>
      </c>
      <c r="D260" s="10">
        <f>'A) Base RI'!W260</f>
        <v>-29844.94</v>
      </c>
      <c r="E260" s="384">
        <f>'A) Base RI'!X260</f>
        <v>0</v>
      </c>
      <c r="F260" s="384">
        <f>'A) Base RI'!Y260</f>
        <v>-66495.509999999995</v>
      </c>
      <c r="G260" s="387">
        <f t="shared" si="18"/>
        <v>1669734.8</v>
      </c>
      <c r="H260" s="10">
        <f>+'A) Base RI'!E260</f>
        <v>0</v>
      </c>
      <c r="I260" s="10">
        <f>+'A) Base RI'!F260</f>
        <v>0</v>
      </c>
      <c r="J260" s="10">
        <f>+'A) Base RI'!G260+'A) Base RI'!H260+'A) Base RI'!S260</f>
        <v>9593.65</v>
      </c>
      <c r="K260" s="10">
        <f>+'A) Base RI'!I260</f>
        <v>221080.95</v>
      </c>
      <c r="L260" s="10">
        <f>+'A) Base RI'!J260</f>
        <v>39511.160000000003</v>
      </c>
      <c r="M260" s="10">
        <f>+'A) Base RI'!K260</f>
        <v>7060.35</v>
      </c>
      <c r="N260" s="10">
        <f>+'A) Base RI'!Q260</f>
        <v>9680</v>
      </c>
      <c r="O260" s="10">
        <f t="shared" si="19"/>
        <v>190811.86666666667</v>
      </c>
      <c r="P260" s="10">
        <f>+'A) Base RI'!L260</f>
        <v>143108.9</v>
      </c>
      <c r="Q260" s="395">
        <f>'A) Base RI'!Z260</f>
        <v>0.75</v>
      </c>
      <c r="R260" s="387">
        <f t="shared" si="20"/>
        <v>2147472.7766666664</v>
      </c>
      <c r="S260" s="428">
        <f>+'A) Base RI'!U260</f>
        <v>62</v>
      </c>
      <c r="T260" s="387">
        <f t="shared" si="21"/>
        <v>1949600.5599999998</v>
      </c>
      <c r="U260" s="387">
        <f t="shared" si="22"/>
        <v>34636.657688172039</v>
      </c>
      <c r="V260" s="10">
        <f>+'A) Base RI'!O260</f>
        <v>-3500</v>
      </c>
      <c r="W260" s="10">
        <f>+'A) Base RI'!P260</f>
        <v>162199.95000000001</v>
      </c>
      <c r="X260" s="10">
        <f>+'A) Base RI'!R260</f>
        <v>176858.35</v>
      </c>
      <c r="Y260" s="387">
        <f t="shared" si="23"/>
        <v>335558.30000000005</v>
      </c>
      <c r="Z260" s="10">
        <f>+'A) Base RI'!N260</f>
        <v>9375.5499999999993</v>
      </c>
      <c r="AA260" s="10">
        <f>'A) Base RI'!V260</f>
        <v>515</v>
      </c>
    </row>
    <row r="261" spans="1:27" x14ac:dyDescent="0.25">
      <c r="A261" s="8">
        <f>'A) Base RI'!A261</f>
        <v>5853</v>
      </c>
      <c r="B261" s="32" t="str">
        <f>'A) Base RI'!B261</f>
        <v>Bursins</v>
      </c>
      <c r="C261" s="10">
        <f>'A) Base RI'!C261+'A) Base RI'!D261</f>
        <v>2581559.15</v>
      </c>
      <c r="D261" s="10">
        <f>'A) Base RI'!W261</f>
        <v>-37360.03</v>
      </c>
      <c r="E261" s="384">
        <f>'A) Base RI'!X261</f>
        <v>0</v>
      </c>
      <c r="F261" s="384">
        <f>'A) Base RI'!Y261</f>
        <v>-956.95</v>
      </c>
      <c r="G261" s="387">
        <f t="shared" si="18"/>
        <v>2543242.17</v>
      </c>
      <c r="H261" s="10">
        <f>+'A) Base RI'!E261</f>
        <v>0</v>
      </c>
      <c r="I261" s="10">
        <f>+'A) Base RI'!F261</f>
        <v>0</v>
      </c>
      <c r="J261" s="10">
        <f>+'A) Base RI'!G261+'A) Base RI'!H261+'A) Base RI'!S261</f>
        <v>46474.8</v>
      </c>
      <c r="K261" s="10">
        <f>+'A) Base RI'!I261</f>
        <v>305622.55</v>
      </c>
      <c r="L261" s="10">
        <f>+'A) Base RI'!J261</f>
        <v>22948.99</v>
      </c>
      <c r="M261" s="10">
        <f>+'A) Base RI'!K261</f>
        <v>12241.2</v>
      </c>
      <c r="N261" s="10">
        <f>+'A) Base RI'!Q261</f>
        <v>11620.92</v>
      </c>
      <c r="O261" s="10">
        <f t="shared" si="19"/>
        <v>216377.5</v>
      </c>
      <c r="P261" s="10">
        <f>+'A) Base RI'!L261</f>
        <v>216377.5</v>
      </c>
      <c r="Q261" s="395">
        <f>'A) Base RI'!Z261</f>
        <v>1</v>
      </c>
      <c r="R261" s="387">
        <f t="shared" si="20"/>
        <v>3158528.13</v>
      </c>
      <c r="S261" s="428">
        <f>+'A) Base RI'!U261</f>
        <v>71</v>
      </c>
      <c r="T261" s="387">
        <f t="shared" si="21"/>
        <v>2929909.4299999997</v>
      </c>
      <c r="U261" s="387">
        <f t="shared" si="22"/>
        <v>44486.311690140843</v>
      </c>
      <c r="V261" s="10">
        <f>+'A) Base RI'!O261</f>
        <v>49723.4</v>
      </c>
      <c r="W261" s="10">
        <f>+'A) Base RI'!P261</f>
        <v>262434.90000000002</v>
      </c>
      <c r="X261" s="10">
        <f>+'A) Base RI'!R261</f>
        <v>209867.1</v>
      </c>
      <c r="Y261" s="387">
        <f t="shared" si="23"/>
        <v>522025.4</v>
      </c>
      <c r="Z261" s="10">
        <f>+'A) Base RI'!N261</f>
        <v>82707.899999999994</v>
      </c>
      <c r="AA261" s="10">
        <f>'A) Base RI'!V261</f>
        <v>773</v>
      </c>
    </row>
    <row r="262" spans="1:27" x14ac:dyDescent="0.25">
      <c r="A262" s="8">
        <f>'A) Base RI'!A262</f>
        <v>5854</v>
      </c>
      <c r="B262" s="32" t="str">
        <f>'A) Base RI'!B262</f>
        <v>Burtigny</v>
      </c>
      <c r="C262" s="10">
        <f>'A) Base RI'!C262+'A) Base RI'!D262</f>
        <v>1117718.23</v>
      </c>
      <c r="D262" s="10">
        <f>'A) Base RI'!W262</f>
        <v>-1105.19</v>
      </c>
      <c r="E262" s="384">
        <f>'A) Base RI'!X262</f>
        <v>0</v>
      </c>
      <c r="F262" s="384">
        <f>'A) Base RI'!Y262</f>
        <v>-352.74</v>
      </c>
      <c r="G262" s="387">
        <f t="shared" si="18"/>
        <v>1116260.3</v>
      </c>
      <c r="H262" s="10">
        <f>+'A) Base RI'!E262</f>
        <v>0</v>
      </c>
      <c r="I262" s="10">
        <f>+'A) Base RI'!F262</f>
        <v>0</v>
      </c>
      <c r="J262" s="10">
        <f>+'A) Base RI'!G262+'A) Base RI'!H262+'A) Base RI'!S262</f>
        <v>9399.380000000001</v>
      </c>
      <c r="K262" s="10">
        <f>+'A) Base RI'!I262</f>
        <v>0</v>
      </c>
      <c r="L262" s="10">
        <f>+'A) Base RI'!J262</f>
        <v>16366.43</v>
      </c>
      <c r="M262" s="10">
        <f>+'A) Base RI'!K262</f>
        <v>2158.9</v>
      </c>
      <c r="N262" s="10">
        <f>+'A) Base RI'!Q262</f>
        <v>0</v>
      </c>
      <c r="O262" s="10">
        <f t="shared" si="19"/>
        <v>76292.366666666669</v>
      </c>
      <c r="P262" s="10">
        <f>+'A) Base RI'!L262</f>
        <v>114438.55</v>
      </c>
      <c r="Q262" s="395">
        <f>'A) Base RI'!Z262</f>
        <v>1.5</v>
      </c>
      <c r="R262" s="387">
        <f t="shared" si="20"/>
        <v>1220477.3766666665</v>
      </c>
      <c r="S262" s="428">
        <f>+'A) Base RI'!U262</f>
        <v>80</v>
      </c>
      <c r="T262" s="387">
        <f t="shared" si="21"/>
        <v>1142026.1099999999</v>
      </c>
      <c r="U262" s="387">
        <f t="shared" si="22"/>
        <v>15255.967208333332</v>
      </c>
      <c r="V262" s="10">
        <f>+'A) Base RI'!O262</f>
        <v>0</v>
      </c>
      <c r="W262" s="10">
        <f>+'A) Base RI'!P262</f>
        <v>8626.4</v>
      </c>
      <c r="X262" s="10">
        <f>+'A) Base RI'!R262</f>
        <v>36756.15</v>
      </c>
      <c r="Y262" s="387">
        <f t="shared" si="23"/>
        <v>45382.55</v>
      </c>
      <c r="Z262" s="10">
        <f>+'A) Base RI'!N262</f>
        <v>42212.55</v>
      </c>
      <c r="AA262" s="10">
        <f>'A) Base RI'!V262</f>
        <v>416</v>
      </c>
    </row>
    <row r="263" spans="1:27" x14ac:dyDescent="0.25">
      <c r="A263" s="8">
        <f>'A) Base RI'!A263</f>
        <v>5855</v>
      </c>
      <c r="B263" s="32" t="str">
        <f>'A) Base RI'!B263</f>
        <v>Dully</v>
      </c>
      <c r="C263" s="10">
        <f>'A) Base RI'!C263+'A) Base RI'!D263</f>
        <v>3328965.98</v>
      </c>
      <c r="D263" s="10">
        <f>'A) Base RI'!W263</f>
        <v>-127.1</v>
      </c>
      <c r="E263" s="384">
        <f>'A) Base RI'!X263</f>
        <v>0</v>
      </c>
      <c r="F263" s="384">
        <f>'A) Base RI'!Y263</f>
        <v>-24720.01</v>
      </c>
      <c r="G263" s="387">
        <f t="shared" si="18"/>
        <v>3304118.87</v>
      </c>
      <c r="H263" s="10">
        <f>+'A) Base RI'!E263</f>
        <v>0</v>
      </c>
      <c r="I263" s="10">
        <f>+'A) Base RI'!F263</f>
        <v>0</v>
      </c>
      <c r="J263" s="10">
        <f>+'A) Base RI'!G263+'A) Base RI'!H263+'A) Base RI'!S263</f>
        <v>99499.86</v>
      </c>
      <c r="K263" s="10">
        <f>+'A) Base RI'!I263</f>
        <v>758620.05</v>
      </c>
      <c r="L263" s="10">
        <f>+'A) Base RI'!J263</f>
        <v>41220.51</v>
      </c>
      <c r="M263" s="10">
        <f>+'A) Base RI'!K263</f>
        <v>16418.5</v>
      </c>
      <c r="N263" s="10">
        <f>+'A) Base RI'!Q263</f>
        <v>0</v>
      </c>
      <c r="O263" s="10">
        <f t="shared" si="19"/>
        <v>370645.7</v>
      </c>
      <c r="P263" s="10">
        <f>+'A) Base RI'!L263</f>
        <v>370645.7</v>
      </c>
      <c r="Q263" s="395">
        <f>'A) Base RI'!Z263</f>
        <v>1</v>
      </c>
      <c r="R263" s="387">
        <f t="shared" si="20"/>
        <v>4590523.49</v>
      </c>
      <c r="S263" s="428">
        <f>+'A) Base RI'!U263</f>
        <v>49</v>
      </c>
      <c r="T263" s="387">
        <f t="shared" si="21"/>
        <v>4203459.29</v>
      </c>
      <c r="U263" s="387">
        <f t="shared" si="22"/>
        <v>93684.152857142864</v>
      </c>
      <c r="V263" s="10">
        <f>+'A) Base RI'!O263</f>
        <v>0</v>
      </c>
      <c r="W263" s="10">
        <f>+'A) Base RI'!P263</f>
        <v>480920</v>
      </c>
      <c r="X263" s="10">
        <f>+'A) Base RI'!R263</f>
        <v>186622.65</v>
      </c>
      <c r="Y263" s="387">
        <f t="shared" si="23"/>
        <v>667542.65</v>
      </c>
      <c r="Z263" s="10">
        <f>+'A) Base RI'!N263</f>
        <v>1358.65</v>
      </c>
      <c r="AA263" s="10">
        <f>'A) Base RI'!V263</f>
        <v>634</v>
      </c>
    </row>
    <row r="264" spans="1:27" x14ac:dyDescent="0.25">
      <c r="A264" s="8">
        <f>'A) Base RI'!A264</f>
        <v>5856</v>
      </c>
      <c r="B264" s="32" t="str">
        <f>'A) Base RI'!B264</f>
        <v>Essertines-sur-Rolle</v>
      </c>
      <c r="C264" s="10">
        <f>'A) Base RI'!C264+'A) Base RI'!D264</f>
        <v>2281862.4300000002</v>
      </c>
      <c r="D264" s="10">
        <f>'A) Base RI'!W264</f>
        <v>-11108.16</v>
      </c>
      <c r="E264" s="384">
        <f>'A) Base RI'!X264</f>
        <v>0</v>
      </c>
      <c r="F264" s="384">
        <f>'A) Base RI'!Y264</f>
        <v>-1328.98</v>
      </c>
      <c r="G264" s="387">
        <f t="shared" ref="G264:G314" si="24">SUM(C264:F264)</f>
        <v>2269425.29</v>
      </c>
      <c r="H264" s="10">
        <f>+'A) Base RI'!E264</f>
        <v>0</v>
      </c>
      <c r="I264" s="10">
        <f>+'A) Base RI'!F264</f>
        <v>0</v>
      </c>
      <c r="J264" s="10">
        <f>+'A) Base RI'!G264+'A) Base RI'!H264+'A) Base RI'!S264</f>
        <v>17779.91</v>
      </c>
      <c r="K264" s="10">
        <f>+'A) Base RI'!I264</f>
        <v>289067.8</v>
      </c>
      <c r="L264" s="10">
        <f>+'A) Base RI'!J264</f>
        <v>22811.4</v>
      </c>
      <c r="M264" s="10">
        <f>+'A) Base RI'!K264</f>
        <v>2840.1</v>
      </c>
      <c r="N264" s="10">
        <f>+'A) Base RI'!Q264</f>
        <v>221.8</v>
      </c>
      <c r="O264" s="10">
        <f t="shared" ref="O264:O314" si="25">(P264/Q264)*1</f>
        <v>194888.26923076922</v>
      </c>
      <c r="P264" s="10">
        <f>+'A) Base RI'!L264</f>
        <v>253354.75</v>
      </c>
      <c r="Q264" s="395">
        <f>'A) Base RI'!Z264</f>
        <v>1.3</v>
      </c>
      <c r="R264" s="387">
        <f t="shared" ref="R264:R314" si="26">SUM(G264:O264)</f>
        <v>2797034.5692307688</v>
      </c>
      <c r="S264" s="428">
        <f>+'A) Base RI'!U264</f>
        <v>66.5</v>
      </c>
      <c r="T264" s="387">
        <f t="shared" ref="T264:T314" si="27">(G264+H264+J264+K264+L264+N264)</f>
        <v>2599306.1999999997</v>
      </c>
      <c r="U264" s="387">
        <f t="shared" ref="U264:U314" si="28">R264/S264</f>
        <v>42060.670213996527</v>
      </c>
      <c r="V264" s="10">
        <f>+'A) Base RI'!O264</f>
        <v>11110.6</v>
      </c>
      <c r="W264" s="10">
        <f>+'A) Base RI'!P264</f>
        <v>215233.5</v>
      </c>
      <c r="X264" s="10">
        <f>+'A) Base RI'!R264</f>
        <v>239416.85</v>
      </c>
      <c r="Y264" s="387">
        <f t="shared" ref="Y264:Y314" si="29">SUM(V264:X264)</f>
        <v>465760.95</v>
      </c>
      <c r="Z264" s="10">
        <f>+'A) Base RI'!N264</f>
        <v>6571.75</v>
      </c>
      <c r="AA264" s="10">
        <f>'A) Base RI'!V264</f>
        <v>753</v>
      </c>
    </row>
    <row r="265" spans="1:27" x14ac:dyDescent="0.25">
      <c r="A265" s="8">
        <f>'A) Base RI'!A265</f>
        <v>5857</v>
      </c>
      <c r="B265" s="32" t="str">
        <f>'A) Base RI'!B265</f>
        <v>Gilly</v>
      </c>
      <c r="C265" s="10">
        <f>'A) Base RI'!C265+'A) Base RI'!D265</f>
        <v>5260063.49</v>
      </c>
      <c r="D265" s="10">
        <f>'A) Base RI'!W265</f>
        <v>-35827.82</v>
      </c>
      <c r="E265" s="384">
        <f>'A) Base RI'!X265</f>
        <v>0</v>
      </c>
      <c r="F265" s="384">
        <f>'A) Base RI'!Y265</f>
        <v>-888.64</v>
      </c>
      <c r="G265" s="387">
        <f t="shared" si="24"/>
        <v>5223347.03</v>
      </c>
      <c r="H265" s="10">
        <f>+'A) Base RI'!E265</f>
        <v>0</v>
      </c>
      <c r="I265" s="10">
        <f>+'A) Base RI'!F265</f>
        <v>0</v>
      </c>
      <c r="J265" s="10">
        <f>+'A) Base RI'!G265+'A) Base RI'!H265+'A) Base RI'!S265</f>
        <v>31341.95</v>
      </c>
      <c r="K265" s="10">
        <f>+'A) Base RI'!I265</f>
        <v>0</v>
      </c>
      <c r="L265" s="10">
        <f>+'A) Base RI'!J265</f>
        <v>35675.550000000003</v>
      </c>
      <c r="M265" s="10">
        <f>+'A) Base RI'!K265</f>
        <v>21221.55</v>
      </c>
      <c r="N265" s="10">
        <f>+'A) Base RI'!Q265</f>
        <v>0</v>
      </c>
      <c r="O265" s="10">
        <f t="shared" si="25"/>
        <v>420306.65</v>
      </c>
      <c r="P265" s="10">
        <f>+'A) Base RI'!L265</f>
        <v>420306.65</v>
      </c>
      <c r="Q265" s="395">
        <f>'A) Base RI'!Z265</f>
        <v>1</v>
      </c>
      <c r="R265" s="387">
        <f t="shared" si="26"/>
        <v>5731892.7300000004</v>
      </c>
      <c r="S265" s="428">
        <f>+'A) Base RI'!U265</f>
        <v>64.5</v>
      </c>
      <c r="T265" s="387">
        <f t="shared" si="27"/>
        <v>5290364.53</v>
      </c>
      <c r="U265" s="387">
        <f t="shared" si="28"/>
        <v>88866.553953488372</v>
      </c>
      <c r="V265" s="10">
        <f>+'A) Base RI'!O265</f>
        <v>0</v>
      </c>
      <c r="W265" s="10">
        <f>+'A) Base RI'!P265</f>
        <v>249526.39999999999</v>
      </c>
      <c r="X265" s="10">
        <f>+'A) Base RI'!R265</f>
        <v>190326.55</v>
      </c>
      <c r="Y265" s="387">
        <f t="shared" si="29"/>
        <v>439852.94999999995</v>
      </c>
      <c r="Z265" s="10">
        <f>+'A) Base RI'!N265</f>
        <v>86130.95</v>
      </c>
      <c r="AA265" s="10">
        <f>'A) Base RI'!V265</f>
        <v>1438</v>
      </c>
    </row>
    <row r="266" spans="1:27" x14ac:dyDescent="0.25">
      <c r="A266" s="8">
        <f>'A) Base RI'!A266</f>
        <v>5858</v>
      </c>
      <c r="B266" s="32" t="str">
        <f>'A) Base RI'!B266</f>
        <v>Luins</v>
      </c>
      <c r="C266" s="10">
        <f>'A) Base RI'!C266+'A) Base RI'!D266</f>
        <v>1924022.05</v>
      </c>
      <c r="D266" s="10">
        <f>'A) Base RI'!W266</f>
        <v>-20864.740000000002</v>
      </c>
      <c r="E266" s="384">
        <f>'A) Base RI'!X266</f>
        <v>0</v>
      </c>
      <c r="F266" s="384">
        <f>'A) Base RI'!Y266</f>
        <v>-3434.34</v>
      </c>
      <c r="G266" s="387">
        <f t="shared" si="24"/>
        <v>1899722.97</v>
      </c>
      <c r="H266" s="10">
        <f>+'A) Base RI'!E266</f>
        <v>0</v>
      </c>
      <c r="I266" s="10">
        <f>+'A) Base RI'!F266</f>
        <v>0</v>
      </c>
      <c r="J266" s="10">
        <f>+'A) Base RI'!G266+'A) Base RI'!H266+'A) Base RI'!S266</f>
        <v>16014.78</v>
      </c>
      <c r="K266" s="10">
        <f>+'A) Base RI'!I266</f>
        <v>26062.26</v>
      </c>
      <c r="L266" s="10">
        <f>+'A) Base RI'!J266</f>
        <v>134330.93</v>
      </c>
      <c r="M266" s="10">
        <f>+'A) Base RI'!K266</f>
        <v>1653.9</v>
      </c>
      <c r="N266" s="10">
        <f>+'A) Base RI'!Q266</f>
        <v>1921.53</v>
      </c>
      <c r="O266" s="10">
        <f t="shared" si="25"/>
        <v>158117.36666666667</v>
      </c>
      <c r="P266" s="10">
        <f>+'A) Base RI'!L266</f>
        <v>237176.05</v>
      </c>
      <c r="Q266" s="395">
        <f>'A) Base RI'!Z266</f>
        <v>1.5</v>
      </c>
      <c r="R266" s="387">
        <f t="shared" si="26"/>
        <v>2237823.7366666663</v>
      </c>
      <c r="S266" s="428">
        <f>+'A) Base RI'!U266</f>
        <v>58.5</v>
      </c>
      <c r="T266" s="387">
        <f t="shared" si="27"/>
        <v>2078052.47</v>
      </c>
      <c r="U266" s="387">
        <f t="shared" si="28"/>
        <v>38253.397207977199</v>
      </c>
      <c r="V266" s="10">
        <f>+'A) Base RI'!O266</f>
        <v>370.8</v>
      </c>
      <c r="W266" s="10">
        <f>+'A) Base RI'!P266</f>
        <v>99996.4</v>
      </c>
      <c r="X266" s="10">
        <f>+'A) Base RI'!R266</f>
        <v>5618.45</v>
      </c>
      <c r="Y266" s="387">
        <f t="shared" si="29"/>
        <v>105985.65</v>
      </c>
      <c r="Z266" s="10">
        <f>+'A) Base RI'!N266</f>
        <v>3971.45</v>
      </c>
      <c r="AA266" s="10">
        <f>'A) Base RI'!V266</f>
        <v>630</v>
      </c>
    </row>
    <row r="267" spans="1:27" x14ac:dyDescent="0.25">
      <c r="A267" s="8">
        <f>'A) Base RI'!A267</f>
        <v>5859</v>
      </c>
      <c r="B267" s="32" t="str">
        <f>'A) Base RI'!B267</f>
        <v>Mont-sur-Rolle</v>
      </c>
      <c r="C267" s="10">
        <f>'A) Base RI'!C267+'A) Base RI'!D267</f>
        <v>9073825.5600000005</v>
      </c>
      <c r="D267" s="10">
        <f>'A) Base RI'!W267</f>
        <v>-44391.3</v>
      </c>
      <c r="E267" s="384">
        <f>'A) Base RI'!X267</f>
        <v>0</v>
      </c>
      <c r="F267" s="384">
        <f>'A) Base RI'!Y267</f>
        <v>-25732.32</v>
      </c>
      <c r="G267" s="387">
        <f t="shared" si="24"/>
        <v>9003701.9399999995</v>
      </c>
      <c r="H267" s="10">
        <f>+'A) Base RI'!E267</f>
        <v>0</v>
      </c>
      <c r="I267" s="10">
        <f>+'A) Base RI'!F267</f>
        <v>0</v>
      </c>
      <c r="J267" s="10">
        <f>+'A) Base RI'!G267+'A) Base RI'!H267+'A) Base RI'!S267</f>
        <v>131386.25</v>
      </c>
      <c r="K267" s="10">
        <f>+'A) Base RI'!I267</f>
        <v>251427.3</v>
      </c>
      <c r="L267" s="10">
        <f>+'A) Base RI'!J267</f>
        <v>120596.17</v>
      </c>
      <c r="M267" s="10">
        <f>+'A) Base RI'!K267</f>
        <v>26616.5</v>
      </c>
      <c r="N267" s="10">
        <f>+'A) Base RI'!Q267</f>
        <v>1342.99</v>
      </c>
      <c r="O267" s="10">
        <f t="shared" si="25"/>
        <v>682773.4</v>
      </c>
      <c r="P267" s="10">
        <f>+'A) Base RI'!L267</f>
        <v>682773.4</v>
      </c>
      <c r="Q267" s="395">
        <f>'A) Base RI'!Z267</f>
        <v>1</v>
      </c>
      <c r="R267" s="387">
        <f t="shared" si="26"/>
        <v>10217844.550000001</v>
      </c>
      <c r="S267" s="428">
        <f>+'A) Base RI'!U267</f>
        <v>63.5</v>
      </c>
      <c r="T267" s="387">
        <f t="shared" si="27"/>
        <v>9508454.6500000004</v>
      </c>
      <c r="U267" s="387">
        <f t="shared" si="28"/>
        <v>160910.93779527559</v>
      </c>
      <c r="V267" s="10">
        <f>+'A) Base RI'!O267</f>
        <v>454080.9</v>
      </c>
      <c r="W267" s="10">
        <f>+'A) Base RI'!P267</f>
        <v>772469.4</v>
      </c>
      <c r="X267" s="10">
        <f>+'A) Base RI'!R267</f>
        <v>444522.4</v>
      </c>
      <c r="Y267" s="387">
        <f t="shared" si="29"/>
        <v>1671072.7000000002</v>
      </c>
      <c r="Z267" s="10">
        <f>+'A) Base RI'!N267</f>
        <v>120212.6</v>
      </c>
      <c r="AA267" s="10">
        <f>'A) Base RI'!V267</f>
        <v>2739</v>
      </c>
    </row>
    <row r="268" spans="1:27" x14ac:dyDescent="0.25">
      <c r="A268" s="8">
        <f>'A) Base RI'!A268</f>
        <v>5860</v>
      </c>
      <c r="B268" s="32" t="str">
        <f>'A) Base RI'!B268</f>
        <v>Perroy</v>
      </c>
      <c r="C268" s="10">
        <f>'A) Base RI'!C268+'A) Base RI'!D268</f>
        <v>6368323.9000000004</v>
      </c>
      <c r="D268" s="10">
        <f>'A) Base RI'!W268</f>
        <v>-57853.54</v>
      </c>
      <c r="E268" s="384">
        <f>'A) Base RI'!X268</f>
        <v>0</v>
      </c>
      <c r="F268" s="384">
        <f>'A) Base RI'!Y268</f>
        <v>-48297.53</v>
      </c>
      <c r="G268" s="387">
        <f t="shared" si="24"/>
        <v>6262172.8300000001</v>
      </c>
      <c r="H268" s="10">
        <f>+'A) Base RI'!E268</f>
        <v>0</v>
      </c>
      <c r="I268" s="10">
        <f>+'A) Base RI'!F268</f>
        <v>0</v>
      </c>
      <c r="J268" s="10">
        <f>+'A) Base RI'!G268+'A) Base RI'!H268+'A) Base RI'!S268</f>
        <v>76054.78</v>
      </c>
      <c r="K268" s="10">
        <f>+'A) Base RI'!I268</f>
        <v>286540.95</v>
      </c>
      <c r="L268" s="10">
        <f>+'A) Base RI'!J268</f>
        <v>53145.32</v>
      </c>
      <c r="M268" s="10">
        <f>+'A) Base RI'!K268</f>
        <v>4677.8999999999996</v>
      </c>
      <c r="N268" s="10">
        <f>+'A) Base RI'!Q268</f>
        <v>43239.91</v>
      </c>
      <c r="O268" s="10">
        <f t="shared" si="25"/>
        <v>542331.23076923075</v>
      </c>
      <c r="P268" s="10">
        <f>+'A) Base RI'!L268</f>
        <v>705030.6</v>
      </c>
      <c r="Q268" s="395">
        <f>'A) Base RI'!Z268</f>
        <v>1.3</v>
      </c>
      <c r="R268" s="387">
        <f t="shared" si="26"/>
        <v>7268162.9207692323</v>
      </c>
      <c r="S268" s="428">
        <f>+'A) Base RI'!U268</f>
        <v>58.5</v>
      </c>
      <c r="T268" s="387">
        <f t="shared" si="27"/>
        <v>6721153.790000001</v>
      </c>
      <c r="U268" s="387">
        <f t="shared" si="28"/>
        <v>124242.10120973046</v>
      </c>
      <c r="V268" s="10">
        <f>+'A) Base RI'!O268</f>
        <v>51341.3</v>
      </c>
      <c r="W268" s="10">
        <f>+'A) Base RI'!P268</f>
        <v>554801.80000000005</v>
      </c>
      <c r="X268" s="10">
        <f>+'A) Base RI'!R268</f>
        <v>406854.35</v>
      </c>
      <c r="Y268" s="387">
        <f t="shared" si="29"/>
        <v>1012997.4500000001</v>
      </c>
      <c r="Z268" s="10">
        <f>+'A) Base RI'!N268</f>
        <v>19166.650000000001</v>
      </c>
      <c r="AA268" s="10">
        <f>'A) Base RI'!V268</f>
        <v>1514</v>
      </c>
    </row>
    <row r="269" spans="1:27" x14ac:dyDescent="0.25">
      <c r="A269" s="8">
        <f>'A) Base RI'!A269</f>
        <v>5861</v>
      </c>
      <c r="B269" s="32" t="str">
        <f>'A) Base RI'!B269</f>
        <v>Rolle</v>
      </c>
      <c r="C269" s="10">
        <f>'A) Base RI'!C269+'A) Base RI'!D269</f>
        <v>18293551.34</v>
      </c>
      <c r="D269" s="10">
        <f>'A) Base RI'!W269</f>
        <v>-332033.11</v>
      </c>
      <c r="E269" s="384">
        <f>'A) Base RI'!X269</f>
        <v>0</v>
      </c>
      <c r="F269" s="384">
        <f>'A) Base RI'!Y269</f>
        <v>-61342.879999999997</v>
      </c>
      <c r="G269" s="387">
        <f t="shared" si="24"/>
        <v>17900175.350000001</v>
      </c>
      <c r="H269" s="10">
        <f>+'A) Base RI'!E269</f>
        <v>0</v>
      </c>
      <c r="I269" s="10">
        <f>+'A) Base RI'!F269</f>
        <v>0</v>
      </c>
      <c r="J269" s="10">
        <f>+'A) Base RI'!G269+'A) Base RI'!H269+'A) Base RI'!S269</f>
        <v>15850363.74</v>
      </c>
      <c r="K269" s="10">
        <f>+'A) Base RI'!I269</f>
        <v>655911.5</v>
      </c>
      <c r="L269" s="10">
        <f>+'A) Base RI'!J269</f>
        <v>1326774.3799999999</v>
      </c>
      <c r="M269" s="10">
        <f>+'A) Base RI'!K269</f>
        <v>338690.9</v>
      </c>
      <c r="N269" s="10">
        <f>+'A) Base RI'!Q269</f>
        <v>32554.28</v>
      </c>
      <c r="O269" s="10">
        <f t="shared" si="25"/>
        <v>1864180.6</v>
      </c>
      <c r="P269" s="10">
        <f>+'A) Base RI'!L269</f>
        <v>1864180.6</v>
      </c>
      <c r="Q269" s="395">
        <f>'A) Base RI'!Z269</f>
        <v>1</v>
      </c>
      <c r="R269" s="387">
        <f t="shared" si="26"/>
        <v>37968650.750000007</v>
      </c>
      <c r="S269" s="428">
        <f>+'A) Base RI'!U269</f>
        <v>59.5</v>
      </c>
      <c r="T269" s="387">
        <f t="shared" si="27"/>
        <v>35765779.250000007</v>
      </c>
      <c r="U269" s="387">
        <f t="shared" si="28"/>
        <v>638128.58403361356</v>
      </c>
      <c r="V269" s="10">
        <f>+'A) Base RI'!O269</f>
        <v>1674898.2</v>
      </c>
      <c r="W269" s="10">
        <f>+'A) Base RI'!P269</f>
        <v>1019635.55</v>
      </c>
      <c r="X269" s="10">
        <f>+'A) Base RI'!R269</f>
        <v>797224.8</v>
      </c>
      <c r="Y269" s="387">
        <f t="shared" si="29"/>
        <v>3491758.55</v>
      </c>
      <c r="Z269" s="10">
        <f>+'A) Base RI'!N269</f>
        <v>223079.3</v>
      </c>
      <c r="AA269" s="10">
        <f>'A) Base RI'!V269</f>
        <v>6291</v>
      </c>
    </row>
    <row r="270" spans="1:27" x14ac:dyDescent="0.25">
      <c r="A270" s="8">
        <f>'A) Base RI'!A270</f>
        <v>5862</v>
      </c>
      <c r="B270" s="32" t="str">
        <f>'A) Base RI'!B270</f>
        <v>Tartegnin</v>
      </c>
      <c r="C270" s="10">
        <f>'A) Base RI'!C270+'A) Base RI'!D270</f>
        <v>587715.65</v>
      </c>
      <c r="D270" s="10">
        <f>'A) Base RI'!W270</f>
        <v>-26753.33</v>
      </c>
      <c r="E270" s="384">
        <f>'A) Base RI'!X270</f>
        <v>0</v>
      </c>
      <c r="F270" s="384">
        <f>'A) Base RI'!Y270</f>
        <v>-74.75</v>
      </c>
      <c r="G270" s="387">
        <f t="shared" si="24"/>
        <v>560887.57000000007</v>
      </c>
      <c r="H270" s="10">
        <f>+'A) Base RI'!E270</f>
        <v>0</v>
      </c>
      <c r="I270" s="10">
        <f>+'A) Base RI'!F270</f>
        <v>0</v>
      </c>
      <c r="J270" s="10">
        <f>+'A) Base RI'!G270+'A) Base RI'!H270+'A) Base RI'!S270</f>
        <v>2307.6800000000003</v>
      </c>
      <c r="K270" s="10">
        <f>+'A) Base RI'!I270</f>
        <v>0</v>
      </c>
      <c r="L270" s="10">
        <f>+'A) Base RI'!J270</f>
        <v>6624.19</v>
      </c>
      <c r="M270" s="10">
        <f>+'A) Base RI'!K270</f>
        <v>0</v>
      </c>
      <c r="N270" s="10">
        <f>+'A) Base RI'!Q270</f>
        <v>3331.82</v>
      </c>
      <c r="O270" s="10">
        <f t="shared" si="25"/>
        <v>50239.5</v>
      </c>
      <c r="P270" s="10">
        <f>+'A) Base RI'!L270</f>
        <v>50239.5</v>
      </c>
      <c r="Q270" s="395">
        <f>'A) Base RI'!Z270</f>
        <v>1</v>
      </c>
      <c r="R270" s="387">
        <f t="shared" si="26"/>
        <v>623390.76</v>
      </c>
      <c r="S270" s="428">
        <f>+'A) Base RI'!U270</f>
        <v>79</v>
      </c>
      <c r="T270" s="387">
        <f t="shared" si="27"/>
        <v>573151.26</v>
      </c>
      <c r="U270" s="387">
        <f t="shared" si="28"/>
        <v>7891.022278481013</v>
      </c>
      <c r="V270" s="10">
        <f>+'A) Base RI'!O270</f>
        <v>246.6</v>
      </c>
      <c r="W270" s="10">
        <f>+'A) Base RI'!P270</f>
        <v>15240.15</v>
      </c>
      <c r="X270" s="10">
        <f>+'A) Base RI'!R270</f>
        <v>17265.55</v>
      </c>
      <c r="Y270" s="387">
        <f t="shared" si="29"/>
        <v>32752.3</v>
      </c>
      <c r="Z270" s="10">
        <f>+'A) Base RI'!N270</f>
        <v>5530.15</v>
      </c>
      <c r="AA270" s="10">
        <f>'A) Base RI'!V270</f>
        <v>241</v>
      </c>
    </row>
    <row r="271" spans="1:27" x14ac:dyDescent="0.25">
      <c r="A271" s="8">
        <f>'A) Base RI'!A271</f>
        <v>5863</v>
      </c>
      <c r="B271" s="32" t="str">
        <f>'A) Base RI'!B271</f>
        <v>Vinzel</v>
      </c>
      <c r="C271" s="10">
        <f>'A) Base RI'!C271+'A) Base RI'!D271</f>
        <v>1249194.19</v>
      </c>
      <c r="D271" s="10">
        <f>'A) Base RI'!W271</f>
        <v>-13258.33</v>
      </c>
      <c r="E271" s="384">
        <f>'A) Base RI'!X271</f>
        <v>0</v>
      </c>
      <c r="F271" s="384">
        <f>'A) Base RI'!Y271</f>
        <v>-1671.28</v>
      </c>
      <c r="G271" s="387">
        <f t="shared" si="24"/>
        <v>1234264.5799999998</v>
      </c>
      <c r="H271" s="10">
        <f>+'A) Base RI'!E271</f>
        <v>0</v>
      </c>
      <c r="I271" s="10">
        <f>+'A) Base RI'!F271</f>
        <v>0</v>
      </c>
      <c r="J271" s="10">
        <f>+'A) Base RI'!G271+'A) Base RI'!H271+'A) Base RI'!S271</f>
        <v>24978.37</v>
      </c>
      <c r="K271" s="10">
        <f>+'A) Base RI'!I271</f>
        <v>42873.3</v>
      </c>
      <c r="L271" s="10">
        <f>+'A) Base RI'!J271</f>
        <v>46887.76</v>
      </c>
      <c r="M271" s="10">
        <f>+'A) Base RI'!K271</f>
        <v>2189.4</v>
      </c>
      <c r="N271" s="10">
        <f>+'A) Base RI'!Q271</f>
        <v>0</v>
      </c>
      <c r="O271" s="10">
        <f t="shared" si="25"/>
        <v>84223.2</v>
      </c>
      <c r="P271" s="10">
        <f>+'A) Base RI'!L271</f>
        <v>84223.2</v>
      </c>
      <c r="Q271" s="395">
        <f>'A) Base RI'!Z271</f>
        <v>1</v>
      </c>
      <c r="R271" s="387">
        <f t="shared" si="26"/>
        <v>1435416.6099999999</v>
      </c>
      <c r="S271" s="428">
        <f>+'A) Base RI'!U271</f>
        <v>67</v>
      </c>
      <c r="T271" s="387">
        <f t="shared" si="27"/>
        <v>1349004.01</v>
      </c>
      <c r="U271" s="387">
        <f t="shared" si="28"/>
        <v>21424.128507462683</v>
      </c>
      <c r="V271" s="10">
        <f>+'A) Base RI'!O271</f>
        <v>0</v>
      </c>
      <c r="W271" s="10">
        <f>+'A) Base RI'!P271</f>
        <v>112519.5</v>
      </c>
      <c r="X271" s="10">
        <f>+'A) Base RI'!R271</f>
        <v>85563.15</v>
      </c>
      <c r="Y271" s="387">
        <f t="shared" si="29"/>
        <v>198082.65</v>
      </c>
      <c r="Z271" s="10">
        <f>+'A) Base RI'!N271</f>
        <v>18683.7</v>
      </c>
      <c r="AA271" s="10">
        <f>'A) Base RI'!V271</f>
        <v>369</v>
      </c>
    </row>
    <row r="272" spans="1:27" x14ac:dyDescent="0.25">
      <c r="A272" s="8">
        <f>'A) Base RI'!A272</f>
        <v>5871</v>
      </c>
      <c r="B272" s="32" t="str">
        <f>'A) Base RI'!B272</f>
        <v>L'Abbaye</v>
      </c>
      <c r="C272" s="10">
        <f>'A) Base RI'!C272+'A) Base RI'!D272</f>
        <v>3575954</v>
      </c>
      <c r="D272" s="10">
        <f>'A) Base RI'!W272</f>
        <v>-88551.23</v>
      </c>
      <c r="E272" s="384">
        <f>'A) Base RI'!X272</f>
        <v>0</v>
      </c>
      <c r="F272" s="384">
        <f>'A) Base RI'!Y272</f>
        <v>-372.69</v>
      </c>
      <c r="G272" s="387">
        <f t="shared" si="24"/>
        <v>3487030.08</v>
      </c>
      <c r="H272" s="10">
        <f>+'A) Base RI'!E272</f>
        <v>0</v>
      </c>
      <c r="I272" s="10">
        <f>+'A) Base RI'!F272</f>
        <v>0</v>
      </c>
      <c r="J272" s="10">
        <f>+'A) Base RI'!G272+'A) Base RI'!H272+'A) Base RI'!S272</f>
        <v>150025.88</v>
      </c>
      <c r="K272" s="10">
        <f>+'A) Base RI'!I272</f>
        <v>0</v>
      </c>
      <c r="L272" s="10">
        <f>+'A) Base RI'!J272</f>
        <v>75243.06</v>
      </c>
      <c r="M272" s="10">
        <f>+'A) Base RI'!K272</f>
        <v>1864.6</v>
      </c>
      <c r="N272" s="10">
        <f>+'A) Base RI'!Q272</f>
        <v>58010.5</v>
      </c>
      <c r="O272" s="10">
        <f t="shared" si="25"/>
        <v>276305.8</v>
      </c>
      <c r="P272" s="10">
        <f>+'A) Base RI'!L272</f>
        <v>276305.8</v>
      </c>
      <c r="Q272" s="395">
        <f>'A) Base RI'!Z272</f>
        <v>1</v>
      </c>
      <c r="R272" s="387">
        <f t="shared" si="26"/>
        <v>4048479.92</v>
      </c>
      <c r="S272" s="428">
        <f>+'A) Base RI'!U272</f>
        <v>77.650000000000006</v>
      </c>
      <c r="T272" s="387">
        <f t="shared" si="27"/>
        <v>3770309.52</v>
      </c>
      <c r="U272" s="387">
        <f t="shared" si="28"/>
        <v>52137.53921442369</v>
      </c>
      <c r="V272" s="10">
        <f>+'A) Base RI'!O272</f>
        <v>156841.9</v>
      </c>
      <c r="W272" s="10">
        <f>+'A) Base RI'!P272</f>
        <v>171152.4</v>
      </c>
      <c r="X272" s="10">
        <f>+'A) Base RI'!R272</f>
        <v>178978.75</v>
      </c>
      <c r="Y272" s="387">
        <f t="shared" si="29"/>
        <v>506973.05</v>
      </c>
      <c r="Z272" s="10">
        <f>+'A) Base RI'!N272</f>
        <v>774954</v>
      </c>
      <c r="AA272" s="10">
        <f>'A) Base RI'!V272</f>
        <v>1521</v>
      </c>
    </row>
    <row r="273" spans="1:27" x14ac:dyDescent="0.25">
      <c r="A273" s="8">
        <f>'A) Base RI'!A273</f>
        <v>5872</v>
      </c>
      <c r="B273" s="32" t="str">
        <f>'A) Base RI'!B273</f>
        <v>Le Chenit</v>
      </c>
      <c r="C273" s="10">
        <f>'A) Base RI'!C273+'A) Base RI'!D273</f>
        <v>7595371.7199999997</v>
      </c>
      <c r="D273" s="10">
        <f>'A) Base RI'!W273</f>
        <v>-106252.5</v>
      </c>
      <c r="E273" s="384">
        <f>'A) Base RI'!X273</f>
        <v>0</v>
      </c>
      <c r="F273" s="384">
        <f>'A) Base RI'!Y273</f>
        <v>-6231.42</v>
      </c>
      <c r="G273" s="387">
        <f t="shared" si="24"/>
        <v>7482887.7999999998</v>
      </c>
      <c r="H273" s="10">
        <f>+'A) Base RI'!E273</f>
        <v>0</v>
      </c>
      <c r="I273" s="10">
        <f>+'A) Base RI'!F273</f>
        <v>0</v>
      </c>
      <c r="J273" s="10">
        <f>+'A) Base RI'!G273+'A) Base RI'!H273+'A) Base RI'!S273</f>
        <v>4488923.43</v>
      </c>
      <c r="K273" s="10">
        <f>+'A) Base RI'!I273</f>
        <v>0</v>
      </c>
      <c r="L273" s="10">
        <f>+'A) Base RI'!J273</f>
        <v>466676.81</v>
      </c>
      <c r="M273" s="10">
        <f>+'A) Base RI'!K273</f>
        <v>55805.05</v>
      </c>
      <c r="N273" s="10">
        <f>+'A) Base RI'!Q273</f>
        <v>68523.38</v>
      </c>
      <c r="O273" s="10">
        <f t="shared" si="25"/>
        <v>778011.3</v>
      </c>
      <c r="P273" s="10">
        <f>+'A) Base RI'!L273</f>
        <v>778011.3</v>
      </c>
      <c r="Q273" s="395">
        <f>'A) Base RI'!Z273</f>
        <v>1</v>
      </c>
      <c r="R273" s="387">
        <f t="shared" si="26"/>
        <v>13340827.770000003</v>
      </c>
      <c r="S273" s="428">
        <f>+'A) Base RI'!U273</f>
        <v>66.989999999999995</v>
      </c>
      <c r="T273" s="387">
        <f t="shared" si="27"/>
        <v>12507011.420000002</v>
      </c>
      <c r="U273" s="387">
        <f t="shared" si="28"/>
        <v>199146.55575459031</v>
      </c>
      <c r="V273" s="10">
        <f>+'A) Base RI'!O273</f>
        <v>916450.5</v>
      </c>
      <c r="W273" s="10">
        <f>+'A) Base RI'!P273</f>
        <v>421204.85</v>
      </c>
      <c r="X273" s="10">
        <f>+'A) Base RI'!R273</f>
        <v>395737.2</v>
      </c>
      <c r="Y273" s="387">
        <f t="shared" si="29"/>
        <v>1733392.55</v>
      </c>
      <c r="Z273" s="10">
        <f>+'A) Base RI'!N273</f>
        <v>6657622.0499999998</v>
      </c>
      <c r="AA273" s="10">
        <f>'A) Base RI'!V273</f>
        <v>4569</v>
      </c>
    </row>
    <row r="274" spans="1:27" x14ac:dyDescent="0.25">
      <c r="A274" s="8">
        <f>'A) Base RI'!A274</f>
        <v>5873</v>
      </c>
      <c r="B274" s="32" t="str">
        <f>'A) Base RI'!B274</f>
        <v>Le Lieu</v>
      </c>
      <c r="C274" s="10">
        <f>'A) Base RI'!C274+'A) Base RI'!D274</f>
        <v>1733890.5</v>
      </c>
      <c r="D274" s="10">
        <f>'A) Base RI'!W274</f>
        <v>-23219.39</v>
      </c>
      <c r="E274" s="384">
        <f>'A) Base RI'!X274</f>
        <v>0</v>
      </c>
      <c r="F274" s="384">
        <f>'A) Base RI'!Y274</f>
        <v>-402.41</v>
      </c>
      <c r="G274" s="387">
        <f t="shared" si="24"/>
        <v>1710268.7000000002</v>
      </c>
      <c r="H274" s="10">
        <f>+'A) Base RI'!E274</f>
        <v>0</v>
      </c>
      <c r="I274" s="10">
        <f>+'A) Base RI'!F274</f>
        <v>0</v>
      </c>
      <c r="J274" s="10">
        <f>+'A) Base RI'!G274+'A) Base RI'!H274+'A) Base RI'!S274</f>
        <v>270550.58</v>
      </c>
      <c r="K274" s="10">
        <f>+'A) Base RI'!I274</f>
        <v>0</v>
      </c>
      <c r="L274" s="10">
        <f>+'A) Base RI'!J274</f>
        <v>64565.08</v>
      </c>
      <c r="M274" s="10">
        <f>+'A) Base RI'!K274</f>
        <v>0</v>
      </c>
      <c r="N274" s="10">
        <f>+'A) Base RI'!Q274</f>
        <v>9158.26</v>
      </c>
      <c r="O274" s="10">
        <f t="shared" si="25"/>
        <v>148716.43749999997</v>
      </c>
      <c r="P274" s="10">
        <f>+'A) Base RI'!L274</f>
        <v>118973.15</v>
      </c>
      <c r="Q274" s="395">
        <f>'A) Base RI'!Z274</f>
        <v>0.8</v>
      </c>
      <c r="R274" s="387">
        <f t="shared" si="26"/>
        <v>2203259.0575000001</v>
      </c>
      <c r="S274" s="428">
        <f>+'A) Base RI'!U274</f>
        <v>70</v>
      </c>
      <c r="T274" s="387">
        <f t="shared" si="27"/>
        <v>2054542.6200000003</v>
      </c>
      <c r="U274" s="387">
        <f t="shared" si="28"/>
        <v>31475.129392857143</v>
      </c>
      <c r="V274" s="10">
        <f>+'A) Base RI'!O274</f>
        <v>107400</v>
      </c>
      <c r="W274" s="10">
        <f>+'A) Base RI'!P274</f>
        <v>36203.15</v>
      </c>
      <c r="X274" s="10">
        <f>+'A) Base RI'!R274</f>
        <v>62741.8</v>
      </c>
      <c r="Y274" s="387">
        <f t="shared" si="29"/>
        <v>206344.95</v>
      </c>
      <c r="Z274" s="10">
        <f>+'A) Base RI'!N274</f>
        <v>899203.4</v>
      </c>
      <c r="AA274" s="10">
        <f>'A) Base RI'!V274</f>
        <v>881</v>
      </c>
    </row>
    <row r="275" spans="1:27" x14ac:dyDescent="0.25">
      <c r="A275" s="8">
        <f>'A) Base RI'!A275</f>
        <v>5881</v>
      </c>
      <c r="B275" s="32" t="str">
        <f>'A) Base RI'!B275</f>
        <v>Blonay</v>
      </c>
      <c r="C275" s="10">
        <f>'A) Base RI'!C275+'A) Base RI'!D275</f>
        <v>23038610.529999997</v>
      </c>
      <c r="D275" s="10">
        <f>'A) Base RI'!W275</f>
        <v>-489682.34</v>
      </c>
      <c r="E275" s="384">
        <f>'A) Base RI'!X275</f>
        <v>0</v>
      </c>
      <c r="F275" s="384">
        <f>'A) Base RI'!Y275</f>
        <v>-24339.97</v>
      </c>
      <c r="G275" s="387">
        <f t="shared" si="24"/>
        <v>22524588.219999999</v>
      </c>
      <c r="H275" s="10">
        <f>+'A) Base RI'!E275</f>
        <v>0</v>
      </c>
      <c r="I275" s="10">
        <f>+'A) Base RI'!F275</f>
        <v>0</v>
      </c>
      <c r="J275" s="10">
        <f>+'A) Base RI'!G275+'A) Base RI'!H275+'A) Base RI'!S275</f>
        <v>502026.67</v>
      </c>
      <c r="K275" s="10">
        <f>+'A) Base RI'!I275</f>
        <v>568839.22</v>
      </c>
      <c r="L275" s="10">
        <f>+'A) Base RI'!J275</f>
        <v>-99312.89</v>
      </c>
      <c r="M275" s="10">
        <f>+'A) Base RI'!K275</f>
        <v>68498.850000000006</v>
      </c>
      <c r="N275" s="10">
        <f>+'A) Base RI'!Q275</f>
        <v>134100.25</v>
      </c>
      <c r="O275" s="10">
        <f t="shared" si="25"/>
        <v>1742292.45</v>
      </c>
      <c r="P275" s="10">
        <f>+'A) Base RI'!L275</f>
        <v>1742292.45</v>
      </c>
      <c r="Q275" s="395">
        <f>'A) Base RI'!Z275</f>
        <v>1</v>
      </c>
      <c r="R275" s="387">
        <f t="shared" si="26"/>
        <v>25441032.77</v>
      </c>
      <c r="S275" s="428">
        <f>+'A) Base RI'!U275</f>
        <v>68.5</v>
      </c>
      <c r="T275" s="387">
        <f t="shared" si="27"/>
        <v>23630241.469999999</v>
      </c>
      <c r="U275" s="387">
        <f t="shared" si="28"/>
        <v>371401.9382481752</v>
      </c>
      <c r="V275" s="10">
        <f>+'A) Base RI'!O275</f>
        <v>1948131.18</v>
      </c>
      <c r="W275" s="10">
        <f>+'A) Base RI'!P275</f>
        <v>1605703.7</v>
      </c>
      <c r="X275" s="10">
        <f>+'A) Base RI'!R275</f>
        <v>1279249.55</v>
      </c>
      <c r="Y275" s="387">
        <f t="shared" si="29"/>
        <v>4833084.43</v>
      </c>
      <c r="Z275" s="10">
        <f>+'A) Base RI'!N275</f>
        <v>69243.399999999994</v>
      </c>
      <c r="AA275" s="10">
        <f>'A) Base RI'!V275</f>
        <v>6291</v>
      </c>
    </row>
    <row r="276" spans="1:27" x14ac:dyDescent="0.25">
      <c r="A276" s="8">
        <f>'A) Base RI'!A276</f>
        <v>5882</v>
      </c>
      <c r="B276" s="32" t="str">
        <f>'A) Base RI'!B276</f>
        <v>Chardonne</v>
      </c>
      <c r="C276" s="10">
        <f>'A) Base RI'!C276+'A) Base RI'!D276</f>
        <v>10783665.02</v>
      </c>
      <c r="D276" s="10">
        <f>'A) Base RI'!W276</f>
        <v>-57817.440000000002</v>
      </c>
      <c r="E276" s="384">
        <f>'A) Base RI'!X276</f>
        <v>0</v>
      </c>
      <c r="F276" s="384">
        <f>'A) Base RI'!Y276</f>
        <v>-32860.769999999997</v>
      </c>
      <c r="G276" s="387">
        <f t="shared" si="24"/>
        <v>10692986.810000001</v>
      </c>
      <c r="H276" s="10">
        <f>+'A) Base RI'!E276</f>
        <v>0</v>
      </c>
      <c r="I276" s="10">
        <f>+'A) Base RI'!F276</f>
        <v>0</v>
      </c>
      <c r="J276" s="10">
        <f>+'A) Base RI'!G276+'A) Base RI'!H276+'A) Base RI'!S276</f>
        <v>203319.9</v>
      </c>
      <c r="K276" s="10">
        <f>+'A) Base RI'!I276</f>
        <v>577853.94999999995</v>
      </c>
      <c r="L276" s="10">
        <f>+'A) Base RI'!J276</f>
        <v>169623.76</v>
      </c>
      <c r="M276" s="10">
        <f>+'A) Base RI'!K276</f>
        <v>51194.35</v>
      </c>
      <c r="N276" s="10">
        <f>+'A) Base RI'!Q276</f>
        <v>12390.21</v>
      </c>
      <c r="O276" s="10">
        <f t="shared" si="25"/>
        <v>1005198.66</v>
      </c>
      <c r="P276" s="10">
        <f>+'A) Base RI'!L276</f>
        <v>1005198.66</v>
      </c>
      <c r="Q276" s="395">
        <f>'A) Base RI'!Z276</f>
        <v>1</v>
      </c>
      <c r="R276" s="387">
        <f t="shared" si="26"/>
        <v>12712567.640000001</v>
      </c>
      <c r="S276" s="428">
        <f>+'A) Base RI'!U276</f>
        <v>68</v>
      </c>
      <c r="T276" s="387">
        <f t="shared" si="27"/>
        <v>11656174.630000001</v>
      </c>
      <c r="U276" s="387">
        <f t="shared" si="28"/>
        <v>186949.52411764706</v>
      </c>
      <c r="V276" s="10">
        <f>+'A) Base RI'!O276</f>
        <v>429566.85</v>
      </c>
      <c r="W276" s="10">
        <f>+'A) Base RI'!P276</f>
        <v>619546.9</v>
      </c>
      <c r="X276" s="10">
        <f>+'A) Base RI'!R276</f>
        <v>414741.65</v>
      </c>
      <c r="Y276" s="387">
        <f t="shared" si="29"/>
        <v>1463855.4</v>
      </c>
      <c r="Z276" s="10">
        <f>+'A) Base RI'!N276</f>
        <v>7632.95</v>
      </c>
      <c r="AA276" s="10">
        <f>'A) Base RI'!V276</f>
        <v>3078</v>
      </c>
    </row>
    <row r="277" spans="1:27" x14ac:dyDescent="0.25">
      <c r="A277" s="8">
        <f>'A) Base RI'!A277</f>
        <v>5883</v>
      </c>
      <c r="B277" s="32" t="str">
        <f>'A) Base RI'!B277</f>
        <v>Corseaux</v>
      </c>
      <c r="C277" s="10">
        <f>'A) Base RI'!C277+'A) Base RI'!D277</f>
        <v>12065243.74</v>
      </c>
      <c r="D277" s="10">
        <f>'A) Base RI'!W277</f>
        <v>-25677.83</v>
      </c>
      <c r="E277" s="384">
        <f>'A) Base RI'!X277</f>
        <v>0</v>
      </c>
      <c r="F277" s="384">
        <f>'A) Base RI'!Y277</f>
        <v>-17532.259999999998</v>
      </c>
      <c r="G277" s="387">
        <f t="shared" si="24"/>
        <v>12022033.65</v>
      </c>
      <c r="H277" s="10">
        <f>+'A) Base RI'!E277</f>
        <v>0</v>
      </c>
      <c r="I277" s="10">
        <f>+'A) Base RI'!F277</f>
        <v>0</v>
      </c>
      <c r="J277" s="10">
        <f>+'A) Base RI'!G277+'A) Base RI'!H277+'A) Base RI'!S277</f>
        <v>90243.309999999983</v>
      </c>
      <c r="K277" s="10">
        <f>+'A) Base RI'!I277</f>
        <v>375246.94</v>
      </c>
      <c r="L277" s="10">
        <f>+'A) Base RI'!J277</f>
        <v>-158220.06</v>
      </c>
      <c r="M277" s="10">
        <f>+'A) Base RI'!K277</f>
        <v>16329.9</v>
      </c>
      <c r="N277" s="10">
        <f>+'A) Base RI'!Q277</f>
        <v>2879.24</v>
      </c>
      <c r="O277" s="10">
        <f t="shared" si="25"/>
        <v>685419.85</v>
      </c>
      <c r="P277" s="10">
        <f>+'A) Base RI'!L277</f>
        <v>685419.85</v>
      </c>
      <c r="Q277" s="395">
        <f>'A) Base RI'!Z277</f>
        <v>1</v>
      </c>
      <c r="R277" s="387">
        <f t="shared" si="26"/>
        <v>13033932.83</v>
      </c>
      <c r="S277" s="428">
        <f>+'A) Base RI'!U277</f>
        <v>67.5</v>
      </c>
      <c r="T277" s="387">
        <f t="shared" si="27"/>
        <v>12332183.08</v>
      </c>
      <c r="U277" s="387">
        <f t="shared" si="28"/>
        <v>193095.30118518518</v>
      </c>
      <c r="V277" s="10">
        <f>+'A) Base RI'!O277</f>
        <v>2110360.2999999998</v>
      </c>
      <c r="W277" s="10">
        <f>+'A) Base RI'!P277</f>
        <v>580616.25</v>
      </c>
      <c r="X277" s="10">
        <f>+'A) Base RI'!R277</f>
        <v>413980.2</v>
      </c>
      <c r="Y277" s="387">
        <f t="shared" si="29"/>
        <v>3104956.75</v>
      </c>
      <c r="Z277" s="10">
        <f>+'A) Base RI'!N277</f>
        <v>0</v>
      </c>
      <c r="AA277" s="10">
        <f>'A) Base RI'!V277</f>
        <v>2330</v>
      </c>
    </row>
    <row r="278" spans="1:27" x14ac:dyDescent="0.25">
      <c r="A278" s="8">
        <f>'A) Base RI'!A278</f>
        <v>5884</v>
      </c>
      <c r="B278" s="32" t="str">
        <f>'A) Base RI'!B278</f>
        <v>Corsier-sur-Vevey</v>
      </c>
      <c r="C278" s="10">
        <f>'A) Base RI'!C278+'A) Base RI'!D278</f>
        <v>6695797.6299999999</v>
      </c>
      <c r="D278" s="10">
        <f>'A) Base RI'!W278</f>
        <v>-213574.81</v>
      </c>
      <c r="E278" s="384">
        <f>'A) Base RI'!X278</f>
        <v>0</v>
      </c>
      <c r="F278" s="384">
        <f>'A) Base RI'!Y278</f>
        <v>-4080.92</v>
      </c>
      <c r="G278" s="387">
        <f t="shared" si="24"/>
        <v>6478141.9000000004</v>
      </c>
      <c r="H278" s="10">
        <f>+'A) Base RI'!E278</f>
        <v>0</v>
      </c>
      <c r="I278" s="10">
        <f>+'A) Base RI'!F278</f>
        <v>0</v>
      </c>
      <c r="J278" s="10">
        <f>+'A) Base RI'!G278+'A) Base RI'!H278+'A) Base RI'!S278</f>
        <v>1939867.38</v>
      </c>
      <c r="K278" s="10">
        <f>+'A) Base RI'!I278</f>
        <v>33220.85</v>
      </c>
      <c r="L278" s="10">
        <f>+'A) Base RI'!J278</f>
        <v>127959.97</v>
      </c>
      <c r="M278" s="10">
        <f>+'A) Base RI'!K278</f>
        <v>187082.9</v>
      </c>
      <c r="N278" s="10">
        <f>+'A) Base RI'!Q278</f>
        <v>13811.13</v>
      </c>
      <c r="O278" s="10">
        <f t="shared" si="25"/>
        <v>823758.83333333337</v>
      </c>
      <c r="P278" s="10">
        <f>+'A) Base RI'!L278</f>
        <v>988510.6</v>
      </c>
      <c r="Q278" s="395">
        <f>'A) Base RI'!Z278</f>
        <v>1.2</v>
      </c>
      <c r="R278" s="387">
        <f t="shared" si="26"/>
        <v>9603842.9633333366</v>
      </c>
      <c r="S278" s="428">
        <f>+'A) Base RI'!U278</f>
        <v>64.5</v>
      </c>
      <c r="T278" s="387">
        <f t="shared" si="27"/>
        <v>8593001.2300000023</v>
      </c>
      <c r="U278" s="387">
        <f t="shared" si="28"/>
        <v>148896.79012919901</v>
      </c>
      <c r="V278" s="10">
        <f>+'A) Base RI'!O278</f>
        <v>315162.8</v>
      </c>
      <c r="W278" s="10">
        <f>+'A) Base RI'!P278</f>
        <v>224319.55</v>
      </c>
      <c r="X278" s="10">
        <f>+'A) Base RI'!R278</f>
        <v>243783.1</v>
      </c>
      <c r="Y278" s="387">
        <f t="shared" si="29"/>
        <v>783265.45</v>
      </c>
      <c r="Z278" s="10">
        <f>+'A) Base RI'!N278</f>
        <v>551964.19999999995</v>
      </c>
      <c r="AA278" s="10">
        <f>'A) Base RI'!V278</f>
        <v>3390</v>
      </c>
    </row>
    <row r="279" spans="1:27" x14ac:dyDescent="0.25">
      <c r="A279" s="8">
        <f>'A) Base RI'!A279</f>
        <v>5885</v>
      </c>
      <c r="B279" s="32" t="str">
        <f>'A) Base RI'!B279</f>
        <v>Jongny</v>
      </c>
      <c r="C279" s="10">
        <f>'A) Base RI'!C279+'A) Base RI'!D279</f>
        <v>6148691.0699999994</v>
      </c>
      <c r="D279" s="10">
        <f>'A) Base RI'!W279</f>
        <v>-106805.73</v>
      </c>
      <c r="E279" s="384">
        <f>'A) Base RI'!X279</f>
        <v>0</v>
      </c>
      <c r="F279" s="384">
        <f>'A) Base RI'!Y279</f>
        <v>-9533.7199999999993</v>
      </c>
      <c r="G279" s="387">
        <f t="shared" si="24"/>
        <v>6032351.6199999992</v>
      </c>
      <c r="H279" s="10">
        <f>+'A) Base RI'!E279</f>
        <v>0</v>
      </c>
      <c r="I279" s="10">
        <f>+'A) Base RI'!F279</f>
        <v>0</v>
      </c>
      <c r="J279" s="10">
        <f>+'A) Base RI'!G279+'A) Base RI'!H279+'A) Base RI'!S279</f>
        <v>50549</v>
      </c>
      <c r="K279" s="10">
        <f>+'A) Base RI'!I279</f>
        <v>172503.95</v>
      </c>
      <c r="L279" s="10">
        <f>+'A) Base RI'!J279</f>
        <v>54698.69</v>
      </c>
      <c r="M279" s="10">
        <f>+'A) Base RI'!K279</f>
        <v>-12632.95</v>
      </c>
      <c r="N279" s="10">
        <f>+'A) Base RI'!Q279</f>
        <v>3480.39</v>
      </c>
      <c r="O279" s="10">
        <f t="shared" si="25"/>
        <v>445896.66666666669</v>
      </c>
      <c r="P279" s="10">
        <f>+'A) Base RI'!L279</f>
        <v>535076</v>
      </c>
      <c r="Q279" s="395">
        <f>'A) Base RI'!Z279</f>
        <v>1.2</v>
      </c>
      <c r="R279" s="387">
        <f t="shared" si="26"/>
        <v>6746847.3666666662</v>
      </c>
      <c r="S279" s="428">
        <f>+'A) Base RI'!U279</f>
        <v>69.5</v>
      </c>
      <c r="T279" s="387">
        <f t="shared" si="27"/>
        <v>6313583.6499999994</v>
      </c>
      <c r="U279" s="387">
        <f t="shared" si="28"/>
        <v>97076.940527577928</v>
      </c>
      <c r="V279" s="10">
        <f>+'A) Base RI'!O279</f>
        <v>49382.7</v>
      </c>
      <c r="W279" s="10">
        <f>+'A) Base RI'!P279</f>
        <v>893700.15</v>
      </c>
      <c r="X279" s="10">
        <f>+'A) Base RI'!R279</f>
        <v>218072</v>
      </c>
      <c r="Y279" s="387">
        <f t="shared" si="29"/>
        <v>1161154.8500000001</v>
      </c>
      <c r="Z279" s="10">
        <f>+'A) Base RI'!N279</f>
        <v>2403.85</v>
      </c>
      <c r="AA279" s="10">
        <f>'A) Base RI'!V279</f>
        <v>1805</v>
      </c>
    </row>
    <row r="280" spans="1:27" x14ac:dyDescent="0.25">
      <c r="A280" s="8">
        <f>'A) Base RI'!A280</f>
        <v>5886</v>
      </c>
      <c r="B280" s="32" t="str">
        <f>'A) Base RI'!B280</f>
        <v>Montreux</v>
      </c>
      <c r="C280" s="10">
        <f>'A) Base RI'!C280+'A) Base RI'!D280</f>
        <v>61818382.57</v>
      </c>
      <c r="D280" s="10">
        <f>'A) Base RI'!W280</f>
        <v>-886144.14</v>
      </c>
      <c r="E280" s="384">
        <f>'A) Base RI'!X280</f>
        <v>0</v>
      </c>
      <c r="F280" s="384">
        <f>'A) Base RI'!Y280</f>
        <v>-97724.35</v>
      </c>
      <c r="G280" s="387">
        <f t="shared" si="24"/>
        <v>60834514.079999998</v>
      </c>
      <c r="H280" s="10">
        <f>+'A) Base RI'!E280</f>
        <v>0</v>
      </c>
      <c r="I280" s="10">
        <f>+'A) Base RI'!F280</f>
        <v>0</v>
      </c>
      <c r="J280" s="10">
        <f>+'A) Base RI'!G280+'A) Base RI'!H280+'A) Base RI'!S280</f>
        <v>4363703.54</v>
      </c>
      <c r="K280" s="10">
        <f>+'A) Base RI'!I280</f>
        <v>4534589.04</v>
      </c>
      <c r="L280" s="10">
        <f>+'A) Base RI'!J280</f>
        <v>1980964.99</v>
      </c>
      <c r="M280" s="10">
        <f>+'A) Base RI'!K280</f>
        <v>627150.69999999995</v>
      </c>
      <c r="N280" s="10">
        <f>+'A) Base RI'!Q280</f>
        <v>321489.27</v>
      </c>
      <c r="O280" s="10">
        <f t="shared" si="25"/>
        <v>6858916.1799999997</v>
      </c>
      <c r="P280" s="10">
        <f>+'A) Base RI'!L280</f>
        <v>10288374.27</v>
      </c>
      <c r="Q280" s="395">
        <f>'A) Base RI'!Z280</f>
        <v>1.5</v>
      </c>
      <c r="R280" s="387">
        <f t="shared" si="26"/>
        <v>79521327.799999982</v>
      </c>
      <c r="S280" s="428">
        <f>+'A) Base RI'!U280</f>
        <v>65</v>
      </c>
      <c r="T280" s="387">
        <f t="shared" si="27"/>
        <v>72035260.919999987</v>
      </c>
      <c r="U280" s="387">
        <f t="shared" si="28"/>
        <v>1223405.0430769229</v>
      </c>
      <c r="V280" s="10">
        <f>+'A) Base RI'!O280</f>
        <v>21229157.899999999</v>
      </c>
      <c r="W280" s="10">
        <f>+'A) Base RI'!P280</f>
        <v>5645048.4500000002</v>
      </c>
      <c r="X280" s="10">
        <f>+'A) Base RI'!R280</f>
        <v>3438682.75</v>
      </c>
      <c r="Y280" s="387">
        <f t="shared" si="29"/>
        <v>30312889.099999998</v>
      </c>
      <c r="Z280" s="10">
        <f>+'A) Base RI'!N280</f>
        <v>1254691.7</v>
      </c>
      <c r="AA280" s="10">
        <f>'A) Base RI'!V280</f>
        <v>26012</v>
      </c>
    </row>
    <row r="281" spans="1:27" x14ac:dyDescent="0.25">
      <c r="A281" s="8">
        <f>'A) Base RI'!A281</f>
        <v>5888</v>
      </c>
      <c r="B281" s="32" t="str">
        <f>'A) Base RI'!B281</f>
        <v>Saint-Légier-La Chiésaz</v>
      </c>
      <c r="C281" s="10">
        <f>'A) Base RI'!C281+'A) Base RI'!D281</f>
        <v>20948256.559999999</v>
      </c>
      <c r="D281" s="10">
        <f>'A) Base RI'!W281</f>
        <v>-88256.45</v>
      </c>
      <c r="E281" s="384">
        <f>'A) Base RI'!X281</f>
        <v>0</v>
      </c>
      <c r="F281" s="384">
        <f>'A) Base RI'!Y281</f>
        <v>-28287.73</v>
      </c>
      <c r="G281" s="387">
        <f t="shared" si="24"/>
        <v>20831712.379999999</v>
      </c>
      <c r="H281" s="10">
        <f>+'A) Base RI'!E281</f>
        <v>0</v>
      </c>
      <c r="I281" s="10">
        <f>+'A) Base RI'!F281</f>
        <v>0</v>
      </c>
      <c r="J281" s="10">
        <f>+'A) Base RI'!G281+'A) Base RI'!H281+'A) Base RI'!S281</f>
        <v>214933.45999999996</v>
      </c>
      <c r="K281" s="10">
        <f>+'A) Base RI'!I281</f>
        <v>114723</v>
      </c>
      <c r="L281" s="10">
        <f>+'A) Base RI'!J281</f>
        <v>-14478.04</v>
      </c>
      <c r="M281" s="10">
        <f>+'A) Base RI'!K281</f>
        <v>51595.199999999997</v>
      </c>
      <c r="N281" s="10">
        <f>+'A) Base RI'!Q281</f>
        <v>13992.4</v>
      </c>
      <c r="O281" s="10">
        <f t="shared" si="25"/>
        <v>1667699.0833333333</v>
      </c>
      <c r="P281" s="10">
        <f>+'A) Base RI'!L281</f>
        <v>2001238.9</v>
      </c>
      <c r="Q281" s="395">
        <f>'A) Base RI'!Z281</f>
        <v>1.2</v>
      </c>
      <c r="R281" s="387">
        <f t="shared" si="26"/>
        <v>22880177.483333331</v>
      </c>
      <c r="S281" s="428">
        <f>+'A) Base RI'!U281</f>
        <v>68.5</v>
      </c>
      <c r="T281" s="387">
        <f t="shared" si="27"/>
        <v>21160883.199999999</v>
      </c>
      <c r="U281" s="387">
        <f t="shared" si="28"/>
        <v>334017.18953771284</v>
      </c>
      <c r="V281" s="10">
        <f>+'A) Base RI'!O281</f>
        <v>69723.199999999997</v>
      </c>
      <c r="W281" s="10">
        <f>+'A) Base RI'!P281</f>
        <v>1262564.25</v>
      </c>
      <c r="X281" s="10">
        <f>+'A) Base RI'!R281</f>
        <v>1330306.7</v>
      </c>
      <c r="Y281" s="387">
        <f t="shared" si="29"/>
        <v>2662594.15</v>
      </c>
      <c r="Z281" s="10">
        <f>+'A) Base RI'!N281</f>
        <v>210894</v>
      </c>
      <c r="AA281" s="10">
        <f>'A) Base RI'!V281</f>
        <v>5634</v>
      </c>
    </row>
    <row r="282" spans="1:27" x14ac:dyDescent="0.25">
      <c r="A282" s="8">
        <f>'A) Base RI'!A282</f>
        <v>5889</v>
      </c>
      <c r="B282" s="32" t="str">
        <f>'A) Base RI'!B282</f>
        <v>La Tour-de-Peilz</v>
      </c>
      <c r="C282" s="10">
        <f>'A) Base RI'!C282+'A) Base RI'!D282</f>
        <v>34167716.170000002</v>
      </c>
      <c r="D282" s="10">
        <f>'A) Base RI'!W282</f>
        <v>-303506.06</v>
      </c>
      <c r="E282" s="384">
        <f>'A) Base RI'!X282</f>
        <v>0</v>
      </c>
      <c r="F282" s="384">
        <f>'A) Base RI'!Y282</f>
        <v>-112201.94</v>
      </c>
      <c r="G282" s="387">
        <f t="shared" si="24"/>
        <v>33752008.170000002</v>
      </c>
      <c r="H282" s="10">
        <f>+'A) Base RI'!E282</f>
        <v>0</v>
      </c>
      <c r="I282" s="10">
        <f>+'A) Base RI'!F282</f>
        <v>0</v>
      </c>
      <c r="J282" s="10">
        <f>+'A) Base RI'!G282+'A) Base RI'!H282+'A) Base RI'!S282</f>
        <v>9282704.6699999999</v>
      </c>
      <c r="K282" s="10">
        <f>+'A) Base RI'!I282</f>
        <v>675203.69</v>
      </c>
      <c r="L282" s="10">
        <f>+'A) Base RI'!J282</f>
        <v>645786.52</v>
      </c>
      <c r="M282" s="10">
        <f>+'A) Base RI'!K282</f>
        <v>306717.05</v>
      </c>
      <c r="N282" s="10">
        <f>+'A) Base RI'!Q282</f>
        <v>146154.68</v>
      </c>
      <c r="O282" s="10">
        <f t="shared" si="25"/>
        <v>2585703.5833333335</v>
      </c>
      <c r="P282" s="10">
        <f>+'A) Base RI'!L282</f>
        <v>3102844.3</v>
      </c>
      <c r="Q282" s="395">
        <f>'A) Base RI'!Z282</f>
        <v>1.2</v>
      </c>
      <c r="R282" s="387">
        <f t="shared" si="26"/>
        <v>47394278.363333337</v>
      </c>
      <c r="S282" s="428">
        <f>+'A) Base RI'!U282</f>
        <v>64</v>
      </c>
      <c r="T282" s="387">
        <f t="shared" si="27"/>
        <v>44501857.730000004</v>
      </c>
      <c r="U282" s="387">
        <f t="shared" si="28"/>
        <v>740535.59942708339</v>
      </c>
      <c r="V282" s="10">
        <f>+'A) Base RI'!O282</f>
        <v>237280.9</v>
      </c>
      <c r="W282" s="10">
        <f>+'A) Base RI'!P282</f>
        <v>1687943.05</v>
      </c>
      <c r="X282" s="10">
        <f>+'A) Base RI'!R282</f>
        <v>1895537.55</v>
      </c>
      <c r="Y282" s="387">
        <f t="shared" si="29"/>
        <v>3820761.5</v>
      </c>
      <c r="Z282" s="10">
        <f>+'A) Base RI'!N282</f>
        <v>259436.3</v>
      </c>
      <c r="AA282" s="10">
        <f>'A) Base RI'!V282</f>
        <v>12222</v>
      </c>
    </row>
    <row r="283" spans="1:27" x14ac:dyDescent="0.25">
      <c r="A283" s="8">
        <f>'A) Base RI'!A283</f>
        <v>5890</v>
      </c>
      <c r="B283" s="32" t="str">
        <f>'A) Base RI'!B283</f>
        <v>Vevey</v>
      </c>
      <c r="C283" s="10">
        <f>'A) Base RI'!C283+'A) Base RI'!D283</f>
        <v>43051261.190000005</v>
      </c>
      <c r="D283" s="10">
        <f>'A) Base RI'!W283</f>
        <v>-698119.75</v>
      </c>
      <c r="E283" s="384">
        <f>'A) Base RI'!X283</f>
        <v>0</v>
      </c>
      <c r="F283" s="384">
        <f>'A) Base RI'!Y283</f>
        <v>-38688.300000000003</v>
      </c>
      <c r="G283" s="387">
        <f t="shared" si="24"/>
        <v>42314453.140000008</v>
      </c>
      <c r="H283" s="10">
        <f>+'A) Base RI'!E283</f>
        <v>0</v>
      </c>
      <c r="I283" s="10">
        <f>+'A) Base RI'!F283</f>
        <v>0</v>
      </c>
      <c r="J283" s="10">
        <f>+'A) Base RI'!G283+'A) Base RI'!H283+'A) Base RI'!S283</f>
        <v>21377273.009999998</v>
      </c>
      <c r="K283" s="10">
        <f>+'A) Base RI'!I283</f>
        <v>388358.83</v>
      </c>
      <c r="L283" s="10">
        <f>+'A) Base RI'!J283</f>
        <v>3327671</v>
      </c>
      <c r="M283" s="10">
        <f>+'A) Base RI'!K283</f>
        <v>796821.45</v>
      </c>
      <c r="N283" s="10">
        <f>+'A) Base RI'!Q283</f>
        <v>191449.14</v>
      </c>
      <c r="O283" s="10">
        <f t="shared" si="25"/>
        <v>3852344.86</v>
      </c>
      <c r="P283" s="10">
        <f>+'A) Base RI'!L283</f>
        <v>5778517.29</v>
      </c>
      <c r="Q283" s="395">
        <f>'A) Base RI'!Z283</f>
        <v>1.5</v>
      </c>
      <c r="R283" s="387">
        <f t="shared" si="26"/>
        <v>72248371.430000007</v>
      </c>
      <c r="S283" s="428">
        <f>+'A) Base RI'!U283</f>
        <v>74.5</v>
      </c>
      <c r="T283" s="387">
        <f t="shared" si="27"/>
        <v>67599205.120000005</v>
      </c>
      <c r="U283" s="387">
        <f t="shared" si="28"/>
        <v>969776.79771812086</v>
      </c>
      <c r="V283" s="10">
        <f>+'A) Base RI'!O283</f>
        <v>1949287.4</v>
      </c>
      <c r="W283" s="10">
        <f>+'A) Base RI'!P283</f>
        <v>2434402.0499999998</v>
      </c>
      <c r="X283" s="10">
        <f>+'A) Base RI'!R283</f>
        <v>1549727</v>
      </c>
      <c r="Y283" s="387">
        <f t="shared" si="29"/>
        <v>5933416.4499999993</v>
      </c>
      <c r="Z283" s="10">
        <f>+'A) Base RI'!N283</f>
        <v>1260005.1000000001</v>
      </c>
      <c r="AA283" s="10">
        <f>'A) Base RI'!V283</f>
        <v>19721</v>
      </c>
    </row>
    <row r="284" spans="1:27" x14ac:dyDescent="0.25">
      <c r="A284" s="8">
        <f>'A) Base RI'!A284</f>
        <v>5891</v>
      </c>
      <c r="B284" s="32" t="str">
        <f>'A) Base RI'!B284</f>
        <v>Veytaux</v>
      </c>
      <c r="C284" s="10">
        <f>'A) Base RI'!C284+'A) Base RI'!D284</f>
        <v>2233190.67</v>
      </c>
      <c r="D284" s="10">
        <f>'A) Base RI'!W284</f>
        <v>-38546.910000000003</v>
      </c>
      <c r="E284" s="384">
        <f>'A) Base RI'!X284</f>
        <v>0</v>
      </c>
      <c r="F284" s="384">
        <f>'A) Base RI'!Y284</f>
        <v>-1163.5</v>
      </c>
      <c r="G284" s="387">
        <f t="shared" si="24"/>
        <v>2193480.2599999998</v>
      </c>
      <c r="H284" s="10">
        <f>+'A) Base RI'!E284</f>
        <v>0</v>
      </c>
      <c r="I284" s="10">
        <f>+'A) Base RI'!F284</f>
        <v>0</v>
      </c>
      <c r="J284" s="10">
        <f>+'A) Base RI'!G284+'A) Base RI'!H284+'A) Base RI'!S284</f>
        <v>102374.19</v>
      </c>
      <c r="K284" s="10">
        <f>+'A) Base RI'!I284</f>
        <v>43104.95</v>
      </c>
      <c r="L284" s="10">
        <f>+'A) Base RI'!J284</f>
        <v>60495.839999999997</v>
      </c>
      <c r="M284" s="10">
        <f>+'A) Base RI'!K284</f>
        <v>15204.85</v>
      </c>
      <c r="N284" s="10">
        <f>+'A) Base RI'!Q284</f>
        <v>9717.17</v>
      </c>
      <c r="O284" s="10">
        <f t="shared" si="25"/>
        <v>294695.8</v>
      </c>
      <c r="P284" s="10">
        <f>+'A) Base RI'!L284</f>
        <v>442043.7</v>
      </c>
      <c r="Q284" s="395">
        <f>'A) Base RI'!Z284</f>
        <v>1.5</v>
      </c>
      <c r="R284" s="387">
        <f t="shared" si="26"/>
        <v>2719073.0599999996</v>
      </c>
      <c r="S284" s="428">
        <f>+'A) Base RI'!U284</f>
        <v>69.5</v>
      </c>
      <c r="T284" s="387">
        <f t="shared" si="27"/>
        <v>2409172.4099999997</v>
      </c>
      <c r="U284" s="387">
        <f t="shared" si="28"/>
        <v>39123.353381294961</v>
      </c>
      <c r="V284" s="10">
        <f>+'A) Base RI'!O284</f>
        <v>7716.2</v>
      </c>
      <c r="W284" s="10">
        <f>+'A) Base RI'!P284</f>
        <v>157602.6</v>
      </c>
      <c r="X284" s="10">
        <f>+'A) Base RI'!R284</f>
        <v>94879.1</v>
      </c>
      <c r="Y284" s="387">
        <f t="shared" si="29"/>
        <v>260197.90000000002</v>
      </c>
      <c r="Z284" s="10">
        <f>+'A) Base RI'!N284</f>
        <v>2689.3</v>
      </c>
      <c r="AA284" s="10">
        <f>'A) Base RI'!V284</f>
        <v>952</v>
      </c>
    </row>
    <row r="285" spans="1:27" x14ac:dyDescent="0.25">
      <c r="A285" s="8">
        <f>'A) Base RI'!A285</f>
        <v>5902</v>
      </c>
      <c r="B285" s="32" t="str">
        <f>'A) Base RI'!B285</f>
        <v>Belmont-sur-Yverdon</v>
      </c>
      <c r="C285" s="10">
        <f>'A) Base RI'!C285+'A) Base RI'!D285</f>
        <v>782946.94</v>
      </c>
      <c r="D285" s="10">
        <f>'A) Base RI'!W285</f>
        <v>-47.61</v>
      </c>
      <c r="E285" s="384">
        <f>'A) Base RI'!X285</f>
        <v>0</v>
      </c>
      <c r="F285" s="384">
        <f>'A) Base RI'!Y285</f>
        <v>-135.94999999999999</v>
      </c>
      <c r="G285" s="387">
        <f t="shared" si="24"/>
        <v>782763.38</v>
      </c>
      <c r="H285" s="10">
        <f>+'A) Base RI'!E285</f>
        <v>0</v>
      </c>
      <c r="I285" s="10">
        <f>+'A) Base RI'!F285</f>
        <v>0</v>
      </c>
      <c r="J285" s="10">
        <f>+'A) Base RI'!G285+'A) Base RI'!H285+'A) Base RI'!S285</f>
        <v>2398.4700000000003</v>
      </c>
      <c r="K285" s="10">
        <f>+'A) Base RI'!I285</f>
        <v>0</v>
      </c>
      <c r="L285" s="10">
        <f>+'A) Base RI'!J285</f>
        <v>2692.1</v>
      </c>
      <c r="M285" s="10">
        <f>+'A) Base RI'!K285</f>
        <v>0</v>
      </c>
      <c r="N285" s="10">
        <f>+'A) Base RI'!Q285</f>
        <v>0</v>
      </c>
      <c r="O285" s="10">
        <f t="shared" si="25"/>
        <v>59786.55</v>
      </c>
      <c r="P285" s="10">
        <f>+'A) Base RI'!L285</f>
        <v>59786.55</v>
      </c>
      <c r="Q285" s="395">
        <f>'A) Base RI'!Z285</f>
        <v>1</v>
      </c>
      <c r="R285" s="387">
        <f t="shared" si="26"/>
        <v>847640.5</v>
      </c>
      <c r="S285" s="428">
        <f>+'A) Base RI'!U285</f>
        <v>70</v>
      </c>
      <c r="T285" s="387">
        <f t="shared" si="27"/>
        <v>787853.95</v>
      </c>
      <c r="U285" s="387">
        <f t="shared" si="28"/>
        <v>12109.15</v>
      </c>
      <c r="V285" s="10">
        <f>+'A) Base RI'!O285</f>
        <v>360.6</v>
      </c>
      <c r="W285" s="10">
        <f>+'A) Base RI'!P285</f>
        <v>41136.35</v>
      </c>
      <c r="X285" s="10">
        <f>+'A) Base RI'!R285</f>
        <v>21279.599999999999</v>
      </c>
      <c r="Y285" s="387">
        <f t="shared" si="29"/>
        <v>62776.549999999996</v>
      </c>
      <c r="Z285" s="10">
        <f>+'A) Base RI'!N285</f>
        <v>0</v>
      </c>
      <c r="AA285" s="10">
        <f>'A) Base RI'!V285</f>
        <v>415</v>
      </c>
    </row>
    <row r="286" spans="1:27" x14ac:dyDescent="0.25">
      <c r="A286" s="8">
        <f>'A) Base RI'!A286</f>
        <v>5903</v>
      </c>
      <c r="B286" s="32" t="str">
        <f>'A) Base RI'!B286</f>
        <v>Bioley-Magnoux</v>
      </c>
      <c r="C286" s="10">
        <f>'A) Base RI'!C286+'A) Base RI'!D286</f>
        <v>401336.7</v>
      </c>
      <c r="D286" s="10">
        <f>'A) Base RI'!W286</f>
        <v>-2000.24</v>
      </c>
      <c r="E286" s="384">
        <f>'A) Base RI'!X286</f>
        <v>0</v>
      </c>
      <c r="F286" s="384">
        <f>'A) Base RI'!Y286</f>
        <v>-143.72</v>
      </c>
      <c r="G286" s="387">
        <f t="shared" si="24"/>
        <v>399192.74000000005</v>
      </c>
      <c r="H286" s="10">
        <f>+'A) Base RI'!E286</f>
        <v>0</v>
      </c>
      <c r="I286" s="10">
        <f>+'A) Base RI'!F286</f>
        <v>0</v>
      </c>
      <c r="J286" s="10">
        <f>+'A) Base RI'!G286+'A) Base RI'!H286+'A) Base RI'!S286</f>
        <v>-2356.89</v>
      </c>
      <c r="K286" s="10">
        <f>+'A) Base RI'!I286</f>
        <v>0</v>
      </c>
      <c r="L286" s="10">
        <f>+'A) Base RI'!J286</f>
        <v>711.72</v>
      </c>
      <c r="M286" s="10">
        <f>+'A) Base RI'!K286</f>
        <v>0</v>
      </c>
      <c r="N286" s="10">
        <f>+'A) Base RI'!Q286</f>
        <v>0</v>
      </c>
      <c r="O286" s="10">
        <f t="shared" si="25"/>
        <v>38714.785714285717</v>
      </c>
      <c r="P286" s="10">
        <f>+'A) Base RI'!L286</f>
        <v>27100.35</v>
      </c>
      <c r="Q286" s="395">
        <f>'A) Base RI'!Z286</f>
        <v>0.7</v>
      </c>
      <c r="R286" s="387">
        <f t="shared" si="26"/>
        <v>436262.35571428575</v>
      </c>
      <c r="S286" s="428">
        <f>+'A) Base RI'!U286</f>
        <v>72</v>
      </c>
      <c r="T286" s="387">
        <f t="shared" si="27"/>
        <v>397547.57</v>
      </c>
      <c r="U286" s="387">
        <f t="shared" si="28"/>
        <v>6059.1993849206356</v>
      </c>
      <c r="V286" s="10">
        <f>+'A) Base RI'!O286</f>
        <v>0</v>
      </c>
      <c r="W286" s="10">
        <f>+'A) Base RI'!P286</f>
        <v>0</v>
      </c>
      <c r="X286" s="10">
        <f>+'A) Base RI'!R286</f>
        <v>0</v>
      </c>
      <c r="Y286" s="387">
        <f t="shared" si="29"/>
        <v>0</v>
      </c>
      <c r="Z286" s="10">
        <f>+'A) Base RI'!N286</f>
        <v>35867.85</v>
      </c>
      <c r="AA286" s="10">
        <f>'A) Base RI'!V286</f>
        <v>234</v>
      </c>
    </row>
    <row r="287" spans="1:27" x14ac:dyDescent="0.25">
      <c r="A287" s="8">
        <f>'A) Base RI'!A287</f>
        <v>5904</v>
      </c>
      <c r="B287" s="32" t="str">
        <f>'A) Base RI'!B287</f>
        <v>Chamblon</v>
      </c>
      <c r="C287" s="10">
        <f>'A) Base RI'!C287+'A) Base RI'!D287</f>
        <v>1322310.7799999998</v>
      </c>
      <c r="D287" s="10">
        <f>'A) Base RI'!W287</f>
        <v>-5642.34</v>
      </c>
      <c r="E287" s="384">
        <f>'A) Base RI'!X287</f>
        <v>0</v>
      </c>
      <c r="F287" s="384">
        <f>'A) Base RI'!Y287</f>
        <v>-212.77</v>
      </c>
      <c r="G287" s="387">
        <f t="shared" si="24"/>
        <v>1316455.6699999997</v>
      </c>
      <c r="H287" s="10">
        <f>+'A) Base RI'!E287</f>
        <v>0</v>
      </c>
      <c r="I287" s="10">
        <f>+'A) Base RI'!F287</f>
        <v>0</v>
      </c>
      <c r="J287" s="10">
        <f>+'A) Base RI'!G287+'A) Base RI'!H287+'A) Base RI'!S287</f>
        <v>19932.68</v>
      </c>
      <c r="K287" s="10">
        <f>+'A) Base RI'!I287</f>
        <v>0</v>
      </c>
      <c r="L287" s="10">
        <f>+'A) Base RI'!J287</f>
        <v>27953.1</v>
      </c>
      <c r="M287" s="10">
        <f>+'A) Base RI'!K287</f>
        <v>1431.65</v>
      </c>
      <c r="N287" s="10">
        <f>+'A) Base RI'!Q287</f>
        <v>0</v>
      </c>
      <c r="O287" s="10">
        <f t="shared" si="25"/>
        <v>97989.1</v>
      </c>
      <c r="P287" s="10">
        <f>+'A) Base RI'!L287</f>
        <v>97989.1</v>
      </c>
      <c r="Q287" s="395">
        <f>'A) Base RI'!Z287</f>
        <v>1</v>
      </c>
      <c r="R287" s="387">
        <f t="shared" si="26"/>
        <v>1463762.1999999997</v>
      </c>
      <c r="S287" s="428">
        <f>+'A) Base RI'!U287</f>
        <v>66</v>
      </c>
      <c r="T287" s="387">
        <f t="shared" si="27"/>
        <v>1364341.4499999997</v>
      </c>
      <c r="U287" s="387">
        <f t="shared" si="28"/>
        <v>22178.215151515149</v>
      </c>
      <c r="V287" s="10">
        <f>+'A) Base RI'!O287</f>
        <v>0</v>
      </c>
      <c r="W287" s="10">
        <f>+'A) Base RI'!P287</f>
        <v>34131.1</v>
      </c>
      <c r="X287" s="10">
        <f>+'A) Base RI'!R287</f>
        <v>12514</v>
      </c>
      <c r="Y287" s="387">
        <f t="shared" si="29"/>
        <v>46645.1</v>
      </c>
      <c r="Z287" s="10">
        <f>+'A) Base RI'!N287</f>
        <v>32442.95</v>
      </c>
      <c r="AA287" s="10">
        <f>'A) Base RI'!V287</f>
        <v>561</v>
      </c>
    </row>
    <row r="288" spans="1:27" x14ac:dyDescent="0.25">
      <c r="A288" s="8">
        <f>'A) Base RI'!A288</f>
        <v>5905</v>
      </c>
      <c r="B288" s="32" t="str">
        <f>'A) Base RI'!B288</f>
        <v>Champvent</v>
      </c>
      <c r="C288" s="10">
        <f>'A) Base RI'!C288+'A) Base RI'!D288</f>
        <v>1317036.33</v>
      </c>
      <c r="D288" s="10">
        <f>'A) Base RI'!W288</f>
        <v>-3492.36</v>
      </c>
      <c r="E288" s="384">
        <f>'A) Base RI'!X288</f>
        <v>0</v>
      </c>
      <c r="F288" s="384">
        <f>'A) Base RI'!Y288</f>
        <v>-614.89</v>
      </c>
      <c r="G288" s="387">
        <f t="shared" si="24"/>
        <v>1312929.08</v>
      </c>
      <c r="H288" s="10">
        <f>+'A) Base RI'!E288</f>
        <v>0</v>
      </c>
      <c r="I288" s="10">
        <f>+'A) Base RI'!F288</f>
        <v>0</v>
      </c>
      <c r="J288" s="10">
        <f>+'A) Base RI'!G288+'A) Base RI'!H288+'A) Base RI'!S288</f>
        <v>178694.44</v>
      </c>
      <c r="K288" s="10">
        <f>+'A) Base RI'!I288</f>
        <v>0</v>
      </c>
      <c r="L288" s="10">
        <f>+'A) Base RI'!J288</f>
        <v>27902.33</v>
      </c>
      <c r="M288" s="10">
        <f>+'A) Base RI'!K288</f>
        <v>3104.55</v>
      </c>
      <c r="N288" s="10">
        <f>+'A) Base RI'!Q288</f>
        <v>465.13</v>
      </c>
      <c r="O288" s="10">
        <f t="shared" si="25"/>
        <v>107781</v>
      </c>
      <c r="P288" s="10">
        <f>+'A) Base RI'!L288</f>
        <v>107781</v>
      </c>
      <c r="Q288" s="395">
        <f>'A) Base RI'!Z288</f>
        <v>1</v>
      </c>
      <c r="R288" s="387">
        <f t="shared" si="26"/>
        <v>1630876.53</v>
      </c>
      <c r="S288" s="428">
        <f>+'A) Base RI'!U288</f>
        <v>70</v>
      </c>
      <c r="T288" s="387">
        <f t="shared" si="27"/>
        <v>1519990.98</v>
      </c>
      <c r="U288" s="387">
        <f t="shared" si="28"/>
        <v>23298.236142857142</v>
      </c>
      <c r="V288" s="10">
        <f>+'A) Base RI'!O288</f>
        <v>0</v>
      </c>
      <c r="W288" s="10">
        <f>+'A) Base RI'!P288</f>
        <v>66973.7</v>
      </c>
      <c r="X288" s="10">
        <f>+'A) Base RI'!R288</f>
        <v>118583.65</v>
      </c>
      <c r="Y288" s="387">
        <f t="shared" si="29"/>
        <v>185557.34999999998</v>
      </c>
      <c r="Z288" s="10">
        <f>+'A) Base RI'!N288</f>
        <v>273258</v>
      </c>
      <c r="AA288" s="10">
        <f>'A) Base RI'!V288</f>
        <v>712</v>
      </c>
    </row>
    <row r="289" spans="1:27" x14ac:dyDescent="0.25">
      <c r="A289" s="8">
        <f>'A) Base RI'!A289</f>
        <v>5907</v>
      </c>
      <c r="B289" s="32" t="str">
        <f>'A) Base RI'!B289</f>
        <v>Chavannes-le-Chêne</v>
      </c>
      <c r="C289" s="10">
        <f>'A) Base RI'!C289+'A) Base RI'!D289</f>
        <v>547006.25</v>
      </c>
      <c r="D289" s="10">
        <f>'A) Base RI'!W289</f>
        <v>-3075.95</v>
      </c>
      <c r="E289" s="384">
        <f>'A) Base RI'!X289</f>
        <v>0</v>
      </c>
      <c r="F289" s="384">
        <f>'A) Base RI'!Y289</f>
        <v>-4.53</v>
      </c>
      <c r="G289" s="387">
        <f t="shared" si="24"/>
        <v>543925.77</v>
      </c>
      <c r="H289" s="10">
        <f>+'A) Base RI'!E289</f>
        <v>0</v>
      </c>
      <c r="I289" s="10">
        <f>+'A) Base RI'!F289</f>
        <v>2030</v>
      </c>
      <c r="J289" s="10">
        <f>+'A) Base RI'!G289+'A) Base RI'!H289+'A) Base RI'!S289</f>
        <v>917.38</v>
      </c>
      <c r="K289" s="10">
        <f>+'A) Base RI'!I289</f>
        <v>0</v>
      </c>
      <c r="L289" s="10">
        <f>+'A) Base RI'!J289</f>
        <v>-9093.52</v>
      </c>
      <c r="M289" s="10">
        <f>+'A) Base RI'!K289</f>
        <v>520.70000000000005</v>
      </c>
      <c r="N289" s="10">
        <f>+'A) Base RI'!Q289</f>
        <v>0</v>
      </c>
      <c r="O289" s="10">
        <f t="shared" si="25"/>
        <v>48075.75</v>
      </c>
      <c r="P289" s="10">
        <f>+'A) Base RI'!L289</f>
        <v>48075.75</v>
      </c>
      <c r="Q289" s="395">
        <f>'A) Base RI'!Z289</f>
        <v>1</v>
      </c>
      <c r="R289" s="387">
        <f t="shared" si="26"/>
        <v>586376.07999999996</v>
      </c>
      <c r="S289" s="428">
        <f>+'A) Base RI'!U289</f>
        <v>75</v>
      </c>
      <c r="T289" s="387">
        <f t="shared" si="27"/>
        <v>535749.63</v>
      </c>
      <c r="U289" s="387">
        <f t="shared" si="28"/>
        <v>7818.3477333333331</v>
      </c>
      <c r="V289" s="10">
        <f>+'A) Base RI'!O289</f>
        <v>0</v>
      </c>
      <c r="W289" s="10">
        <f>+'A) Base RI'!P289</f>
        <v>10435.35</v>
      </c>
      <c r="X289" s="10">
        <f>+'A) Base RI'!R289</f>
        <v>9770</v>
      </c>
      <c r="Y289" s="387">
        <f t="shared" si="29"/>
        <v>20205.349999999999</v>
      </c>
      <c r="Z289" s="10">
        <f>+'A) Base RI'!N289</f>
        <v>8695.1</v>
      </c>
      <c r="AA289" s="10">
        <f>'A) Base RI'!V289</f>
        <v>325</v>
      </c>
    </row>
    <row r="290" spans="1:27" x14ac:dyDescent="0.25">
      <c r="A290" s="8">
        <f>'A) Base RI'!A290</f>
        <v>5908</v>
      </c>
      <c r="B290" s="32" t="str">
        <f>'A) Base RI'!B290</f>
        <v>Chêne-Pâquier</v>
      </c>
      <c r="C290" s="10">
        <f>'A) Base RI'!C290+'A) Base RI'!D290</f>
        <v>308949.82</v>
      </c>
      <c r="D290" s="10">
        <f>'A) Base RI'!W290</f>
        <v>-7072.3</v>
      </c>
      <c r="E290" s="384">
        <f>'A) Base RI'!X290</f>
        <v>0</v>
      </c>
      <c r="F290" s="384">
        <f>'A) Base RI'!Y290</f>
        <v>-49.33</v>
      </c>
      <c r="G290" s="387">
        <f t="shared" si="24"/>
        <v>301828.19</v>
      </c>
      <c r="H290" s="10">
        <f>+'A) Base RI'!E290</f>
        <v>0</v>
      </c>
      <c r="I290" s="10">
        <f>+'A) Base RI'!F290</f>
        <v>0</v>
      </c>
      <c r="J290" s="10">
        <f>+'A) Base RI'!G290+'A) Base RI'!H290+'A) Base RI'!S290</f>
        <v>11563.23</v>
      </c>
      <c r="K290" s="10">
        <f>+'A) Base RI'!I290</f>
        <v>0</v>
      </c>
      <c r="L290" s="10">
        <f>+'A) Base RI'!J290</f>
        <v>11594.65</v>
      </c>
      <c r="M290" s="10">
        <f>+'A) Base RI'!K290</f>
        <v>662.95</v>
      </c>
      <c r="N290" s="10">
        <f>+'A) Base RI'!Q290</f>
        <v>0</v>
      </c>
      <c r="O290" s="10">
        <f t="shared" si="25"/>
        <v>23047.35</v>
      </c>
      <c r="P290" s="10">
        <f>+'A) Base RI'!L290</f>
        <v>23047.35</v>
      </c>
      <c r="Q290" s="395">
        <f>'A) Base RI'!Z290</f>
        <v>1</v>
      </c>
      <c r="R290" s="387">
        <f t="shared" si="26"/>
        <v>348696.37</v>
      </c>
      <c r="S290" s="428">
        <f>+'A) Base RI'!U290</f>
        <v>79</v>
      </c>
      <c r="T290" s="387">
        <f t="shared" si="27"/>
        <v>324986.07</v>
      </c>
      <c r="U290" s="387">
        <f t="shared" si="28"/>
        <v>4413.8781012658228</v>
      </c>
      <c r="V290" s="10">
        <f>+'A) Base RI'!O290</f>
        <v>8555.2000000000007</v>
      </c>
      <c r="W290" s="10">
        <f>+'A) Base RI'!P290</f>
        <v>4400</v>
      </c>
      <c r="X290" s="10">
        <f>+'A) Base RI'!R290</f>
        <v>1651.25</v>
      </c>
      <c r="Y290" s="387">
        <f t="shared" si="29"/>
        <v>14606.45</v>
      </c>
      <c r="Z290" s="10">
        <f>+'A) Base RI'!N290</f>
        <v>436.2</v>
      </c>
      <c r="AA290" s="10">
        <f>'A) Base RI'!V290</f>
        <v>153</v>
      </c>
    </row>
    <row r="291" spans="1:27" x14ac:dyDescent="0.25">
      <c r="A291" s="8">
        <f>'A) Base RI'!A291</f>
        <v>5909</v>
      </c>
      <c r="B291" s="32" t="str">
        <f>'A) Base RI'!B291</f>
        <v>Cheseaux-Noréaz</v>
      </c>
      <c r="C291" s="10">
        <f>'A) Base RI'!C291+'A) Base RI'!D291</f>
        <v>2292853.7399999998</v>
      </c>
      <c r="D291" s="10">
        <f>'A) Base RI'!W291</f>
        <v>-1915.8</v>
      </c>
      <c r="E291" s="384">
        <f>'A) Base RI'!X291</f>
        <v>0</v>
      </c>
      <c r="F291" s="384">
        <f>'A) Base RI'!Y291</f>
        <v>-761.37</v>
      </c>
      <c r="G291" s="387">
        <f t="shared" si="24"/>
        <v>2290176.5699999998</v>
      </c>
      <c r="H291" s="10">
        <f>+'A) Base RI'!E291</f>
        <v>0</v>
      </c>
      <c r="I291" s="10">
        <f>+'A) Base RI'!F291</f>
        <v>0</v>
      </c>
      <c r="J291" s="10">
        <f>+'A) Base RI'!G291+'A) Base RI'!H291+'A) Base RI'!S291</f>
        <v>-9433.7300000000014</v>
      </c>
      <c r="K291" s="10">
        <f>+'A) Base RI'!I291</f>
        <v>0</v>
      </c>
      <c r="L291" s="10">
        <f>+'A) Base RI'!J291</f>
        <v>25369.15</v>
      </c>
      <c r="M291" s="10">
        <f>+'A) Base RI'!K291</f>
        <v>768.05</v>
      </c>
      <c r="N291" s="10">
        <f>+'A) Base RI'!Q291</f>
        <v>2108.14</v>
      </c>
      <c r="O291" s="10">
        <f t="shared" si="25"/>
        <v>163216.22</v>
      </c>
      <c r="P291" s="10">
        <f>+'A) Base RI'!L291</f>
        <v>163216.22</v>
      </c>
      <c r="Q291" s="395">
        <f>'A) Base RI'!Z291</f>
        <v>1</v>
      </c>
      <c r="R291" s="387">
        <f t="shared" si="26"/>
        <v>2472204.4</v>
      </c>
      <c r="S291" s="428">
        <f>+'A) Base RI'!U291</f>
        <v>67</v>
      </c>
      <c r="T291" s="387">
        <f t="shared" si="27"/>
        <v>2308220.13</v>
      </c>
      <c r="U291" s="387">
        <f t="shared" si="28"/>
        <v>36898.573134328355</v>
      </c>
      <c r="V291" s="10">
        <f>+'A) Base RI'!O291</f>
        <v>15566.6</v>
      </c>
      <c r="W291" s="10">
        <f>+'A) Base RI'!P291</f>
        <v>112643.65</v>
      </c>
      <c r="X291" s="10">
        <f>+'A) Base RI'!R291</f>
        <v>137179.85</v>
      </c>
      <c r="Y291" s="387">
        <f t="shared" si="29"/>
        <v>265390.09999999998</v>
      </c>
      <c r="Z291" s="10">
        <f>+'A) Base RI'!N291</f>
        <v>7393.8</v>
      </c>
      <c r="AA291" s="10">
        <f>'A) Base RI'!V291</f>
        <v>728</v>
      </c>
    </row>
    <row r="292" spans="1:27" x14ac:dyDescent="0.25">
      <c r="A292" s="8">
        <f>'A) Base RI'!A292</f>
        <v>5910</v>
      </c>
      <c r="B292" s="32" t="str">
        <f>'A) Base RI'!B292</f>
        <v>Cronay</v>
      </c>
      <c r="C292" s="10">
        <f>'A) Base RI'!C292+'A) Base RI'!D292</f>
        <v>751573.59</v>
      </c>
      <c r="D292" s="10">
        <f>'A) Base RI'!W292</f>
        <v>-18196.66</v>
      </c>
      <c r="E292" s="384">
        <f>'A) Base RI'!X292</f>
        <v>0</v>
      </c>
      <c r="F292" s="384">
        <f>'A) Base RI'!Y292</f>
        <v>0</v>
      </c>
      <c r="G292" s="387">
        <f t="shared" si="24"/>
        <v>733376.92999999993</v>
      </c>
      <c r="H292" s="10">
        <f>+'A) Base RI'!E292</f>
        <v>0</v>
      </c>
      <c r="I292" s="10">
        <f>+'A) Base RI'!F292</f>
        <v>2200</v>
      </c>
      <c r="J292" s="10">
        <f>+'A) Base RI'!G292+'A) Base RI'!H292+'A) Base RI'!S292</f>
        <v>11037.99</v>
      </c>
      <c r="K292" s="10">
        <f>+'A) Base RI'!I292</f>
        <v>0</v>
      </c>
      <c r="L292" s="10">
        <f>+'A) Base RI'!J292</f>
        <v>8599.1200000000008</v>
      </c>
      <c r="M292" s="10">
        <f>+'A) Base RI'!K292</f>
        <v>0</v>
      </c>
      <c r="N292" s="10">
        <f>+'A) Base RI'!Q292</f>
        <v>0</v>
      </c>
      <c r="O292" s="10">
        <f t="shared" si="25"/>
        <v>61018</v>
      </c>
      <c r="P292" s="10">
        <f>+'A) Base RI'!L292</f>
        <v>61018</v>
      </c>
      <c r="Q292" s="395">
        <f>'A) Base RI'!Z292</f>
        <v>1</v>
      </c>
      <c r="R292" s="387">
        <f t="shared" si="26"/>
        <v>816232.03999999992</v>
      </c>
      <c r="S292" s="428">
        <f>+'A) Base RI'!U292</f>
        <v>77</v>
      </c>
      <c r="T292" s="387">
        <f t="shared" si="27"/>
        <v>753014.03999999992</v>
      </c>
      <c r="U292" s="387">
        <f t="shared" si="28"/>
        <v>10600.416103896103</v>
      </c>
      <c r="V292" s="10">
        <f>+'A) Base RI'!O292</f>
        <v>0</v>
      </c>
      <c r="W292" s="10">
        <f>+'A) Base RI'!P292</f>
        <v>44207.8</v>
      </c>
      <c r="X292" s="10">
        <f>+'A) Base RI'!R292</f>
        <v>13554.7</v>
      </c>
      <c r="Y292" s="387">
        <f t="shared" si="29"/>
        <v>57762.5</v>
      </c>
      <c r="Z292" s="10">
        <f>+'A) Base RI'!N292</f>
        <v>0</v>
      </c>
      <c r="AA292" s="10">
        <f>'A) Base RI'!V292</f>
        <v>403</v>
      </c>
    </row>
    <row r="293" spans="1:27" x14ac:dyDescent="0.25">
      <c r="A293" s="8">
        <f>'A) Base RI'!A293</f>
        <v>5911</v>
      </c>
      <c r="B293" s="32" t="str">
        <f>'A) Base RI'!B293</f>
        <v>Cuarny</v>
      </c>
      <c r="C293" s="10">
        <f>'A) Base RI'!C293+'A) Base RI'!D293</f>
        <v>532427.22</v>
      </c>
      <c r="D293" s="10">
        <f>'A) Base RI'!W293</f>
        <v>-2706.69</v>
      </c>
      <c r="E293" s="384">
        <f>'A) Base RI'!X293</f>
        <v>0</v>
      </c>
      <c r="F293" s="384">
        <f>'A) Base RI'!Y293</f>
        <v>-600.22</v>
      </c>
      <c r="G293" s="387">
        <f t="shared" si="24"/>
        <v>529120.31000000006</v>
      </c>
      <c r="H293" s="10">
        <f>+'A) Base RI'!E293</f>
        <v>0</v>
      </c>
      <c r="I293" s="10">
        <f>+'A) Base RI'!F293</f>
        <v>1380</v>
      </c>
      <c r="J293" s="10">
        <f>+'A) Base RI'!G293+'A) Base RI'!H293+'A) Base RI'!S293</f>
        <v>7914.5700000000006</v>
      </c>
      <c r="K293" s="10">
        <f>+'A) Base RI'!I293</f>
        <v>0</v>
      </c>
      <c r="L293" s="10">
        <f>+'A) Base RI'!J293</f>
        <v>1364.8</v>
      </c>
      <c r="M293" s="10">
        <f>+'A) Base RI'!K293</f>
        <v>2738.5</v>
      </c>
      <c r="N293" s="10">
        <f>+'A) Base RI'!Q293</f>
        <v>0</v>
      </c>
      <c r="O293" s="10">
        <f t="shared" si="25"/>
        <v>35287.1</v>
      </c>
      <c r="P293" s="10">
        <f>+'A) Base RI'!L293</f>
        <v>35287.1</v>
      </c>
      <c r="Q293" s="395">
        <f>'A) Base RI'!Z293</f>
        <v>1</v>
      </c>
      <c r="R293" s="387">
        <f t="shared" si="26"/>
        <v>577805.28</v>
      </c>
      <c r="S293" s="428">
        <f>+'A) Base RI'!U293</f>
        <v>77</v>
      </c>
      <c r="T293" s="387">
        <f t="shared" si="27"/>
        <v>538399.68000000005</v>
      </c>
      <c r="U293" s="387">
        <f t="shared" si="28"/>
        <v>7503.9646753246761</v>
      </c>
      <c r="V293" s="10">
        <f>+'A) Base RI'!O293</f>
        <v>1676.5</v>
      </c>
      <c r="W293" s="10">
        <f>+'A) Base RI'!P293</f>
        <v>18095.45</v>
      </c>
      <c r="X293" s="10">
        <f>+'A) Base RI'!R293</f>
        <v>28123.95</v>
      </c>
      <c r="Y293" s="387">
        <f t="shared" si="29"/>
        <v>47895.9</v>
      </c>
      <c r="Z293" s="10">
        <f>+'A) Base RI'!N293</f>
        <v>1009.45</v>
      </c>
      <c r="AA293" s="10">
        <f>'A) Base RI'!V293</f>
        <v>245</v>
      </c>
    </row>
    <row r="294" spans="1:27" x14ac:dyDescent="0.25">
      <c r="A294" s="8">
        <f>'A) Base RI'!A294</f>
        <v>5912</v>
      </c>
      <c r="B294" s="32" t="str">
        <f>'A) Base RI'!B294</f>
        <v>Démoret</v>
      </c>
      <c r="C294" s="10">
        <f>'A) Base RI'!C294+'A) Base RI'!D294</f>
        <v>350946.35</v>
      </c>
      <c r="D294" s="10">
        <f>'A) Base RI'!W294</f>
        <v>-2205.6</v>
      </c>
      <c r="E294" s="384">
        <f>'A) Base RI'!X294</f>
        <v>0</v>
      </c>
      <c r="F294" s="384">
        <f>'A) Base RI'!Y294</f>
        <v>0</v>
      </c>
      <c r="G294" s="387">
        <f t="shared" si="24"/>
        <v>348740.75</v>
      </c>
      <c r="H294" s="10">
        <f>+'A) Base RI'!E294</f>
        <v>0</v>
      </c>
      <c r="I294" s="10">
        <f>+'A) Base RI'!F294</f>
        <v>880</v>
      </c>
      <c r="J294" s="10">
        <f>+'A) Base RI'!G294+'A) Base RI'!H294+'A) Base RI'!S294</f>
        <v>4404.79</v>
      </c>
      <c r="K294" s="10">
        <f>+'A) Base RI'!I294</f>
        <v>0</v>
      </c>
      <c r="L294" s="10">
        <f>+'A) Base RI'!J294</f>
        <v>6624.13</v>
      </c>
      <c r="M294" s="10">
        <f>+'A) Base RI'!K294</f>
        <v>0</v>
      </c>
      <c r="N294" s="10">
        <f>+'A) Base RI'!Q294</f>
        <v>0</v>
      </c>
      <c r="O294" s="10">
        <f t="shared" si="25"/>
        <v>21877.3</v>
      </c>
      <c r="P294" s="10">
        <f>+'A) Base RI'!L294</f>
        <v>21877.3</v>
      </c>
      <c r="Q294" s="395">
        <f>'A) Base RI'!Z294</f>
        <v>1</v>
      </c>
      <c r="R294" s="387">
        <f t="shared" si="26"/>
        <v>382526.97</v>
      </c>
      <c r="S294" s="428">
        <f>+'A) Base RI'!U294</f>
        <v>81</v>
      </c>
      <c r="T294" s="387">
        <f t="shared" si="27"/>
        <v>359769.67</v>
      </c>
      <c r="U294" s="387">
        <f t="shared" si="28"/>
        <v>4722.5551851851851</v>
      </c>
      <c r="V294" s="10">
        <f>+'A) Base RI'!O294</f>
        <v>0</v>
      </c>
      <c r="W294" s="10">
        <f>+'A) Base RI'!P294</f>
        <v>20262.2</v>
      </c>
      <c r="X294" s="10">
        <f>+'A) Base RI'!R294</f>
        <v>11314.3</v>
      </c>
      <c r="Y294" s="387">
        <f t="shared" si="29"/>
        <v>31576.5</v>
      </c>
      <c r="Z294" s="10">
        <f>+'A) Base RI'!N294</f>
        <v>3569.75</v>
      </c>
      <c r="AA294" s="10">
        <f>'A) Base RI'!V294</f>
        <v>164</v>
      </c>
    </row>
    <row r="295" spans="1:27" x14ac:dyDescent="0.25">
      <c r="A295" s="8">
        <f>'A) Base RI'!A295</f>
        <v>5913</v>
      </c>
      <c r="B295" s="32" t="str">
        <f>'A) Base RI'!B295</f>
        <v>Donneloye</v>
      </c>
      <c r="C295" s="10">
        <f>'A) Base RI'!C295+'A) Base RI'!D295</f>
        <v>1613197.95</v>
      </c>
      <c r="D295" s="10">
        <f>'A) Base RI'!W295</f>
        <v>-17825.29</v>
      </c>
      <c r="E295" s="384">
        <f>'A) Base RI'!X295</f>
        <v>0</v>
      </c>
      <c r="F295" s="384">
        <f>'A) Base RI'!Y295</f>
        <v>-113.86</v>
      </c>
      <c r="G295" s="387">
        <f t="shared" si="24"/>
        <v>1595258.7999999998</v>
      </c>
      <c r="H295" s="10">
        <f>+'A) Base RI'!E295</f>
        <v>0</v>
      </c>
      <c r="I295" s="10">
        <f>+'A) Base RI'!F295</f>
        <v>0</v>
      </c>
      <c r="J295" s="10">
        <f>+'A) Base RI'!G295+'A) Base RI'!H295+'A) Base RI'!S295</f>
        <v>3891.6299999999997</v>
      </c>
      <c r="K295" s="10">
        <f>+'A) Base RI'!I295</f>
        <v>0</v>
      </c>
      <c r="L295" s="10">
        <f>+'A) Base RI'!J295</f>
        <v>21753.759999999998</v>
      </c>
      <c r="M295" s="10">
        <f>+'A) Base RI'!K295</f>
        <v>1585.35</v>
      </c>
      <c r="N295" s="10">
        <f>+'A) Base RI'!Q295</f>
        <v>0</v>
      </c>
      <c r="O295" s="10">
        <f t="shared" si="25"/>
        <v>121723</v>
      </c>
      <c r="P295" s="10">
        <f>+'A) Base RI'!L295</f>
        <v>121723</v>
      </c>
      <c r="Q295" s="395">
        <f>'A) Base RI'!Z295</f>
        <v>1</v>
      </c>
      <c r="R295" s="387">
        <f t="shared" si="26"/>
        <v>1744212.5399999998</v>
      </c>
      <c r="S295" s="428">
        <f>+'A) Base RI'!U295</f>
        <v>73</v>
      </c>
      <c r="T295" s="387">
        <f t="shared" si="27"/>
        <v>1620904.1899999997</v>
      </c>
      <c r="U295" s="387">
        <f t="shared" si="28"/>
        <v>23893.322465753423</v>
      </c>
      <c r="V295" s="10">
        <f>+'A) Base RI'!O295</f>
        <v>4630.3</v>
      </c>
      <c r="W295" s="10">
        <f>+'A) Base RI'!P295</f>
        <v>91602.5</v>
      </c>
      <c r="X295" s="10">
        <f>+'A) Base RI'!R295</f>
        <v>47018.9</v>
      </c>
      <c r="Y295" s="387">
        <f t="shared" si="29"/>
        <v>143251.70000000001</v>
      </c>
      <c r="Z295" s="10">
        <f>+'A) Base RI'!N295</f>
        <v>29277.45</v>
      </c>
      <c r="AA295" s="10">
        <f>'A) Base RI'!V295</f>
        <v>891</v>
      </c>
    </row>
    <row r="296" spans="1:27" x14ac:dyDescent="0.25">
      <c r="A296" s="8">
        <f>'A) Base RI'!A296</f>
        <v>5914</v>
      </c>
      <c r="B296" s="32" t="str">
        <f>'A) Base RI'!B296</f>
        <v>Ependes</v>
      </c>
      <c r="C296" s="10">
        <f>'A) Base RI'!C296+'A) Base RI'!D296</f>
        <v>625914.66</v>
      </c>
      <c r="D296" s="10">
        <f>'A) Base RI'!W296</f>
        <v>-11855.03</v>
      </c>
      <c r="E296" s="384">
        <f>'A) Base RI'!X296</f>
        <v>0</v>
      </c>
      <c r="F296" s="384">
        <f>'A) Base RI'!Y296</f>
        <v>-3.01</v>
      </c>
      <c r="G296" s="387">
        <f t="shared" si="24"/>
        <v>614056.62</v>
      </c>
      <c r="H296" s="10">
        <f>+'A) Base RI'!E296</f>
        <v>0</v>
      </c>
      <c r="I296" s="10">
        <f>+'A) Base RI'!F296</f>
        <v>2290</v>
      </c>
      <c r="J296" s="10">
        <f>+'A) Base RI'!G296+'A) Base RI'!H296+'A) Base RI'!S296</f>
        <v>23276.700000000004</v>
      </c>
      <c r="K296" s="10">
        <f>+'A) Base RI'!I296</f>
        <v>0</v>
      </c>
      <c r="L296" s="10">
        <f>+'A) Base RI'!J296</f>
        <v>7438.26</v>
      </c>
      <c r="M296" s="10">
        <f>+'A) Base RI'!K296</f>
        <v>8081.45</v>
      </c>
      <c r="N296" s="10">
        <f>+'A) Base RI'!Q296</f>
        <v>2446.0500000000002</v>
      </c>
      <c r="O296" s="10">
        <f t="shared" si="25"/>
        <v>64880.15</v>
      </c>
      <c r="P296" s="10">
        <f>+'A) Base RI'!L296</f>
        <v>64880.15</v>
      </c>
      <c r="Q296" s="395">
        <f>'A) Base RI'!Z296</f>
        <v>1</v>
      </c>
      <c r="R296" s="387">
        <f t="shared" si="26"/>
        <v>722469.23</v>
      </c>
      <c r="S296" s="428">
        <f>+'A) Base RI'!U296</f>
        <v>73.5</v>
      </c>
      <c r="T296" s="387">
        <f t="shared" si="27"/>
        <v>647217.63</v>
      </c>
      <c r="U296" s="387">
        <f t="shared" si="28"/>
        <v>9829.5133333333324</v>
      </c>
      <c r="V296" s="10">
        <f>+'A) Base RI'!O296</f>
        <v>44453.2</v>
      </c>
      <c r="W296" s="10">
        <f>+'A) Base RI'!P296</f>
        <v>42893</v>
      </c>
      <c r="X296" s="10">
        <f>+'A) Base RI'!R296</f>
        <v>33599.1</v>
      </c>
      <c r="Y296" s="387">
        <f t="shared" si="29"/>
        <v>120945.29999999999</v>
      </c>
      <c r="Z296" s="10">
        <f>+'A) Base RI'!N296</f>
        <v>11708.55</v>
      </c>
      <c r="AA296" s="10">
        <f>'A) Base RI'!V296</f>
        <v>381</v>
      </c>
    </row>
    <row r="297" spans="1:27" x14ac:dyDescent="0.25">
      <c r="A297" s="8">
        <f>'A) Base RI'!A297</f>
        <v>5919</v>
      </c>
      <c r="B297" s="32" t="str">
        <f>'A) Base RI'!B297</f>
        <v>Mathod</v>
      </c>
      <c r="C297" s="10">
        <f>'A) Base RI'!C297+'A) Base RI'!D297</f>
        <v>1200523.8499999999</v>
      </c>
      <c r="D297" s="10">
        <f>'A) Base RI'!W297</f>
        <v>-26247.29</v>
      </c>
      <c r="E297" s="384">
        <f>'A) Base RI'!X297</f>
        <v>0</v>
      </c>
      <c r="F297" s="384">
        <f>'A) Base RI'!Y297</f>
        <v>-66.72</v>
      </c>
      <c r="G297" s="387">
        <f t="shared" si="24"/>
        <v>1174209.8399999999</v>
      </c>
      <c r="H297" s="10">
        <f>+'A) Base RI'!E297</f>
        <v>0</v>
      </c>
      <c r="I297" s="10">
        <f>+'A) Base RI'!F297</f>
        <v>3860</v>
      </c>
      <c r="J297" s="10">
        <f>+'A) Base RI'!G297+'A) Base RI'!H297+'A) Base RI'!S297</f>
        <v>15314.76</v>
      </c>
      <c r="K297" s="10">
        <f>+'A) Base RI'!I297</f>
        <v>0</v>
      </c>
      <c r="L297" s="10">
        <f>+'A) Base RI'!J297</f>
        <v>23681.83</v>
      </c>
      <c r="M297" s="10">
        <f>+'A) Base RI'!K297</f>
        <v>9487.2999999999993</v>
      </c>
      <c r="N297" s="10">
        <f>+'A) Base RI'!Q297</f>
        <v>1659.81</v>
      </c>
      <c r="O297" s="10">
        <f t="shared" si="25"/>
        <v>117098.25</v>
      </c>
      <c r="P297" s="10">
        <f>+'A) Base RI'!L297</f>
        <v>140517.9</v>
      </c>
      <c r="Q297" s="395">
        <f>'A) Base RI'!Z297</f>
        <v>1.2</v>
      </c>
      <c r="R297" s="387">
        <f t="shared" si="26"/>
        <v>1345311.79</v>
      </c>
      <c r="S297" s="428">
        <f>+'A) Base RI'!U297</f>
        <v>72</v>
      </c>
      <c r="T297" s="387">
        <f t="shared" si="27"/>
        <v>1214866.24</v>
      </c>
      <c r="U297" s="387">
        <f t="shared" si="28"/>
        <v>18684.885972222222</v>
      </c>
      <c r="V297" s="10">
        <f>+'A) Base RI'!O297</f>
        <v>0</v>
      </c>
      <c r="W297" s="10">
        <f>+'A) Base RI'!P297</f>
        <v>59761.5</v>
      </c>
      <c r="X297" s="10">
        <f>+'A) Base RI'!R297</f>
        <v>29137.5</v>
      </c>
      <c r="Y297" s="387">
        <f t="shared" si="29"/>
        <v>88899</v>
      </c>
      <c r="Z297" s="10">
        <f>+'A) Base RI'!N297</f>
        <v>11130.05</v>
      </c>
      <c r="AA297" s="10">
        <f>'A) Base RI'!V297</f>
        <v>655</v>
      </c>
    </row>
    <row r="298" spans="1:27" x14ac:dyDescent="0.25">
      <c r="A298" s="8">
        <f>'A) Base RI'!A298</f>
        <v>5921</v>
      </c>
      <c r="B298" s="32" t="str">
        <f>'A) Base RI'!B298</f>
        <v>Molondin</v>
      </c>
      <c r="C298" s="10">
        <f>'A) Base RI'!C298+'A) Base RI'!D298</f>
        <v>433827.44</v>
      </c>
      <c r="D298" s="10">
        <f>'A) Base RI'!W298</f>
        <v>-18273.919999999998</v>
      </c>
      <c r="E298" s="384">
        <f>'A) Base RI'!X298</f>
        <v>0</v>
      </c>
      <c r="F298" s="384">
        <f>'A) Base RI'!Y298</f>
        <v>-19.93</v>
      </c>
      <c r="G298" s="387">
        <f t="shared" si="24"/>
        <v>415533.59</v>
      </c>
      <c r="H298" s="10">
        <f>+'A) Base RI'!E298</f>
        <v>0</v>
      </c>
      <c r="I298" s="10">
        <f>+'A) Base RI'!F298</f>
        <v>1420.9</v>
      </c>
      <c r="J298" s="10">
        <f>+'A) Base RI'!G298+'A) Base RI'!H298+'A) Base RI'!S298</f>
        <v>12499.21</v>
      </c>
      <c r="K298" s="10">
        <f>+'A) Base RI'!I298</f>
        <v>0</v>
      </c>
      <c r="L298" s="10">
        <f>+'A) Base RI'!J298</f>
        <v>12004.38</v>
      </c>
      <c r="M298" s="10">
        <f>+'A) Base RI'!K298</f>
        <v>0</v>
      </c>
      <c r="N298" s="10">
        <f>+'A) Base RI'!Q298</f>
        <v>0</v>
      </c>
      <c r="O298" s="10">
        <f t="shared" si="25"/>
        <v>34416.65</v>
      </c>
      <c r="P298" s="10">
        <f>+'A) Base RI'!L298</f>
        <v>34416.65</v>
      </c>
      <c r="Q298" s="395">
        <f>'A) Base RI'!Z298</f>
        <v>1</v>
      </c>
      <c r="R298" s="387">
        <f t="shared" si="26"/>
        <v>475874.7300000001</v>
      </c>
      <c r="S298" s="428">
        <f>+'A) Base RI'!U298</f>
        <v>81</v>
      </c>
      <c r="T298" s="387">
        <f t="shared" si="27"/>
        <v>440037.18000000005</v>
      </c>
      <c r="U298" s="387">
        <f t="shared" si="28"/>
        <v>5874.9966666666678</v>
      </c>
      <c r="V298" s="10">
        <f>+'A) Base RI'!O298</f>
        <v>3618.6</v>
      </c>
      <c r="W298" s="10">
        <f>+'A) Base RI'!P298</f>
        <v>653.25</v>
      </c>
      <c r="X298" s="10">
        <f>+'A) Base RI'!R298</f>
        <v>0</v>
      </c>
      <c r="Y298" s="387">
        <f t="shared" si="29"/>
        <v>4271.8500000000004</v>
      </c>
      <c r="Z298" s="10">
        <f>+'A) Base RI'!N298</f>
        <v>8046.65</v>
      </c>
      <c r="AA298" s="10">
        <f>'A) Base RI'!V298</f>
        <v>239</v>
      </c>
    </row>
    <row r="299" spans="1:27" x14ac:dyDescent="0.25">
      <c r="A299" s="8">
        <f>'A) Base RI'!A299</f>
        <v>5922</v>
      </c>
      <c r="B299" s="32" t="str">
        <f>'A) Base RI'!B299</f>
        <v>Montagny-près-Yverdon</v>
      </c>
      <c r="C299" s="10">
        <f>'A) Base RI'!C299+'A) Base RI'!D299</f>
        <v>1648818.6600000001</v>
      </c>
      <c r="D299" s="10">
        <f>'A) Base RI'!W299</f>
        <v>-29613.51</v>
      </c>
      <c r="E299" s="384">
        <f>'A) Base RI'!X299</f>
        <v>0</v>
      </c>
      <c r="F299" s="384">
        <f>'A) Base RI'!Y299</f>
        <v>-444.96</v>
      </c>
      <c r="G299" s="387">
        <f t="shared" si="24"/>
        <v>1618760.1900000002</v>
      </c>
      <c r="H299" s="10">
        <f>+'A) Base RI'!E299</f>
        <v>0</v>
      </c>
      <c r="I299" s="10">
        <f>+'A) Base RI'!F299</f>
        <v>0</v>
      </c>
      <c r="J299" s="10">
        <f>+'A) Base RI'!G299+'A) Base RI'!H299+'A) Base RI'!S299</f>
        <v>478662.8</v>
      </c>
      <c r="K299" s="10">
        <f>+'A) Base RI'!I299</f>
        <v>0</v>
      </c>
      <c r="L299" s="10">
        <f>+'A) Base RI'!J299</f>
        <v>91122.68</v>
      </c>
      <c r="M299" s="10">
        <f>+'A) Base RI'!K299</f>
        <v>29094.15</v>
      </c>
      <c r="N299" s="10">
        <f>+'A) Base RI'!Q299</f>
        <v>8693.7900000000009</v>
      </c>
      <c r="O299" s="10">
        <f t="shared" si="25"/>
        <v>328770.99999999994</v>
      </c>
      <c r="P299" s="10">
        <f>+'A) Base RI'!L299</f>
        <v>263016.8</v>
      </c>
      <c r="Q299" s="395">
        <f>'A) Base RI'!Z299</f>
        <v>0.8</v>
      </c>
      <c r="R299" s="387">
        <f t="shared" si="26"/>
        <v>2555104.6100000003</v>
      </c>
      <c r="S299" s="428">
        <f>+'A) Base RI'!U299</f>
        <v>64.5</v>
      </c>
      <c r="T299" s="387">
        <f t="shared" si="27"/>
        <v>2197239.4600000004</v>
      </c>
      <c r="U299" s="387">
        <f t="shared" si="28"/>
        <v>39614.024961240313</v>
      </c>
      <c r="V299" s="10">
        <f>+'A) Base RI'!O299</f>
        <v>0</v>
      </c>
      <c r="W299" s="10">
        <f>+'A) Base RI'!P299</f>
        <v>228232.2</v>
      </c>
      <c r="X299" s="10">
        <f>+'A) Base RI'!R299</f>
        <v>100434.2</v>
      </c>
      <c r="Y299" s="387">
        <f t="shared" si="29"/>
        <v>328666.40000000002</v>
      </c>
      <c r="Z299" s="10">
        <f>+'A) Base RI'!N299</f>
        <v>373184.55</v>
      </c>
      <c r="AA299" s="10">
        <f>'A) Base RI'!V299</f>
        <v>775</v>
      </c>
    </row>
    <row r="300" spans="1:27" x14ac:dyDescent="0.25">
      <c r="A300" s="8">
        <f>'A) Base RI'!A300</f>
        <v>5923</v>
      </c>
      <c r="B300" s="32" t="str">
        <f>'A) Base RI'!B300</f>
        <v>Oppens</v>
      </c>
      <c r="C300" s="10">
        <f>'A) Base RI'!C300+'A) Base RI'!D300</f>
        <v>377113.16</v>
      </c>
      <c r="D300" s="10">
        <f>'A) Base RI'!W300</f>
        <v>-5294.37</v>
      </c>
      <c r="E300" s="384">
        <f>'A) Base RI'!X300</f>
        <v>0</v>
      </c>
      <c r="F300" s="384">
        <f>'A) Base RI'!Y300</f>
        <v>-0.17</v>
      </c>
      <c r="G300" s="387">
        <f t="shared" si="24"/>
        <v>371818.62</v>
      </c>
      <c r="H300" s="10">
        <f>+'A) Base RI'!E300</f>
        <v>0</v>
      </c>
      <c r="I300" s="10">
        <f>+'A) Base RI'!F300</f>
        <v>0</v>
      </c>
      <c r="J300" s="10">
        <f>+'A) Base RI'!G300+'A) Base RI'!H300+'A) Base RI'!S300</f>
        <v>-949.50000000000011</v>
      </c>
      <c r="K300" s="10">
        <f>+'A) Base RI'!I300</f>
        <v>0</v>
      </c>
      <c r="L300" s="10">
        <f>+'A) Base RI'!J300</f>
        <v>15044.24</v>
      </c>
      <c r="M300" s="10">
        <f>+'A) Base RI'!K300</f>
        <v>0</v>
      </c>
      <c r="N300" s="10">
        <f>+'A) Base RI'!Q300</f>
        <v>364.95</v>
      </c>
      <c r="O300" s="10">
        <f t="shared" si="25"/>
        <v>26403.4</v>
      </c>
      <c r="P300" s="10">
        <f>+'A) Base RI'!L300</f>
        <v>26403.4</v>
      </c>
      <c r="Q300" s="395">
        <f>'A) Base RI'!Z300</f>
        <v>1</v>
      </c>
      <c r="R300" s="387">
        <f t="shared" si="26"/>
        <v>412681.71</v>
      </c>
      <c r="S300" s="428">
        <f>+'A) Base RI'!U300</f>
        <v>81</v>
      </c>
      <c r="T300" s="387">
        <f t="shared" si="27"/>
        <v>386278.31</v>
      </c>
      <c r="U300" s="387">
        <f t="shared" si="28"/>
        <v>5094.8359259259259</v>
      </c>
      <c r="V300" s="10">
        <f>+'A) Base RI'!O300</f>
        <v>0</v>
      </c>
      <c r="W300" s="10">
        <f>+'A) Base RI'!P300</f>
        <v>34066.9</v>
      </c>
      <c r="X300" s="10">
        <f>+'A) Base RI'!R300</f>
        <v>27999.75</v>
      </c>
      <c r="Y300" s="387">
        <f t="shared" si="29"/>
        <v>62066.65</v>
      </c>
      <c r="Z300" s="10">
        <f>+'A) Base RI'!N300</f>
        <v>12323.55</v>
      </c>
      <c r="AA300" s="10">
        <f>'A) Base RI'!V300</f>
        <v>201</v>
      </c>
    </row>
    <row r="301" spans="1:27" x14ac:dyDescent="0.25">
      <c r="A301" s="8">
        <f>'A) Base RI'!A301</f>
        <v>5924</v>
      </c>
      <c r="B301" s="32" t="str">
        <f>'A) Base RI'!B301</f>
        <v>Orges</v>
      </c>
      <c r="C301" s="10">
        <f>'A) Base RI'!C301+'A) Base RI'!D301</f>
        <v>877776.53</v>
      </c>
      <c r="D301" s="10">
        <f>'A) Base RI'!W301</f>
        <v>-1776.21</v>
      </c>
      <c r="E301" s="384">
        <f>'A) Base RI'!X301</f>
        <v>0</v>
      </c>
      <c r="F301" s="384">
        <f>'A) Base RI'!Y301</f>
        <v>-881.5</v>
      </c>
      <c r="G301" s="387">
        <f t="shared" si="24"/>
        <v>875118.82000000007</v>
      </c>
      <c r="H301" s="10">
        <f>+'A) Base RI'!E301</f>
        <v>0</v>
      </c>
      <c r="I301" s="10">
        <f>+'A) Base RI'!F301</f>
        <v>0</v>
      </c>
      <c r="J301" s="10">
        <f>+'A) Base RI'!G301+'A) Base RI'!H301+'A) Base RI'!S301</f>
        <v>21430.179999999997</v>
      </c>
      <c r="K301" s="10">
        <f>+'A) Base RI'!I301</f>
        <v>0</v>
      </c>
      <c r="L301" s="10">
        <f>+'A) Base RI'!J301</f>
        <v>15442.3</v>
      </c>
      <c r="M301" s="10">
        <f>+'A) Base RI'!K301</f>
        <v>-179</v>
      </c>
      <c r="N301" s="10">
        <f>+'A) Base RI'!Q301</f>
        <v>5.52</v>
      </c>
      <c r="O301" s="10">
        <f t="shared" si="25"/>
        <v>58334.75</v>
      </c>
      <c r="P301" s="10">
        <f>+'A) Base RI'!L301</f>
        <v>58334.75</v>
      </c>
      <c r="Q301" s="395">
        <f>'A) Base RI'!Z301</f>
        <v>1</v>
      </c>
      <c r="R301" s="387">
        <f t="shared" si="26"/>
        <v>970152.57000000018</v>
      </c>
      <c r="S301" s="428">
        <f>+'A) Base RI'!U301</f>
        <v>74</v>
      </c>
      <c r="T301" s="387">
        <f t="shared" si="27"/>
        <v>911996.82000000018</v>
      </c>
      <c r="U301" s="387">
        <f t="shared" si="28"/>
        <v>13110.169864864867</v>
      </c>
      <c r="V301" s="10">
        <f>+'A) Base RI'!O301</f>
        <v>0</v>
      </c>
      <c r="W301" s="10">
        <f>+'A) Base RI'!P301</f>
        <v>50312.55</v>
      </c>
      <c r="X301" s="10">
        <f>+'A) Base RI'!R301</f>
        <v>31744.55</v>
      </c>
      <c r="Y301" s="387">
        <f t="shared" si="29"/>
        <v>82057.100000000006</v>
      </c>
      <c r="Z301" s="10">
        <f>+'A) Base RI'!N301</f>
        <v>18896.3</v>
      </c>
      <c r="AA301" s="10">
        <f>'A) Base RI'!V301</f>
        <v>367</v>
      </c>
    </row>
    <row r="302" spans="1:27" x14ac:dyDescent="0.25">
      <c r="A302" s="8">
        <f>'A) Base RI'!A302</f>
        <v>5925</v>
      </c>
      <c r="B302" s="32" t="str">
        <f>'A) Base RI'!B302</f>
        <v>Orzens</v>
      </c>
      <c r="C302" s="10">
        <f>'A) Base RI'!C302+'A) Base RI'!D302</f>
        <v>377194.33999999997</v>
      </c>
      <c r="D302" s="10">
        <f>'A) Base RI'!W302</f>
        <v>-12375.55</v>
      </c>
      <c r="E302" s="384">
        <f>'A) Base RI'!X302</f>
        <v>0</v>
      </c>
      <c r="F302" s="384">
        <f>'A) Base RI'!Y302</f>
        <v>-245.38</v>
      </c>
      <c r="G302" s="387">
        <f t="shared" si="24"/>
        <v>364573.41</v>
      </c>
      <c r="H302" s="10">
        <f>+'A) Base RI'!E302</f>
        <v>0</v>
      </c>
      <c r="I302" s="10">
        <f>+'A) Base RI'!F302</f>
        <v>1240</v>
      </c>
      <c r="J302" s="10">
        <f>+'A) Base RI'!G302+'A) Base RI'!H302+'A) Base RI'!S302</f>
        <v>5006.45</v>
      </c>
      <c r="K302" s="10">
        <f>+'A) Base RI'!I302</f>
        <v>0</v>
      </c>
      <c r="L302" s="10">
        <f>+'A) Base RI'!J302</f>
        <v>10860.24</v>
      </c>
      <c r="M302" s="10">
        <f>+'A) Base RI'!K302</f>
        <v>0</v>
      </c>
      <c r="N302" s="10">
        <f>+'A) Base RI'!Q302</f>
        <v>257.86</v>
      </c>
      <c r="O302" s="10">
        <f t="shared" si="25"/>
        <v>31278.400000000001</v>
      </c>
      <c r="P302" s="10">
        <f>+'A) Base RI'!L302</f>
        <v>31278.400000000001</v>
      </c>
      <c r="Q302" s="395">
        <f>'A) Base RI'!Z302</f>
        <v>1</v>
      </c>
      <c r="R302" s="387">
        <f t="shared" si="26"/>
        <v>413216.36</v>
      </c>
      <c r="S302" s="428">
        <f>+'A) Base RI'!U302</f>
        <v>79</v>
      </c>
      <c r="T302" s="387">
        <f t="shared" si="27"/>
        <v>380697.95999999996</v>
      </c>
      <c r="U302" s="387">
        <f t="shared" si="28"/>
        <v>5230.5868354430377</v>
      </c>
      <c r="V302" s="10">
        <f>+'A) Base RI'!O302</f>
        <v>112955.2</v>
      </c>
      <c r="W302" s="10">
        <f>+'A) Base RI'!P302</f>
        <v>10837.5</v>
      </c>
      <c r="X302" s="10">
        <f>+'A) Base RI'!R302</f>
        <v>13223.4</v>
      </c>
      <c r="Y302" s="387">
        <f t="shared" si="29"/>
        <v>137016.1</v>
      </c>
      <c r="Z302" s="10">
        <f>+'A) Base RI'!N302</f>
        <v>514.25</v>
      </c>
      <c r="AA302" s="10">
        <f>'A) Base RI'!V302</f>
        <v>202</v>
      </c>
    </row>
    <row r="303" spans="1:27" x14ac:dyDescent="0.25">
      <c r="A303" s="8">
        <f>'A) Base RI'!A303</f>
        <v>5926</v>
      </c>
      <c r="B303" s="32" t="str">
        <f>'A) Base RI'!B303</f>
        <v>Pomy</v>
      </c>
      <c r="C303" s="10">
        <f>'A) Base RI'!C303+'A) Base RI'!D303</f>
        <v>1887479.4300000002</v>
      </c>
      <c r="D303" s="10">
        <f>'A) Base RI'!W303</f>
        <v>-81744.06</v>
      </c>
      <c r="E303" s="384">
        <f>'A) Base RI'!X303</f>
        <v>0</v>
      </c>
      <c r="F303" s="384">
        <f>'A) Base RI'!Y303</f>
        <v>-194.64</v>
      </c>
      <c r="G303" s="387">
        <f t="shared" si="24"/>
        <v>1805540.7300000002</v>
      </c>
      <c r="H303" s="10">
        <f>+'A) Base RI'!E303</f>
        <v>0</v>
      </c>
      <c r="I303" s="10">
        <f>+'A) Base RI'!F303</f>
        <v>0</v>
      </c>
      <c r="J303" s="10">
        <f>+'A) Base RI'!G303+'A) Base RI'!H303+'A) Base RI'!S303</f>
        <v>22151.97</v>
      </c>
      <c r="K303" s="10">
        <f>+'A) Base RI'!I303</f>
        <v>0</v>
      </c>
      <c r="L303" s="10">
        <f>+'A) Base RI'!J303</f>
        <v>19080.93</v>
      </c>
      <c r="M303" s="10">
        <f>+'A) Base RI'!K303</f>
        <v>0</v>
      </c>
      <c r="N303" s="10">
        <f>+'A) Base RI'!Q303</f>
        <v>118.75</v>
      </c>
      <c r="O303" s="10">
        <f t="shared" si="25"/>
        <v>132240</v>
      </c>
      <c r="P303" s="10">
        <f>+'A) Base RI'!L303</f>
        <v>132240</v>
      </c>
      <c r="Q303" s="395">
        <f>'A) Base RI'!Z303</f>
        <v>1</v>
      </c>
      <c r="R303" s="387">
        <f t="shared" si="26"/>
        <v>1979132.3800000001</v>
      </c>
      <c r="S303" s="428">
        <f>+'A) Base RI'!U303</f>
        <v>71</v>
      </c>
      <c r="T303" s="387">
        <f t="shared" si="27"/>
        <v>1846892.3800000001</v>
      </c>
      <c r="U303" s="387">
        <f t="shared" si="28"/>
        <v>27875.103943661972</v>
      </c>
      <c r="V303" s="10">
        <f>+'A) Base RI'!O303</f>
        <v>2683.8</v>
      </c>
      <c r="W303" s="10">
        <f>+'A) Base RI'!P303</f>
        <v>139129.54999999999</v>
      </c>
      <c r="X303" s="10">
        <f>+'A) Base RI'!R303</f>
        <v>52958</v>
      </c>
      <c r="Y303" s="387">
        <f t="shared" si="29"/>
        <v>194771.34999999998</v>
      </c>
      <c r="Z303" s="10">
        <f>+'A) Base RI'!N303</f>
        <v>30239.599999999999</v>
      </c>
      <c r="AA303" s="10">
        <f>'A) Base RI'!V303</f>
        <v>838</v>
      </c>
    </row>
    <row r="304" spans="1:27" x14ac:dyDescent="0.25">
      <c r="A304" s="8">
        <f>'A) Base RI'!A304</f>
        <v>5928</v>
      </c>
      <c r="B304" s="32" t="str">
        <f>'A) Base RI'!B304</f>
        <v>Rovray</v>
      </c>
      <c r="C304" s="10">
        <f>'A) Base RI'!C304+'A) Base RI'!D304</f>
        <v>384904.47</v>
      </c>
      <c r="D304" s="10">
        <f>'A) Base RI'!W304</f>
        <v>-9588.84</v>
      </c>
      <c r="E304" s="384">
        <f>'A) Base RI'!X304</f>
        <v>0</v>
      </c>
      <c r="F304" s="384">
        <f>'A) Base RI'!Y304</f>
        <v>0</v>
      </c>
      <c r="G304" s="387">
        <f t="shared" si="24"/>
        <v>375315.62999999995</v>
      </c>
      <c r="H304" s="10">
        <f>+'A) Base RI'!E304</f>
        <v>0</v>
      </c>
      <c r="I304" s="10">
        <f>+'A) Base RI'!F304</f>
        <v>0</v>
      </c>
      <c r="J304" s="10">
        <f>+'A) Base RI'!G304+'A) Base RI'!H304+'A) Base RI'!S304</f>
        <v>342.11</v>
      </c>
      <c r="K304" s="10">
        <f>+'A) Base RI'!I304</f>
        <v>0</v>
      </c>
      <c r="L304" s="10">
        <f>+'A) Base RI'!J304</f>
        <v>-8779.6</v>
      </c>
      <c r="M304" s="10">
        <f>+'A) Base RI'!K304</f>
        <v>0</v>
      </c>
      <c r="N304" s="10">
        <f>+'A) Base RI'!Q304</f>
        <v>0</v>
      </c>
      <c r="O304" s="10">
        <f t="shared" si="25"/>
        <v>23473.3</v>
      </c>
      <c r="P304" s="10">
        <f>+'A) Base RI'!L304</f>
        <v>23473.3</v>
      </c>
      <c r="Q304" s="395">
        <f>'A) Base RI'!Z304</f>
        <v>1</v>
      </c>
      <c r="R304" s="387">
        <f t="shared" si="26"/>
        <v>390351.43999999994</v>
      </c>
      <c r="S304" s="428">
        <f>+'A) Base RI'!U304</f>
        <v>71.5</v>
      </c>
      <c r="T304" s="387">
        <f t="shared" si="27"/>
        <v>366878.13999999996</v>
      </c>
      <c r="U304" s="387">
        <f t="shared" si="28"/>
        <v>5459.4606993006983</v>
      </c>
      <c r="V304" s="10">
        <f>+'A) Base RI'!O304</f>
        <v>790.2</v>
      </c>
      <c r="W304" s="10">
        <f>+'A) Base RI'!P304</f>
        <v>451.35</v>
      </c>
      <c r="X304" s="10">
        <f>+'A) Base RI'!R304</f>
        <v>18200</v>
      </c>
      <c r="Y304" s="387">
        <f t="shared" si="29"/>
        <v>19441.55</v>
      </c>
      <c r="Z304" s="10">
        <f>+'A) Base RI'!N304</f>
        <v>10979.85</v>
      </c>
      <c r="AA304" s="10">
        <f>'A) Base RI'!V304</f>
        <v>206</v>
      </c>
    </row>
    <row r="305" spans="1:27" x14ac:dyDescent="0.25">
      <c r="A305" s="8">
        <f>'A) Base RI'!A305</f>
        <v>5929</v>
      </c>
      <c r="B305" s="32" t="str">
        <f>'A) Base RI'!B305</f>
        <v>Suchy</v>
      </c>
      <c r="C305" s="10">
        <f>'A) Base RI'!C305+'A) Base RI'!D305</f>
        <v>1216951.27</v>
      </c>
      <c r="D305" s="10">
        <f>'A) Base RI'!W305</f>
        <v>-12531.13</v>
      </c>
      <c r="E305" s="384">
        <f>'A) Base RI'!X305</f>
        <v>0</v>
      </c>
      <c r="F305" s="384">
        <f>'A) Base RI'!Y305</f>
        <v>-29</v>
      </c>
      <c r="G305" s="387">
        <f t="shared" si="24"/>
        <v>1204391.1400000001</v>
      </c>
      <c r="H305" s="10">
        <f>+'A) Base RI'!E305</f>
        <v>0</v>
      </c>
      <c r="I305" s="10">
        <f>+'A) Base RI'!F305</f>
        <v>0</v>
      </c>
      <c r="J305" s="10">
        <f>+'A) Base RI'!G305+'A) Base RI'!H305+'A) Base RI'!S305</f>
        <v>53387.82</v>
      </c>
      <c r="K305" s="10">
        <f>+'A) Base RI'!I305</f>
        <v>41100.15</v>
      </c>
      <c r="L305" s="10">
        <f>+'A) Base RI'!J305</f>
        <v>3702.39</v>
      </c>
      <c r="M305" s="10">
        <f>+'A) Base RI'!K305</f>
        <v>0</v>
      </c>
      <c r="N305" s="10">
        <f>+'A) Base RI'!Q305</f>
        <v>0</v>
      </c>
      <c r="O305" s="10">
        <f t="shared" si="25"/>
        <v>116107.68749999999</v>
      </c>
      <c r="P305" s="10">
        <f>+'A) Base RI'!L305</f>
        <v>92886.15</v>
      </c>
      <c r="Q305" s="395">
        <f>'A) Base RI'!Z305</f>
        <v>0.8</v>
      </c>
      <c r="R305" s="387">
        <f t="shared" si="26"/>
        <v>1418689.1875</v>
      </c>
      <c r="S305" s="428">
        <f>+'A) Base RI'!U305</f>
        <v>70</v>
      </c>
      <c r="T305" s="387">
        <f t="shared" si="27"/>
        <v>1302581.5</v>
      </c>
      <c r="U305" s="387">
        <f t="shared" si="28"/>
        <v>20266.988392857143</v>
      </c>
      <c r="V305" s="10">
        <f>+'A) Base RI'!O305</f>
        <v>0</v>
      </c>
      <c r="W305" s="10">
        <f>+'A) Base RI'!P305</f>
        <v>81326.3</v>
      </c>
      <c r="X305" s="10">
        <f>+'A) Base RI'!R305</f>
        <v>62114.8</v>
      </c>
      <c r="Y305" s="387">
        <f t="shared" si="29"/>
        <v>143441.1</v>
      </c>
      <c r="Z305" s="10">
        <f>+'A) Base RI'!N305</f>
        <v>6048.3</v>
      </c>
      <c r="AA305" s="10">
        <f>'A) Base RI'!V305</f>
        <v>656</v>
      </c>
    </row>
    <row r="306" spans="1:27" x14ac:dyDescent="0.25">
      <c r="A306" s="8">
        <f>'A) Base RI'!A306</f>
        <v>5930</v>
      </c>
      <c r="B306" s="32" t="str">
        <f>'A) Base RI'!B306</f>
        <v>Suscévaz</v>
      </c>
      <c r="C306" s="10">
        <f>'A) Base RI'!C306+'A) Base RI'!D306</f>
        <v>450847.18</v>
      </c>
      <c r="D306" s="10">
        <f>'A) Base RI'!W306</f>
        <v>-9284.16</v>
      </c>
      <c r="E306" s="384">
        <f>'A) Base RI'!X306</f>
        <v>0</v>
      </c>
      <c r="F306" s="384">
        <f>'A) Base RI'!Y306</f>
        <v>0</v>
      </c>
      <c r="G306" s="387">
        <f t="shared" si="24"/>
        <v>441563.02</v>
      </c>
      <c r="H306" s="10">
        <f>+'A) Base RI'!E306</f>
        <v>0</v>
      </c>
      <c r="I306" s="10">
        <f>+'A) Base RI'!F306</f>
        <v>1170</v>
      </c>
      <c r="J306" s="10">
        <f>+'A) Base RI'!G306+'A) Base RI'!H306+'A) Base RI'!S306</f>
        <v>1535.86</v>
      </c>
      <c r="K306" s="10">
        <f>+'A) Base RI'!I306</f>
        <v>0</v>
      </c>
      <c r="L306" s="10">
        <f>+'A) Base RI'!J306</f>
        <v>4628.62</v>
      </c>
      <c r="M306" s="10">
        <f>+'A) Base RI'!K306</f>
        <v>228.6</v>
      </c>
      <c r="N306" s="10">
        <f>+'A) Base RI'!Q306</f>
        <v>0</v>
      </c>
      <c r="O306" s="10">
        <f t="shared" si="25"/>
        <v>30524.5</v>
      </c>
      <c r="P306" s="10">
        <f>+'A) Base RI'!L306</f>
        <v>30524.5</v>
      </c>
      <c r="Q306" s="395">
        <f>'A) Base RI'!Z306</f>
        <v>1</v>
      </c>
      <c r="R306" s="387">
        <f t="shared" si="26"/>
        <v>479650.6</v>
      </c>
      <c r="S306" s="428">
        <f>+'A) Base RI'!U306</f>
        <v>72</v>
      </c>
      <c r="T306" s="387">
        <f t="shared" si="27"/>
        <v>447727.5</v>
      </c>
      <c r="U306" s="387">
        <f t="shared" si="28"/>
        <v>6661.8138888888889</v>
      </c>
      <c r="V306" s="10">
        <f>+'A) Base RI'!O306</f>
        <v>0</v>
      </c>
      <c r="W306" s="10">
        <f>+'A) Base RI'!P306</f>
        <v>55040</v>
      </c>
      <c r="X306" s="10">
        <f>+'A) Base RI'!R306</f>
        <v>24801.8</v>
      </c>
      <c r="Y306" s="387">
        <f t="shared" si="29"/>
        <v>79841.8</v>
      </c>
      <c r="Z306" s="10">
        <f>+'A) Base RI'!N306</f>
        <v>0</v>
      </c>
      <c r="AA306" s="10">
        <f>'A) Base RI'!V306</f>
        <v>215</v>
      </c>
    </row>
    <row r="307" spans="1:27" x14ac:dyDescent="0.25">
      <c r="A307" s="8">
        <f>'A) Base RI'!A307</f>
        <v>5931</v>
      </c>
      <c r="B307" s="32" t="str">
        <f>'A) Base RI'!B307</f>
        <v>Treycovagnes</v>
      </c>
      <c r="C307" s="10">
        <f>'A) Base RI'!C307+'A) Base RI'!D307</f>
        <v>1021412.2100000001</v>
      </c>
      <c r="D307" s="10">
        <f>'A) Base RI'!W307</f>
        <v>-4568.16</v>
      </c>
      <c r="E307" s="384">
        <f>'A) Base RI'!X307</f>
        <v>0</v>
      </c>
      <c r="F307" s="384">
        <f>'A) Base RI'!Y307</f>
        <v>-41.03</v>
      </c>
      <c r="G307" s="387">
        <f t="shared" si="24"/>
        <v>1016803.02</v>
      </c>
      <c r="H307" s="10">
        <f>+'A) Base RI'!E307</f>
        <v>0</v>
      </c>
      <c r="I307" s="10">
        <f>+'A) Base RI'!F307</f>
        <v>0</v>
      </c>
      <c r="J307" s="10">
        <f>+'A) Base RI'!G307+'A) Base RI'!H307+'A) Base RI'!S307</f>
        <v>36998.880000000005</v>
      </c>
      <c r="K307" s="10">
        <f>+'A) Base RI'!I307</f>
        <v>0</v>
      </c>
      <c r="L307" s="10">
        <f>+'A) Base RI'!J307</f>
        <v>10376.91</v>
      </c>
      <c r="M307" s="10">
        <f>+'A) Base RI'!K307</f>
        <v>781.4</v>
      </c>
      <c r="N307" s="10">
        <f>+'A) Base RI'!Q307</f>
        <v>0</v>
      </c>
      <c r="O307" s="10">
        <f t="shared" si="25"/>
        <v>80371.8</v>
      </c>
      <c r="P307" s="10">
        <f>+'A) Base RI'!L307</f>
        <v>80371.8</v>
      </c>
      <c r="Q307" s="395">
        <f>'A) Base RI'!Z307</f>
        <v>1</v>
      </c>
      <c r="R307" s="387">
        <f t="shared" si="26"/>
        <v>1145332.0099999998</v>
      </c>
      <c r="S307" s="428">
        <f>+'A) Base RI'!U307</f>
        <v>75</v>
      </c>
      <c r="T307" s="387">
        <f t="shared" si="27"/>
        <v>1064178.8099999998</v>
      </c>
      <c r="U307" s="387">
        <f t="shared" si="28"/>
        <v>15271.093466666664</v>
      </c>
      <c r="V307" s="10">
        <f>+'A) Base RI'!O307</f>
        <v>0</v>
      </c>
      <c r="W307" s="10">
        <f>+'A) Base RI'!P307</f>
        <v>98909.35</v>
      </c>
      <c r="X307" s="10">
        <f>+'A) Base RI'!R307</f>
        <v>56168.800000000003</v>
      </c>
      <c r="Y307" s="387">
        <f t="shared" si="29"/>
        <v>155078.15000000002</v>
      </c>
      <c r="Z307" s="10">
        <f>+'A) Base RI'!N307</f>
        <v>12375.15</v>
      </c>
      <c r="AA307" s="10">
        <f>'A) Base RI'!V307</f>
        <v>490</v>
      </c>
    </row>
    <row r="308" spans="1:27" x14ac:dyDescent="0.25">
      <c r="A308" s="8">
        <f>'A) Base RI'!A308</f>
        <v>5932</v>
      </c>
      <c r="B308" s="32" t="str">
        <f>'A) Base RI'!B308</f>
        <v>Ursins</v>
      </c>
      <c r="C308" s="10">
        <f>'A) Base RI'!C308+'A) Base RI'!D308</f>
        <v>509146.61000000004</v>
      </c>
      <c r="D308" s="10">
        <f>'A) Base RI'!W308</f>
        <v>-18154.11</v>
      </c>
      <c r="E308" s="384">
        <f>'A) Base RI'!X308</f>
        <v>0</v>
      </c>
      <c r="F308" s="384">
        <f>'A) Base RI'!Y308</f>
        <v>0</v>
      </c>
      <c r="G308" s="387">
        <f t="shared" si="24"/>
        <v>490992.50000000006</v>
      </c>
      <c r="H308" s="10">
        <f>+'A) Base RI'!E308</f>
        <v>0</v>
      </c>
      <c r="I308" s="10">
        <f>+'A) Base RI'!F308</f>
        <v>1410</v>
      </c>
      <c r="J308" s="10">
        <f>+'A) Base RI'!G308+'A) Base RI'!H308+'A) Base RI'!S308</f>
        <v>707.98</v>
      </c>
      <c r="K308" s="10">
        <f>+'A) Base RI'!I308</f>
        <v>46204.7</v>
      </c>
      <c r="L308" s="10">
        <f>+'A) Base RI'!J308</f>
        <v>1744.92</v>
      </c>
      <c r="M308" s="10">
        <f>+'A) Base RI'!K308</f>
        <v>819.5</v>
      </c>
      <c r="N308" s="10">
        <f>+'A) Base RI'!Q308</f>
        <v>2970.43</v>
      </c>
      <c r="O308" s="10">
        <f t="shared" si="25"/>
        <v>32899.300000000003</v>
      </c>
      <c r="P308" s="10">
        <f>+'A) Base RI'!L308</f>
        <v>32899.300000000003</v>
      </c>
      <c r="Q308" s="395">
        <f>'A) Base RI'!Z308</f>
        <v>1</v>
      </c>
      <c r="R308" s="387">
        <f t="shared" si="26"/>
        <v>577749.33000000019</v>
      </c>
      <c r="S308" s="428">
        <f>+'A) Base RI'!U308</f>
        <v>75</v>
      </c>
      <c r="T308" s="387">
        <f t="shared" si="27"/>
        <v>542620.53000000014</v>
      </c>
      <c r="U308" s="387">
        <f t="shared" si="28"/>
        <v>7703.3244000000022</v>
      </c>
      <c r="V308" s="10">
        <f>+'A) Base RI'!O308</f>
        <v>0</v>
      </c>
      <c r="W308" s="10">
        <f>+'A) Base RI'!P308</f>
        <v>9848.7000000000007</v>
      </c>
      <c r="X308" s="10">
        <f>+'A) Base RI'!R308</f>
        <v>0</v>
      </c>
      <c r="Y308" s="387">
        <f t="shared" si="29"/>
        <v>9848.7000000000007</v>
      </c>
      <c r="Z308" s="10">
        <f>+'A) Base RI'!N308</f>
        <v>0</v>
      </c>
      <c r="AA308" s="10">
        <f>'A) Base RI'!V308</f>
        <v>228</v>
      </c>
    </row>
    <row r="309" spans="1:27" x14ac:dyDescent="0.25">
      <c r="A309" s="8">
        <f>'A) Base RI'!A309</f>
        <v>5933</v>
      </c>
      <c r="B309" s="32" t="str">
        <f>'A) Base RI'!B309</f>
        <v>Valeyres-sous-Montagny</v>
      </c>
      <c r="C309" s="10">
        <f>'A) Base RI'!C309+'A) Base RI'!D309</f>
        <v>1267894.45</v>
      </c>
      <c r="D309" s="10">
        <f>'A) Base RI'!W309</f>
        <v>-29548.06</v>
      </c>
      <c r="E309" s="384">
        <f>'A) Base RI'!X309</f>
        <v>-14260.6</v>
      </c>
      <c r="F309" s="384">
        <f>'A) Base RI'!Y309</f>
        <v>-2642.79</v>
      </c>
      <c r="G309" s="387">
        <f t="shared" si="24"/>
        <v>1221442.9999999998</v>
      </c>
      <c r="H309" s="10">
        <f>+'A) Base RI'!E309</f>
        <v>0</v>
      </c>
      <c r="I309" s="10">
        <f>+'A) Base RI'!F309</f>
        <v>0</v>
      </c>
      <c r="J309" s="10">
        <f>+'A) Base RI'!G309+'A) Base RI'!H309+'A) Base RI'!S309</f>
        <v>14120.17</v>
      </c>
      <c r="K309" s="10">
        <f>+'A) Base RI'!I309</f>
        <v>0</v>
      </c>
      <c r="L309" s="10">
        <f>+'A) Base RI'!J309</f>
        <v>17395.04</v>
      </c>
      <c r="M309" s="10">
        <f>+'A) Base RI'!K309</f>
        <v>4918.05</v>
      </c>
      <c r="N309" s="10">
        <f>+'A) Base RI'!Q309</f>
        <v>2884.24</v>
      </c>
      <c r="O309" s="10">
        <f t="shared" si="25"/>
        <v>121538.15</v>
      </c>
      <c r="P309" s="10">
        <f>+'A) Base RI'!L309</f>
        <v>121538.15</v>
      </c>
      <c r="Q309" s="395">
        <f>'A) Base RI'!Z309</f>
        <v>1</v>
      </c>
      <c r="R309" s="387">
        <f t="shared" si="26"/>
        <v>1382298.6499999997</v>
      </c>
      <c r="S309" s="428">
        <f>+'A) Base RI'!U309</f>
        <v>70.5</v>
      </c>
      <c r="T309" s="387">
        <f t="shared" si="27"/>
        <v>1255842.4499999997</v>
      </c>
      <c r="U309" s="387">
        <f t="shared" si="28"/>
        <v>19607.073049645387</v>
      </c>
      <c r="V309" s="10">
        <f>+'A) Base RI'!O309</f>
        <v>0</v>
      </c>
      <c r="W309" s="10">
        <f>+'A) Base RI'!P309</f>
        <v>75840</v>
      </c>
      <c r="X309" s="10">
        <f>+'A) Base RI'!R309</f>
        <v>56608.65</v>
      </c>
      <c r="Y309" s="387">
        <f t="shared" si="29"/>
        <v>132448.65</v>
      </c>
      <c r="Z309" s="10">
        <f>+'A) Base RI'!N309</f>
        <v>17443.900000000001</v>
      </c>
      <c r="AA309" s="10">
        <f>'A) Base RI'!V309</f>
        <v>697</v>
      </c>
    </row>
    <row r="310" spans="1:27" x14ac:dyDescent="0.25">
      <c r="A310" s="8">
        <f>'A) Base RI'!A310</f>
        <v>5934</v>
      </c>
      <c r="B310" s="32" t="str">
        <f>'A) Base RI'!B310</f>
        <v>Valeyres-sous-Ursins</v>
      </c>
      <c r="C310" s="10">
        <f>'A) Base RI'!C310+'A) Base RI'!D310</f>
        <v>495592.52</v>
      </c>
      <c r="D310" s="10">
        <f>'A) Base RI'!W310</f>
        <v>-4191.24</v>
      </c>
      <c r="E310" s="384">
        <f>'A) Base RI'!X310</f>
        <v>0</v>
      </c>
      <c r="F310" s="384">
        <f>'A) Base RI'!Y310</f>
        <v>0</v>
      </c>
      <c r="G310" s="387">
        <f t="shared" si="24"/>
        <v>491401.28</v>
      </c>
      <c r="H310" s="10">
        <f>+'A) Base RI'!E310</f>
        <v>0</v>
      </c>
      <c r="I310" s="10">
        <f>+'A) Base RI'!F310</f>
        <v>1490</v>
      </c>
      <c r="J310" s="10">
        <f>+'A) Base RI'!G310+'A) Base RI'!H310+'A) Base RI'!S310</f>
        <v>178.12</v>
      </c>
      <c r="K310" s="10">
        <f>+'A) Base RI'!I310</f>
        <v>0</v>
      </c>
      <c r="L310" s="10">
        <f>+'A) Base RI'!J310</f>
        <v>18715.39</v>
      </c>
      <c r="M310" s="10">
        <f>+'A) Base RI'!K310</f>
        <v>34.700000000000003</v>
      </c>
      <c r="N310" s="10">
        <f>+'A) Base RI'!Q310</f>
        <v>0</v>
      </c>
      <c r="O310" s="10">
        <f t="shared" si="25"/>
        <v>28588.35</v>
      </c>
      <c r="P310" s="10">
        <f>+'A) Base RI'!L310</f>
        <v>28588.35</v>
      </c>
      <c r="Q310" s="395">
        <f>'A) Base RI'!Z310</f>
        <v>1</v>
      </c>
      <c r="R310" s="387">
        <f t="shared" si="26"/>
        <v>540407.84000000008</v>
      </c>
      <c r="S310" s="428">
        <f>+'A) Base RI'!U310</f>
        <v>77</v>
      </c>
      <c r="T310" s="387">
        <f t="shared" si="27"/>
        <v>510294.79000000004</v>
      </c>
      <c r="U310" s="387">
        <f t="shared" si="28"/>
        <v>7018.283636363637</v>
      </c>
      <c r="V310" s="10">
        <f>+'A) Base RI'!O310</f>
        <v>0</v>
      </c>
      <c r="W310" s="10">
        <f>+'A) Base RI'!P310</f>
        <v>622</v>
      </c>
      <c r="X310" s="10">
        <f>+'A) Base RI'!R310</f>
        <v>1589.6</v>
      </c>
      <c r="Y310" s="387">
        <f t="shared" si="29"/>
        <v>2211.6</v>
      </c>
      <c r="Z310" s="10">
        <f>+'A) Base RI'!N310</f>
        <v>16396.150000000001</v>
      </c>
      <c r="AA310" s="10">
        <f>'A) Base RI'!V310</f>
        <v>247</v>
      </c>
    </row>
    <row r="311" spans="1:27" x14ac:dyDescent="0.25">
      <c r="A311" s="8">
        <f>'A) Base RI'!A311</f>
        <v>5935</v>
      </c>
      <c r="B311" s="32" t="str">
        <f>'A) Base RI'!B311</f>
        <v>Villars-Epeney</v>
      </c>
      <c r="C311" s="10">
        <f>'A) Base RI'!C311+'A) Base RI'!D311</f>
        <v>183660.87</v>
      </c>
      <c r="D311" s="10">
        <f>'A) Base RI'!W311</f>
        <v>-24.25</v>
      </c>
      <c r="E311" s="384">
        <f>'A) Base RI'!X311</f>
        <v>0</v>
      </c>
      <c r="F311" s="384">
        <f>'A) Base RI'!Y311</f>
        <v>-255.68</v>
      </c>
      <c r="G311" s="387">
        <f t="shared" si="24"/>
        <v>183380.94</v>
      </c>
      <c r="H311" s="10">
        <f>+'A) Base RI'!E311</f>
        <v>0</v>
      </c>
      <c r="I311" s="10">
        <f>+'A) Base RI'!F311</f>
        <v>0</v>
      </c>
      <c r="J311" s="10">
        <f>+'A) Base RI'!G311+'A) Base RI'!H311+'A) Base RI'!S311</f>
        <v>486.27</v>
      </c>
      <c r="K311" s="10">
        <f>+'A) Base RI'!I311</f>
        <v>0</v>
      </c>
      <c r="L311" s="10">
        <f>+'A) Base RI'!J311</f>
        <v>2477.0700000000002</v>
      </c>
      <c r="M311" s="10">
        <f>+'A) Base RI'!K311</f>
        <v>0</v>
      </c>
      <c r="N311" s="10">
        <f>+'A) Base RI'!Q311</f>
        <v>0</v>
      </c>
      <c r="O311" s="10">
        <f t="shared" si="25"/>
        <v>20549.55</v>
      </c>
      <c r="P311" s="10">
        <f>+'A) Base RI'!L311</f>
        <v>20549.55</v>
      </c>
      <c r="Q311" s="395">
        <f>'A) Base RI'!Z311</f>
        <v>1</v>
      </c>
      <c r="R311" s="387">
        <f t="shared" si="26"/>
        <v>206893.83</v>
      </c>
      <c r="S311" s="428">
        <f>+'A) Base RI'!U311</f>
        <v>60</v>
      </c>
      <c r="T311" s="387">
        <f t="shared" si="27"/>
        <v>186344.28</v>
      </c>
      <c r="U311" s="387">
        <f t="shared" si="28"/>
        <v>3448.2304999999997</v>
      </c>
      <c r="V311" s="10">
        <f>+'A) Base RI'!O311</f>
        <v>0</v>
      </c>
      <c r="W311" s="10">
        <f>+'A) Base RI'!P311</f>
        <v>10120</v>
      </c>
      <c r="X311" s="10">
        <f>+'A) Base RI'!R311</f>
        <v>0</v>
      </c>
      <c r="Y311" s="387">
        <f t="shared" si="29"/>
        <v>10120</v>
      </c>
      <c r="Z311" s="10">
        <f>+'A) Base RI'!N311</f>
        <v>0</v>
      </c>
      <c r="AA311" s="10">
        <f>'A) Base RI'!V311</f>
        <v>95</v>
      </c>
    </row>
    <row r="312" spans="1:27" x14ac:dyDescent="0.25">
      <c r="A312" s="8">
        <f>'A) Base RI'!A312</f>
        <v>5937</v>
      </c>
      <c r="B312" s="32" t="str">
        <f>'A) Base RI'!B312</f>
        <v>Vugelles-La Mothe</v>
      </c>
      <c r="C312" s="10">
        <f>'A) Base RI'!C312+'A) Base RI'!D312</f>
        <v>236342.65000000002</v>
      </c>
      <c r="D312" s="10">
        <f>'A) Base RI'!W312</f>
        <v>-22710.7</v>
      </c>
      <c r="E312" s="384">
        <f>'A) Base RI'!X312</f>
        <v>0</v>
      </c>
      <c r="F312" s="384">
        <f>'A) Base RI'!Y312</f>
        <v>-27.91</v>
      </c>
      <c r="G312" s="387">
        <f t="shared" si="24"/>
        <v>213604.04</v>
      </c>
      <c r="H312" s="10">
        <f>+'A) Base RI'!E312</f>
        <v>0</v>
      </c>
      <c r="I312" s="10">
        <f>+'A) Base RI'!F312</f>
        <v>0</v>
      </c>
      <c r="J312" s="10">
        <f>+'A) Base RI'!G312+'A) Base RI'!H312+'A) Base RI'!S312</f>
        <v>6351.49</v>
      </c>
      <c r="K312" s="10">
        <f>+'A) Base RI'!I312</f>
        <v>0</v>
      </c>
      <c r="L312" s="10">
        <f>+'A) Base RI'!J312</f>
        <v>4311.78</v>
      </c>
      <c r="M312" s="10">
        <f>+'A) Base RI'!K312</f>
        <v>0</v>
      </c>
      <c r="N312" s="10">
        <f>+'A) Base RI'!Q312</f>
        <v>1938.72</v>
      </c>
      <c r="O312" s="10">
        <f t="shared" si="25"/>
        <v>17378.17142857143</v>
      </c>
      <c r="P312" s="10">
        <f>+'A) Base RI'!L312</f>
        <v>12164.72</v>
      </c>
      <c r="Q312" s="395">
        <f>'A) Base RI'!Z312</f>
        <v>0.7</v>
      </c>
      <c r="R312" s="387">
        <f t="shared" si="26"/>
        <v>243584.20142857142</v>
      </c>
      <c r="S312" s="428">
        <f>+'A) Base RI'!U312</f>
        <v>70</v>
      </c>
      <c r="T312" s="387">
        <f t="shared" si="27"/>
        <v>226206.03</v>
      </c>
      <c r="U312" s="387">
        <f t="shared" si="28"/>
        <v>3479.7743061224487</v>
      </c>
      <c r="V312" s="10">
        <f>+'A) Base RI'!O312</f>
        <v>0</v>
      </c>
      <c r="W312" s="10">
        <f>+'A) Base RI'!P312</f>
        <v>10230</v>
      </c>
      <c r="X312" s="10">
        <f>+'A) Base RI'!R312</f>
        <v>0</v>
      </c>
      <c r="Y312" s="387">
        <f t="shared" si="29"/>
        <v>10230</v>
      </c>
      <c r="Z312" s="10">
        <f>+'A) Base RI'!N312</f>
        <v>0</v>
      </c>
      <c r="AA312" s="10">
        <f>'A) Base RI'!V312</f>
        <v>140</v>
      </c>
    </row>
    <row r="313" spans="1:27" x14ac:dyDescent="0.25">
      <c r="A313" s="8">
        <f>'A) Base RI'!A313</f>
        <v>5938</v>
      </c>
      <c r="B313" s="32" t="str">
        <f>'A) Base RI'!B313</f>
        <v>Yverdon-les-Bains</v>
      </c>
      <c r="C313" s="10">
        <f>'A) Base RI'!C313+'A) Base RI'!D313</f>
        <v>47405843.18</v>
      </c>
      <c r="D313" s="10">
        <f>'A) Base RI'!W313</f>
        <v>-1612544.18</v>
      </c>
      <c r="E313" s="384">
        <f>'A) Base RI'!X313</f>
        <v>0</v>
      </c>
      <c r="F313" s="384">
        <f>'A) Base RI'!Y313</f>
        <v>-21296.37</v>
      </c>
      <c r="G313" s="387">
        <f t="shared" si="24"/>
        <v>45772002.630000003</v>
      </c>
      <c r="H313" s="10">
        <f>+'A) Base RI'!E313</f>
        <v>0</v>
      </c>
      <c r="I313" s="10">
        <f>+'A) Base RI'!F313</f>
        <v>0</v>
      </c>
      <c r="J313" s="10">
        <f>+'A) Base RI'!G313+'A) Base RI'!H313+'A) Base RI'!S313</f>
        <v>4288553.78</v>
      </c>
      <c r="K313" s="10">
        <f>+'A) Base RI'!I313</f>
        <v>-73350.05</v>
      </c>
      <c r="L313" s="10">
        <f>+'A) Base RI'!J313</f>
        <v>1527061.42</v>
      </c>
      <c r="M313" s="10">
        <f>+'A) Base RI'!K313</f>
        <v>700264</v>
      </c>
      <c r="N313" s="10">
        <f>+'A) Base RI'!Q313</f>
        <v>592665.73</v>
      </c>
      <c r="O313" s="10">
        <f t="shared" si="25"/>
        <v>4400574.8499999996</v>
      </c>
      <c r="P313" s="10">
        <f>+'A) Base RI'!L313</f>
        <v>4400574.8499999996</v>
      </c>
      <c r="Q313" s="395">
        <f>'A) Base RI'!Z313</f>
        <v>1</v>
      </c>
      <c r="R313" s="387">
        <f t="shared" si="26"/>
        <v>57207772.360000007</v>
      </c>
      <c r="S313" s="428">
        <f>+'A) Base RI'!U313</f>
        <v>75</v>
      </c>
      <c r="T313" s="387">
        <f t="shared" si="27"/>
        <v>52106933.510000005</v>
      </c>
      <c r="U313" s="387">
        <f t="shared" si="28"/>
        <v>762770.29813333345</v>
      </c>
      <c r="V313" s="10">
        <f>+'A) Base RI'!O313</f>
        <v>1382582.8</v>
      </c>
      <c r="W313" s="10">
        <f>+'A) Base RI'!P313</f>
        <v>2434885.0499999998</v>
      </c>
      <c r="X313" s="10">
        <f>+'A) Base RI'!R313</f>
        <v>2456221.9500000002</v>
      </c>
      <c r="Y313" s="387">
        <f t="shared" si="29"/>
        <v>6273689.7999999998</v>
      </c>
      <c r="Z313" s="10">
        <f>+'A) Base RI'!N313</f>
        <v>4824763.5999999996</v>
      </c>
      <c r="AA313" s="10">
        <f>'A) Base RI'!V313</f>
        <v>29710</v>
      </c>
    </row>
    <row r="314" spans="1:27" x14ac:dyDescent="0.25">
      <c r="A314" s="8">
        <f>'A) Base RI'!A314</f>
        <v>5939</v>
      </c>
      <c r="B314" s="32" t="str">
        <f>'A) Base RI'!B314</f>
        <v>Yvonand</v>
      </c>
      <c r="C314" s="10">
        <f>'A) Base RI'!C314+'A) Base RI'!D314</f>
        <v>6672297.5200000005</v>
      </c>
      <c r="D314" s="10">
        <f>'A) Base RI'!W314</f>
        <v>-149908.45000000001</v>
      </c>
      <c r="E314" s="384">
        <f>'A) Base RI'!X314</f>
        <v>0</v>
      </c>
      <c r="F314" s="384">
        <f>'A) Base RI'!Y314</f>
        <v>-499.18</v>
      </c>
      <c r="G314" s="387">
        <f t="shared" si="24"/>
        <v>6521889.8900000006</v>
      </c>
      <c r="H314" s="10">
        <f>+'A) Base RI'!E314</f>
        <v>0</v>
      </c>
      <c r="I314" s="10">
        <f>+'A) Base RI'!F314</f>
        <v>0</v>
      </c>
      <c r="J314" s="10">
        <f>+'A) Base RI'!G314+'A) Base RI'!H314+'A) Base RI'!S314</f>
        <v>271576.33999999997</v>
      </c>
      <c r="K314" s="10">
        <f>+'A) Base RI'!I314</f>
        <v>0</v>
      </c>
      <c r="L314" s="10">
        <f>+'A) Base RI'!J314</f>
        <v>73635.88</v>
      </c>
      <c r="M314" s="10">
        <f>+'A) Base RI'!K314</f>
        <v>53811.65</v>
      </c>
      <c r="N314" s="10">
        <f>+'A) Base RI'!Q314</f>
        <v>21836.2</v>
      </c>
      <c r="O314" s="10">
        <f t="shared" si="25"/>
        <v>588836.15</v>
      </c>
      <c r="P314" s="10">
        <f>+'A) Base RI'!L314</f>
        <v>588836.15</v>
      </c>
      <c r="Q314" s="395">
        <f>'A) Base RI'!Z314</f>
        <v>1</v>
      </c>
      <c r="R314" s="387">
        <f t="shared" si="26"/>
        <v>7531586.1100000013</v>
      </c>
      <c r="S314" s="428">
        <f>+'A) Base RI'!U314</f>
        <v>71.5</v>
      </c>
      <c r="T314" s="387">
        <f t="shared" si="27"/>
        <v>6888938.3100000005</v>
      </c>
      <c r="U314" s="387">
        <f t="shared" si="28"/>
        <v>105336.86867132869</v>
      </c>
      <c r="V314" s="10">
        <f>+'A) Base RI'!O314</f>
        <v>282357.2</v>
      </c>
      <c r="W314" s="10">
        <f>+'A) Base RI'!P314</f>
        <v>177512.65</v>
      </c>
      <c r="X314" s="10">
        <f>+'A) Base RI'!R314</f>
        <v>146553.65</v>
      </c>
      <c r="Y314" s="387">
        <f t="shared" si="29"/>
        <v>606423.5</v>
      </c>
      <c r="Z314" s="10">
        <f>+'A) Base RI'!N314</f>
        <v>167773.55</v>
      </c>
      <c r="AA314" s="10">
        <f>'A) Base RI'!V314</f>
        <v>3512</v>
      </c>
    </row>
    <row r="315" spans="1:27" x14ac:dyDescent="0.25">
      <c r="A315" s="7"/>
      <c r="B315" s="24">
        <f>COUNTA(B7:B314)</f>
        <v>308</v>
      </c>
      <c r="C315" s="11">
        <f t="shared" ref="C315:P315" si="30">SUM(C7:C314)</f>
        <v>2060418118.160001</v>
      </c>
      <c r="D315" s="11">
        <f t="shared" si="30"/>
        <v>-33089303.57999998</v>
      </c>
      <c r="E315" s="11">
        <f t="shared" si="30"/>
        <v>-22747.050000000003</v>
      </c>
      <c r="F315" s="11">
        <f t="shared" si="30"/>
        <v>-5414014.9799999995</v>
      </c>
      <c r="G315" s="38">
        <f t="shared" si="30"/>
        <v>2021892052.5500002</v>
      </c>
      <c r="H315" s="11">
        <f t="shared" si="30"/>
        <v>0</v>
      </c>
      <c r="I315" s="98">
        <f t="shared" si="30"/>
        <v>120769.35</v>
      </c>
      <c r="J315" s="11">
        <f t="shared" si="30"/>
        <v>351560159.82000011</v>
      </c>
      <c r="K315" s="11">
        <f t="shared" si="30"/>
        <v>40618993.310000017</v>
      </c>
      <c r="L315" s="11">
        <f t="shared" si="30"/>
        <v>64886069.479999989</v>
      </c>
      <c r="M315" s="11">
        <f t="shared" si="30"/>
        <v>20497665.900000002</v>
      </c>
      <c r="N315" s="11">
        <f t="shared" si="30"/>
        <v>8990129.9899999984</v>
      </c>
      <c r="O315" s="11">
        <f t="shared" si="30"/>
        <v>186417028.67343757</v>
      </c>
      <c r="P315" s="11">
        <f t="shared" si="30"/>
        <v>223481668.66000006</v>
      </c>
      <c r="Q315" s="35"/>
      <c r="R315" s="38">
        <f>SUM(R7:R314)</f>
        <v>2694982869.0734377</v>
      </c>
      <c r="S315" s="19">
        <f>R315/U315</f>
        <v>67.601348705527727</v>
      </c>
      <c r="T315" s="38">
        <f t="shared" ref="T315:Z315" si="31">SUM(T7:T314)</f>
        <v>2487947405.1500006</v>
      </c>
      <c r="U315" s="38">
        <f t="shared" si="31"/>
        <v>39865815.115802124</v>
      </c>
      <c r="V315" s="11">
        <f t="shared" si="31"/>
        <v>105599505.13000003</v>
      </c>
      <c r="W315" s="11">
        <f t="shared" si="31"/>
        <v>122904238.90000004</v>
      </c>
      <c r="X315" s="11">
        <f t="shared" si="31"/>
        <v>94654101.150000006</v>
      </c>
      <c r="Y315" s="38">
        <f t="shared" si="31"/>
        <v>323157845.18000007</v>
      </c>
      <c r="Z315" s="11">
        <f t="shared" si="31"/>
        <v>82182598.849999994</v>
      </c>
      <c r="AA315" s="11">
        <f>SUM(AA7:AA314)</f>
        <v>823879</v>
      </c>
    </row>
    <row r="316" spans="1:27" x14ac:dyDescent="0.25">
      <c r="C316" s="6"/>
      <c r="E316" s="6"/>
      <c r="G316" s="6"/>
      <c r="I316" s="6"/>
      <c r="J316" s="6"/>
      <c r="K316" s="6"/>
      <c r="L316" s="6"/>
      <c r="M316" s="6"/>
      <c r="N316" s="6"/>
      <c r="O316" s="6"/>
      <c r="P316" s="6"/>
      <c r="Q316" s="6"/>
      <c r="R316" s="6"/>
      <c r="S316" s="359"/>
      <c r="T316" s="6"/>
      <c r="U316" s="6"/>
      <c r="V316" s="6"/>
      <c r="W316" s="6"/>
      <c r="X316" s="6"/>
      <c r="Y316" s="6"/>
      <c r="Z316" s="6"/>
    </row>
    <row r="317" spans="1:27" x14ac:dyDescent="0.25">
      <c r="C317" s="6"/>
      <c r="I317" s="6"/>
      <c r="J317" s="6"/>
      <c r="K317" s="6"/>
      <c r="L317" s="6"/>
      <c r="M317" s="6"/>
      <c r="N317" s="6"/>
      <c r="R317" s="6"/>
      <c r="T317" s="6"/>
      <c r="U317" s="6"/>
      <c r="V317" s="6"/>
      <c r="W317" s="6"/>
      <c r="X317" s="6"/>
      <c r="Y317" s="6"/>
      <c r="Z317" s="351"/>
    </row>
    <row r="318" spans="1:27" x14ac:dyDescent="0.25">
      <c r="C318" s="6"/>
      <c r="J318" s="6"/>
      <c r="R318" s="6"/>
      <c r="T318" s="6"/>
    </row>
    <row r="319" spans="1:27" x14ac:dyDescent="0.25">
      <c r="C319" s="6"/>
      <c r="G319" s="6"/>
      <c r="J319" s="36"/>
      <c r="R319" s="6"/>
      <c r="T319" s="6"/>
    </row>
    <row r="320" spans="1:27" x14ac:dyDescent="0.25">
      <c r="G320" s="6"/>
      <c r="R320" s="6"/>
    </row>
    <row r="321" spans="1:18" x14ac:dyDescent="0.25">
      <c r="G321" s="6"/>
      <c r="R321" s="36"/>
    </row>
    <row r="322" spans="1:18" x14ac:dyDescent="0.25">
      <c r="G322" s="36"/>
      <c r="R322" s="404"/>
    </row>
    <row r="323" spans="1:18" s="6" customFormat="1" x14ac:dyDescent="0.25">
      <c r="A323" s="5"/>
      <c r="R323" s="406"/>
    </row>
    <row r="324" spans="1:18" x14ac:dyDescent="0.25">
      <c r="R324" s="6"/>
    </row>
  </sheetData>
  <mergeCells count="27">
    <mergeCell ref="Q4:Q6"/>
    <mergeCell ref="O4:O6"/>
    <mergeCell ref="V4:V5"/>
    <mergeCell ref="U4:U5"/>
    <mergeCell ref="Z4:Z5"/>
    <mergeCell ref="X4:X5"/>
    <mergeCell ref="P4:P5"/>
    <mergeCell ref="R4:R6"/>
    <mergeCell ref="AA4:AA5"/>
    <mergeCell ref="S4:S5"/>
    <mergeCell ref="W4:W5"/>
    <mergeCell ref="Y4:Y6"/>
    <mergeCell ref="T4:T6"/>
    <mergeCell ref="A4:A6"/>
    <mergeCell ref="B4:B6"/>
    <mergeCell ref="N4:N6"/>
    <mergeCell ref="C4:C5"/>
    <mergeCell ref="H4:H5"/>
    <mergeCell ref="I4:I5"/>
    <mergeCell ref="J4:J5"/>
    <mergeCell ref="G4:G5"/>
    <mergeCell ref="K4:K5"/>
    <mergeCell ref="L4:L5"/>
    <mergeCell ref="M4:M5"/>
    <mergeCell ref="D4:D6"/>
    <mergeCell ref="E4:E6"/>
    <mergeCell ref="F4:F6"/>
  </mergeCells>
  <phoneticPr fontId="0" type="noConversion"/>
  <pageMargins left="0" right="0" top="0" bottom="0" header="0.51181102362204722" footer="0.51181102362204722"/>
  <pageSetup paperSize="8" scale="70" orientation="landscape"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rgb="FF00B050"/>
  </sheetPr>
  <dimension ref="A1:J332"/>
  <sheetViews>
    <sheetView workbookViewId="0"/>
  </sheetViews>
  <sheetFormatPr baseColWidth="10" defaultColWidth="11" defaultRowHeight="15" x14ac:dyDescent="0.25"/>
  <cols>
    <col min="1" max="1" width="7.25" style="13" customWidth="1"/>
    <col min="2" max="2" width="17.375" style="13" bestFit="1" customWidth="1"/>
    <col min="3" max="3" width="18" style="6" customWidth="1"/>
    <col min="4" max="4" width="9.875" style="6" bestFit="1" customWidth="1"/>
    <col min="5" max="5" width="10.75" style="6" bestFit="1" customWidth="1"/>
    <col min="6" max="6" width="11.25" style="6" bestFit="1" customWidth="1"/>
    <col min="7" max="7" width="13" style="28" bestFit="1" customWidth="1"/>
    <col min="8" max="8" width="12.25" style="6" bestFit="1" customWidth="1"/>
    <col min="9" max="9" width="11" style="13"/>
    <col min="10" max="10" width="14.625" style="13" bestFit="1" customWidth="1"/>
    <col min="11" max="16384" width="11" style="13"/>
  </cols>
  <sheetData>
    <row r="1" spans="1:10" ht="21" x14ac:dyDescent="0.25">
      <c r="A1" s="51" t="s">
        <v>419</v>
      </c>
      <c r="B1" s="42"/>
      <c r="C1" s="44"/>
      <c r="D1" s="44"/>
      <c r="E1" s="44"/>
      <c r="F1" s="44"/>
      <c r="G1" s="52"/>
      <c r="H1" s="44"/>
    </row>
    <row r="2" spans="1:10" s="393" customFormat="1" ht="21" x14ac:dyDescent="0.25">
      <c r="A2" s="199">
        <f>Paramètres!B5</f>
        <v>2021</v>
      </c>
      <c r="B2" s="42"/>
      <c r="C2" s="44"/>
      <c r="D2" s="44"/>
      <c r="E2" s="44"/>
      <c r="F2" s="44"/>
      <c r="G2" s="52"/>
      <c r="H2" s="44"/>
    </row>
    <row r="4" spans="1:10" ht="60" x14ac:dyDescent="0.25">
      <c r="A4" s="592" t="s">
        <v>46</v>
      </c>
      <c r="B4" s="592" t="s">
        <v>94</v>
      </c>
      <c r="C4" s="285" t="s">
        <v>408</v>
      </c>
      <c r="D4" s="285" t="s">
        <v>190</v>
      </c>
      <c r="E4" s="589" t="s">
        <v>136</v>
      </c>
      <c r="F4" s="589" t="s">
        <v>357</v>
      </c>
      <c r="G4" s="596" t="s">
        <v>281</v>
      </c>
      <c r="H4" s="589" t="s">
        <v>405</v>
      </c>
      <c r="I4" s="589" t="s">
        <v>515</v>
      </c>
    </row>
    <row r="5" spans="1:10" x14ac:dyDescent="0.25">
      <c r="A5" s="594"/>
      <c r="B5" s="594"/>
      <c r="C5" s="413">
        <f>Paramètres!B11</f>
        <v>0.5</v>
      </c>
      <c r="D5" s="392">
        <f>Paramètres!B12</f>
        <v>0.3</v>
      </c>
      <c r="E5" s="591"/>
      <c r="F5" s="591"/>
      <c r="G5" s="597"/>
      <c r="H5" s="590"/>
      <c r="I5" s="590"/>
    </row>
    <row r="6" spans="1:10" x14ac:dyDescent="0.25">
      <c r="A6" s="49">
        <f>'A) Base RI'!A7</f>
        <v>5401</v>
      </c>
      <c r="B6" s="478" t="str">
        <f>'A) Base RI'!B7</f>
        <v>Aigle</v>
      </c>
      <c r="C6" s="54">
        <f>'B) D RI'!Y7</f>
        <v>2198110.25</v>
      </c>
      <c r="D6" s="14">
        <f>'B) D RI'!Z7</f>
        <v>1208164.8999999999</v>
      </c>
      <c r="E6" s="10">
        <f>C6+D6</f>
        <v>3406275.15</v>
      </c>
      <c r="F6" s="14">
        <f>'B) D RI'!U7</f>
        <v>280991.46517676767</v>
      </c>
      <c r="G6" s="261">
        <f>E6/F6</f>
        <v>12.122343815165921</v>
      </c>
      <c r="H6" s="55">
        <f>(C6*$C$5)+(D6*$D$5)</f>
        <v>1461504.595</v>
      </c>
      <c r="I6" s="395">
        <f>H6/F6</f>
        <v>5.201241945482538</v>
      </c>
      <c r="J6" s="390"/>
    </row>
    <row r="7" spans="1:10" x14ac:dyDescent="0.25">
      <c r="A7" s="49">
        <f>'A) Base RI'!A8</f>
        <v>5402</v>
      </c>
      <c r="B7" s="479" t="str">
        <f>'A) Base RI'!B8</f>
        <v>Bex</v>
      </c>
      <c r="C7" s="10">
        <f>'B) D RI'!Y8</f>
        <v>1585982.05</v>
      </c>
      <c r="D7" s="423">
        <f>'B) D RI'!Z8</f>
        <v>360746.15</v>
      </c>
      <c r="E7" s="10">
        <f t="shared" ref="E7:E70" si="0">C7+D7</f>
        <v>1946728.2000000002</v>
      </c>
      <c r="F7" s="423">
        <f>'B) D RI'!U8</f>
        <v>192706.98084507044</v>
      </c>
      <c r="G7" s="261">
        <f t="shared" ref="G7:G70" si="1">E7/F7</f>
        <v>10.102011828855854</v>
      </c>
      <c r="H7" s="55">
        <f t="shared" ref="H7:H70" si="2">(C7*$C$5)+(D7*$D$5)</f>
        <v>901214.87</v>
      </c>
      <c r="I7" s="395">
        <f t="shared" ref="I7:I70" si="3">H7/F7</f>
        <v>4.6766072824551417</v>
      </c>
    </row>
    <row r="8" spans="1:10" x14ac:dyDescent="0.25">
      <c r="A8" s="49">
        <f>'A) Base RI'!A9</f>
        <v>5403</v>
      </c>
      <c r="B8" s="479" t="str">
        <f>'A) Base RI'!B9</f>
        <v>Chessel</v>
      </c>
      <c r="C8" s="10">
        <f>'B) D RI'!Y9</f>
        <v>77839.199999999997</v>
      </c>
      <c r="D8" s="423">
        <f>'B) D RI'!Z9</f>
        <v>5448.25</v>
      </c>
      <c r="E8" s="10">
        <f t="shared" si="0"/>
        <v>83287.45</v>
      </c>
      <c r="F8" s="423">
        <f>'B) D RI'!U9</f>
        <v>12090.332702702703</v>
      </c>
      <c r="G8" s="261">
        <f t="shared" si="1"/>
        <v>6.8887641099720698</v>
      </c>
      <c r="H8" s="55">
        <f t="shared" si="2"/>
        <v>40554.074999999997</v>
      </c>
      <c r="I8" s="395">
        <f t="shared" si="3"/>
        <v>3.3542563300126917</v>
      </c>
    </row>
    <row r="9" spans="1:10" x14ac:dyDescent="0.25">
      <c r="A9" s="49">
        <f>'A) Base RI'!A10</f>
        <v>5404</v>
      </c>
      <c r="B9" s="479" t="str">
        <f>'A) Base RI'!B10</f>
        <v>Corbeyrier</v>
      </c>
      <c r="C9" s="10">
        <f>'B) D RI'!Y10</f>
        <v>97072.25</v>
      </c>
      <c r="D9" s="423">
        <f>'B) D RI'!Z10</f>
        <v>20708.849999999999</v>
      </c>
      <c r="E9" s="10">
        <f t="shared" si="0"/>
        <v>117781.1</v>
      </c>
      <c r="F9" s="423">
        <f>'B) D RI'!U10</f>
        <v>11581.118783783784</v>
      </c>
      <c r="G9" s="261">
        <f t="shared" si="1"/>
        <v>10.170096879147851</v>
      </c>
      <c r="H9" s="55">
        <f t="shared" si="2"/>
        <v>54748.78</v>
      </c>
      <c r="I9" s="395">
        <f t="shared" si="3"/>
        <v>4.727417188455127</v>
      </c>
    </row>
    <row r="10" spans="1:10" x14ac:dyDescent="0.25">
      <c r="A10" s="49">
        <f>'A) Base RI'!A11</f>
        <v>5405</v>
      </c>
      <c r="B10" s="479" t="str">
        <f>'A) Base RI'!B11</f>
        <v>Gryon</v>
      </c>
      <c r="C10" s="10">
        <f>'B) D RI'!Y11</f>
        <v>1453263.7</v>
      </c>
      <c r="D10" s="423">
        <f>'B) D RI'!Z11</f>
        <v>4448.5</v>
      </c>
      <c r="E10" s="10">
        <f t="shared" si="0"/>
        <v>1457712.2</v>
      </c>
      <c r="F10" s="423">
        <f>'B) D RI'!U11</f>
        <v>78111.135102040818</v>
      </c>
      <c r="G10" s="261">
        <f t="shared" si="1"/>
        <v>18.662028123080166</v>
      </c>
      <c r="H10" s="55">
        <f t="shared" si="2"/>
        <v>727966.4</v>
      </c>
      <c r="I10" s="395">
        <f t="shared" si="3"/>
        <v>9.3196238801166817</v>
      </c>
    </row>
    <row r="11" spans="1:10" x14ac:dyDescent="0.25">
      <c r="A11" s="49">
        <f>'A) Base RI'!A12</f>
        <v>5406</v>
      </c>
      <c r="B11" s="479" t="str">
        <f>'A) Base RI'!B12</f>
        <v>Lavey-Morcles</v>
      </c>
      <c r="C11" s="10">
        <f>'B) D RI'!Y12</f>
        <v>99996.05</v>
      </c>
      <c r="D11" s="423">
        <f>'B) D RI'!Z12</f>
        <v>1948.95</v>
      </c>
      <c r="E11" s="10">
        <f t="shared" si="0"/>
        <v>101945</v>
      </c>
      <c r="F11" s="423">
        <f>'B) D RI'!U12</f>
        <v>21513.822183969878</v>
      </c>
      <c r="G11" s="261">
        <f t="shared" si="1"/>
        <v>4.7385815095171715</v>
      </c>
      <c r="H11" s="55">
        <f t="shared" si="2"/>
        <v>50582.71</v>
      </c>
      <c r="I11" s="395">
        <f t="shared" si="3"/>
        <v>2.3511726353158009</v>
      </c>
    </row>
    <row r="12" spans="1:10" x14ac:dyDescent="0.25">
      <c r="A12" s="49">
        <f>'A) Base RI'!A13</f>
        <v>5407</v>
      </c>
      <c r="B12" s="479" t="str">
        <f>'A) Base RI'!B13</f>
        <v>Leysin</v>
      </c>
      <c r="C12" s="10">
        <f>'B) D RI'!Y13</f>
        <v>1102503.3999999999</v>
      </c>
      <c r="D12" s="423">
        <f>'B) D RI'!Z13</f>
        <v>85323.25</v>
      </c>
      <c r="E12" s="10">
        <f t="shared" si="0"/>
        <v>1187826.6499999999</v>
      </c>
      <c r="F12" s="423">
        <f>'B) D RI'!U13</f>
        <v>90687.443803418792</v>
      </c>
      <c r="G12" s="261">
        <f t="shared" si="1"/>
        <v>13.098027689200569</v>
      </c>
      <c r="H12" s="55">
        <f t="shared" si="2"/>
        <v>576848.67499999993</v>
      </c>
      <c r="I12" s="395">
        <f t="shared" si="3"/>
        <v>6.3608439140750548</v>
      </c>
    </row>
    <row r="13" spans="1:10" x14ac:dyDescent="0.25">
      <c r="A13" s="49">
        <f>'A) Base RI'!A14</f>
        <v>5408</v>
      </c>
      <c r="B13" s="479" t="str">
        <f>'A) Base RI'!B14</f>
        <v>Noville</v>
      </c>
      <c r="C13" s="10">
        <f>'B) D RI'!Y14</f>
        <v>444682.05</v>
      </c>
      <c r="D13" s="423">
        <f>'B) D RI'!Z14</f>
        <v>139810.25</v>
      </c>
      <c r="E13" s="10">
        <f t="shared" si="0"/>
        <v>584492.30000000005</v>
      </c>
      <c r="F13" s="423">
        <f>'B) D RI'!U14</f>
        <v>41389.442632696395</v>
      </c>
      <c r="G13" s="261">
        <f t="shared" si="1"/>
        <v>14.121772674905968</v>
      </c>
      <c r="H13" s="55">
        <f t="shared" si="2"/>
        <v>264284.09999999998</v>
      </c>
      <c r="I13" s="395">
        <f t="shared" si="3"/>
        <v>6.3853022217608606</v>
      </c>
    </row>
    <row r="14" spans="1:10" x14ac:dyDescent="0.25">
      <c r="A14" s="49">
        <f>'A) Base RI'!A15</f>
        <v>5409</v>
      </c>
      <c r="B14" s="479" t="str">
        <f>'A) Base RI'!B15</f>
        <v>Ollon</v>
      </c>
      <c r="C14" s="10">
        <f>'B) D RI'!Y15</f>
        <v>7815865.5</v>
      </c>
      <c r="D14" s="423">
        <f>'B) D RI'!Z15</f>
        <v>83657.55</v>
      </c>
      <c r="E14" s="10">
        <f t="shared" si="0"/>
        <v>7899523.0499999998</v>
      </c>
      <c r="F14" s="423">
        <f>'B) D RI'!U15</f>
        <v>428262.96074660635</v>
      </c>
      <c r="G14" s="261">
        <f t="shared" si="1"/>
        <v>18.445496748606217</v>
      </c>
      <c r="H14" s="55">
        <f t="shared" si="2"/>
        <v>3933030.0150000001</v>
      </c>
      <c r="I14" s="395">
        <f t="shared" si="3"/>
        <v>9.1836800645645518</v>
      </c>
    </row>
    <row r="15" spans="1:10" x14ac:dyDescent="0.25">
      <c r="A15" s="49">
        <f>'A) Base RI'!A16</f>
        <v>5410</v>
      </c>
      <c r="B15" s="479" t="str">
        <f>'A) Base RI'!B16</f>
        <v>Ormont-Dessous</v>
      </c>
      <c r="C15" s="10">
        <f>'B) D RI'!Y16</f>
        <v>650302.15</v>
      </c>
      <c r="D15" s="423">
        <f>'B) D RI'!Z16</f>
        <v>13127.75</v>
      </c>
      <c r="E15" s="10">
        <f t="shared" si="0"/>
        <v>663429.9</v>
      </c>
      <c r="F15" s="423">
        <f>'B) D RI'!U16</f>
        <v>38614.348051948051</v>
      </c>
      <c r="G15" s="261">
        <f t="shared" si="1"/>
        <v>17.18091676978425</v>
      </c>
      <c r="H15" s="55">
        <f t="shared" si="2"/>
        <v>329089.40000000002</v>
      </c>
      <c r="I15" s="395">
        <f t="shared" si="3"/>
        <v>8.522464229028925</v>
      </c>
    </row>
    <row r="16" spans="1:10" x14ac:dyDescent="0.25">
      <c r="A16" s="49">
        <f>'A) Base RI'!A17</f>
        <v>5411</v>
      </c>
      <c r="B16" s="479" t="str">
        <f>'A) Base RI'!B17</f>
        <v>Ormont-Dessus</v>
      </c>
      <c r="C16" s="10">
        <f>'B) D RI'!Y17</f>
        <v>1025669.85</v>
      </c>
      <c r="D16" s="423">
        <f>'B) D RI'!Z17</f>
        <v>8538.2000000000007</v>
      </c>
      <c r="E16" s="10">
        <f t="shared" si="0"/>
        <v>1034208.0499999999</v>
      </c>
      <c r="F16" s="423">
        <f>'B) D RI'!U17</f>
        <v>77411.411228070181</v>
      </c>
      <c r="G16" s="261">
        <f t="shared" si="1"/>
        <v>13.359891437103595</v>
      </c>
      <c r="H16" s="55">
        <f t="shared" si="2"/>
        <v>515396.38500000001</v>
      </c>
      <c r="I16" s="395">
        <f t="shared" si="3"/>
        <v>6.657886438493346</v>
      </c>
    </row>
    <row r="17" spans="1:9" x14ac:dyDescent="0.25">
      <c r="A17" s="49">
        <f>'A) Base RI'!A18</f>
        <v>5412</v>
      </c>
      <c r="B17" s="479" t="str">
        <f>'A) Base RI'!B18</f>
        <v>Rennaz</v>
      </c>
      <c r="C17" s="10">
        <f>'B) D RI'!Y18</f>
        <v>122614.25</v>
      </c>
      <c r="D17" s="423">
        <f>'B) D RI'!Z18</f>
        <v>939726.85</v>
      </c>
      <c r="E17" s="10">
        <f t="shared" si="0"/>
        <v>1062341.1000000001</v>
      </c>
      <c r="F17" s="423">
        <f>'B) D RI'!U18</f>
        <v>28875.999420289856</v>
      </c>
      <c r="G17" s="261">
        <f t="shared" si="1"/>
        <v>36.789760400588634</v>
      </c>
      <c r="H17" s="55">
        <f t="shared" si="2"/>
        <v>343225.18</v>
      </c>
      <c r="I17" s="395">
        <f t="shared" si="3"/>
        <v>11.886174916558256</v>
      </c>
    </row>
    <row r="18" spans="1:9" x14ac:dyDescent="0.25">
      <c r="A18" s="49">
        <f>'A) Base RI'!A19</f>
        <v>5413</v>
      </c>
      <c r="B18" s="479" t="str">
        <f>'A) Base RI'!B19</f>
        <v>Roche</v>
      </c>
      <c r="C18" s="10">
        <f>'B) D RI'!Y19</f>
        <v>865195.1</v>
      </c>
      <c r="D18" s="423">
        <f>'B) D RI'!Z19</f>
        <v>228687.95</v>
      </c>
      <c r="E18" s="10">
        <f t="shared" si="0"/>
        <v>1093883.05</v>
      </c>
      <c r="F18" s="423">
        <f>'B) D RI'!U19</f>
        <v>43148.541249999987</v>
      </c>
      <c r="G18" s="261">
        <f t="shared" si="1"/>
        <v>25.351565042769561</v>
      </c>
      <c r="H18" s="55">
        <f t="shared" si="2"/>
        <v>501203.935</v>
      </c>
      <c r="I18" s="395">
        <f t="shared" si="3"/>
        <v>11.615779363108832</v>
      </c>
    </row>
    <row r="19" spans="1:9" x14ac:dyDescent="0.25">
      <c r="A19" s="49">
        <f>'A) Base RI'!A20</f>
        <v>5414</v>
      </c>
      <c r="B19" s="479" t="str">
        <f>'A) Base RI'!B20</f>
        <v>Villeneuve</v>
      </c>
      <c r="C19" s="10">
        <f>'B) D RI'!Y20</f>
        <v>1687343.9</v>
      </c>
      <c r="D19" s="423">
        <f>'B) D RI'!Z20</f>
        <v>1493353.75</v>
      </c>
      <c r="E19" s="10">
        <f t="shared" si="0"/>
        <v>3180697.65</v>
      </c>
      <c r="F19" s="423">
        <f>'B) D RI'!U20</f>
        <v>185712.20711111111</v>
      </c>
      <c r="G19" s="261">
        <f t="shared" si="1"/>
        <v>17.127025193863521</v>
      </c>
      <c r="H19" s="55">
        <f t="shared" si="2"/>
        <v>1291678.075</v>
      </c>
      <c r="I19" s="395">
        <f t="shared" si="3"/>
        <v>6.9552674812980522</v>
      </c>
    </row>
    <row r="20" spans="1:9" x14ac:dyDescent="0.25">
      <c r="A20" s="49">
        <f>'A) Base RI'!A21</f>
        <v>5415</v>
      </c>
      <c r="B20" s="479" t="str">
        <f>'A) Base RI'!B21</f>
        <v>Yvorne</v>
      </c>
      <c r="C20" s="10">
        <f>'B) D RI'!Y21</f>
        <v>546878.9</v>
      </c>
      <c r="D20" s="423">
        <f>'B) D RI'!Z21</f>
        <v>34692.85</v>
      </c>
      <c r="E20" s="10">
        <f t="shared" si="0"/>
        <v>581571.75</v>
      </c>
      <c r="F20" s="423">
        <f>'B) D RI'!U21</f>
        <v>35910.274638694631</v>
      </c>
      <c r="G20" s="261">
        <f t="shared" si="1"/>
        <v>16.195135120836287</v>
      </c>
      <c r="H20" s="55">
        <f t="shared" si="2"/>
        <v>283847.30499999999</v>
      </c>
      <c r="I20" s="395">
        <f t="shared" si="3"/>
        <v>7.9043479298302044</v>
      </c>
    </row>
    <row r="21" spans="1:9" x14ac:dyDescent="0.25">
      <c r="A21" s="49">
        <f>'A) Base RI'!A22</f>
        <v>5421</v>
      </c>
      <c r="B21" s="479" t="str">
        <f>'A) Base RI'!B22</f>
        <v>Apples</v>
      </c>
      <c r="C21" s="10">
        <f>'B) D RI'!Y22</f>
        <v>825572.55</v>
      </c>
      <c r="D21" s="423">
        <f>'B) D RI'!Z22</f>
        <v>45116.9</v>
      </c>
      <c r="E21" s="10">
        <f t="shared" si="0"/>
        <v>870689.45000000007</v>
      </c>
      <c r="F21" s="423">
        <f>'B) D RI'!U22</f>
        <v>68531.648243243253</v>
      </c>
      <c r="G21" s="261">
        <f t="shared" si="1"/>
        <v>12.704924984579574</v>
      </c>
      <c r="H21" s="55">
        <f t="shared" si="2"/>
        <v>426321.34500000003</v>
      </c>
      <c r="I21" s="395">
        <f t="shared" si="3"/>
        <v>6.2207951498092324</v>
      </c>
    </row>
    <row r="22" spans="1:9" x14ac:dyDescent="0.25">
      <c r="A22" s="49">
        <f>'A) Base RI'!A23</f>
        <v>5422</v>
      </c>
      <c r="B22" s="479" t="str">
        <f>'A) Base RI'!B23</f>
        <v>Aubonne</v>
      </c>
      <c r="C22" s="10">
        <f>'B) D RI'!Y23</f>
        <v>1463693.5</v>
      </c>
      <c r="D22" s="423">
        <f>'B) D RI'!Z23</f>
        <v>962173.15</v>
      </c>
      <c r="E22" s="10">
        <f t="shared" si="0"/>
        <v>2425866.65</v>
      </c>
      <c r="F22" s="423">
        <f>'B) D RI'!U23</f>
        <v>364706.48499999999</v>
      </c>
      <c r="G22" s="261">
        <f t="shared" si="1"/>
        <v>6.6515588556096006</v>
      </c>
      <c r="H22" s="55">
        <f t="shared" si="2"/>
        <v>1020498.6950000001</v>
      </c>
      <c r="I22" s="395">
        <f t="shared" si="3"/>
        <v>2.7981369593688474</v>
      </c>
    </row>
    <row r="23" spans="1:9" x14ac:dyDescent="0.25">
      <c r="A23" s="49">
        <f>'A) Base RI'!A24</f>
        <v>5423</v>
      </c>
      <c r="B23" s="479" t="str">
        <f>'A) Base RI'!B24</f>
        <v>Ballens</v>
      </c>
      <c r="C23" s="10">
        <f>'B) D RI'!Y24</f>
        <v>145887.70000000001</v>
      </c>
      <c r="D23" s="423">
        <f>'B) D RI'!Z24</f>
        <v>23690.6</v>
      </c>
      <c r="E23" s="10">
        <f t="shared" si="0"/>
        <v>169578.30000000002</v>
      </c>
      <c r="F23" s="423">
        <f>'B) D RI'!U24</f>
        <v>16194.440273972601</v>
      </c>
      <c r="G23" s="261">
        <f t="shared" si="1"/>
        <v>10.47139000367571</v>
      </c>
      <c r="H23" s="55">
        <f t="shared" si="2"/>
        <v>80051.03</v>
      </c>
      <c r="I23" s="395">
        <f t="shared" si="3"/>
        <v>4.9431180482758954</v>
      </c>
    </row>
    <row r="24" spans="1:9" x14ac:dyDescent="0.25">
      <c r="A24" s="49">
        <f>'A) Base RI'!A25</f>
        <v>5424</v>
      </c>
      <c r="B24" s="479" t="str">
        <f>'A) Base RI'!B25</f>
        <v>Berolle</v>
      </c>
      <c r="C24" s="10">
        <f>'B) D RI'!Y25</f>
        <v>31568.95</v>
      </c>
      <c r="D24" s="423">
        <f>'B) D RI'!Z25</f>
        <v>0</v>
      </c>
      <c r="E24" s="10">
        <f t="shared" si="0"/>
        <v>31568.95</v>
      </c>
      <c r="F24" s="423">
        <f>'B) D RI'!U25</f>
        <v>8301.8684768211915</v>
      </c>
      <c r="G24" s="261">
        <f t="shared" si="1"/>
        <v>3.8026319120979184</v>
      </c>
      <c r="H24" s="55">
        <f t="shared" si="2"/>
        <v>15784.475</v>
      </c>
      <c r="I24" s="395">
        <f t="shared" si="3"/>
        <v>1.9013159560489592</v>
      </c>
    </row>
    <row r="25" spans="1:9" x14ac:dyDescent="0.25">
      <c r="A25" s="49">
        <f>'A) Base RI'!A26</f>
        <v>5425</v>
      </c>
      <c r="B25" s="479" t="str">
        <f>'A) Base RI'!B26</f>
        <v>Bière</v>
      </c>
      <c r="C25" s="10">
        <f>'B) D RI'!Y26</f>
        <v>282247.05</v>
      </c>
      <c r="D25" s="423">
        <f>'B) D RI'!Z26</f>
        <v>73221.8</v>
      </c>
      <c r="E25" s="10">
        <f t="shared" si="0"/>
        <v>355468.85</v>
      </c>
      <c r="F25" s="423">
        <f>'B) D RI'!U26</f>
        <v>44230.498130934531</v>
      </c>
      <c r="G25" s="261">
        <f t="shared" si="1"/>
        <v>8.0367363023521392</v>
      </c>
      <c r="H25" s="55">
        <f t="shared" si="2"/>
        <v>163090.065</v>
      </c>
      <c r="I25" s="395">
        <f t="shared" si="3"/>
        <v>3.6872762435821596</v>
      </c>
    </row>
    <row r="26" spans="1:9" x14ac:dyDescent="0.25">
      <c r="A26" s="49">
        <f>'A) Base RI'!A27</f>
        <v>5426</v>
      </c>
      <c r="B26" s="479" t="str">
        <f>'A) Base RI'!B27</f>
        <v>Bougy-Villars</v>
      </c>
      <c r="C26" s="10">
        <f>'B) D RI'!Y27</f>
        <v>2208270.25</v>
      </c>
      <c r="D26" s="423">
        <f>'B) D RI'!Z27</f>
        <v>12144.3</v>
      </c>
      <c r="E26" s="10">
        <f t="shared" si="0"/>
        <v>2220414.5499999998</v>
      </c>
      <c r="F26" s="423">
        <f>'B) D RI'!U27</f>
        <v>53043.718423772611</v>
      </c>
      <c r="G26" s="261">
        <f t="shared" si="1"/>
        <v>41.860084774993382</v>
      </c>
      <c r="H26" s="55">
        <f t="shared" si="2"/>
        <v>1107778.415</v>
      </c>
      <c r="I26" s="395">
        <f t="shared" si="3"/>
        <v>20.884252611210734</v>
      </c>
    </row>
    <row r="27" spans="1:9" x14ac:dyDescent="0.25">
      <c r="A27" s="49">
        <f>'A) Base RI'!A28</f>
        <v>5427</v>
      </c>
      <c r="B27" s="479" t="str">
        <f>'A) Base RI'!B28</f>
        <v>Féchy</v>
      </c>
      <c r="C27" s="10">
        <f>'B) D RI'!Y28</f>
        <v>425690.30000000005</v>
      </c>
      <c r="D27" s="423">
        <f>'B) D RI'!Z28</f>
        <v>12746.65</v>
      </c>
      <c r="E27" s="10">
        <f t="shared" si="0"/>
        <v>438436.95000000007</v>
      </c>
      <c r="F27" s="423">
        <f>'B) D RI'!U28</f>
        <v>88215.323569711545</v>
      </c>
      <c r="G27" s="261">
        <f t="shared" si="1"/>
        <v>4.9700769918224958</v>
      </c>
      <c r="H27" s="55">
        <f t="shared" si="2"/>
        <v>216669.14500000002</v>
      </c>
      <c r="I27" s="395">
        <f t="shared" si="3"/>
        <v>2.4561395484626742</v>
      </c>
    </row>
    <row r="28" spans="1:9" x14ac:dyDescent="0.25">
      <c r="A28" s="49">
        <f>'A) Base RI'!A29</f>
        <v>5428</v>
      </c>
      <c r="B28" s="479" t="str">
        <f>'A) Base RI'!B29</f>
        <v>Gimel</v>
      </c>
      <c r="C28" s="10">
        <f>'B) D RI'!Y29</f>
        <v>688447.54999999993</v>
      </c>
      <c r="D28" s="423">
        <f>'B) D RI'!Z29</f>
        <v>253111.45</v>
      </c>
      <c r="E28" s="10">
        <f t="shared" si="0"/>
        <v>941559</v>
      </c>
      <c r="F28" s="423">
        <f>'B) D RI'!U29</f>
        <v>70558.698881431759</v>
      </c>
      <c r="G28" s="261">
        <f t="shared" si="1"/>
        <v>13.34433620413288</v>
      </c>
      <c r="H28" s="55">
        <f t="shared" si="2"/>
        <v>420157.20999999996</v>
      </c>
      <c r="I28" s="395">
        <f t="shared" si="3"/>
        <v>5.9547187896143106</v>
      </c>
    </row>
    <row r="29" spans="1:9" x14ac:dyDescent="0.25">
      <c r="A29" s="49">
        <f>'A) Base RI'!A30</f>
        <v>5429</v>
      </c>
      <c r="B29" s="479" t="str">
        <f>'A) Base RI'!B30</f>
        <v>Longirod</v>
      </c>
      <c r="C29" s="10">
        <f>'B) D RI'!Y30</f>
        <v>187891.35</v>
      </c>
      <c r="D29" s="423">
        <f>'B) D RI'!Z30</f>
        <v>2875.4</v>
      </c>
      <c r="E29" s="10">
        <f t="shared" si="0"/>
        <v>190766.75</v>
      </c>
      <c r="F29" s="423">
        <f>'B) D RI'!U30</f>
        <v>18574.452387096771</v>
      </c>
      <c r="G29" s="261">
        <f t="shared" si="1"/>
        <v>10.270383536718482</v>
      </c>
      <c r="H29" s="55">
        <f t="shared" si="2"/>
        <v>94808.294999999998</v>
      </c>
      <c r="I29" s="395">
        <f t="shared" si="3"/>
        <v>5.1042309632698002</v>
      </c>
    </row>
    <row r="30" spans="1:9" x14ac:dyDescent="0.25">
      <c r="A30" s="49">
        <f>'A) Base RI'!A31</f>
        <v>5430</v>
      </c>
      <c r="B30" s="479" t="str">
        <f>'A) Base RI'!B31</f>
        <v>Marchissy</v>
      </c>
      <c r="C30" s="10">
        <f>'B) D RI'!Y31</f>
        <v>93523.900000000009</v>
      </c>
      <c r="D30" s="423">
        <f>'B) D RI'!Z31</f>
        <v>3411.95</v>
      </c>
      <c r="E30" s="10">
        <f t="shared" si="0"/>
        <v>96935.85</v>
      </c>
      <c r="F30" s="423">
        <f>'B) D RI'!U31</f>
        <v>15580.981548387101</v>
      </c>
      <c r="G30" s="261">
        <f t="shared" si="1"/>
        <v>6.2214212691904853</v>
      </c>
      <c r="H30" s="55">
        <f t="shared" si="2"/>
        <v>47785.535000000003</v>
      </c>
      <c r="I30" s="395">
        <f t="shared" si="3"/>
        <v>3.0669142923763122</v>
      </c>
    </row>
    <row r="31" spans="1:9" x14ac:dyDescent="0.25">
      <c r="A31" s="49">
        <f>'A) Base RI'!A32</f>
        <v>5431</v>
      </c>
      <c r="B31" s="479" t="str">
        <f>'A) Base RI'!B32</f>
        <v>Mollens</v>
      </c>
      <c r="C31" s="10">
        <f>'B) D RI'!Y32</f>
        <v>34152.1</v>
      </c>
      <c r="D31" s="423">
        <f>'B) D RI'!Z32</f>
        <v>304.2</v>
      </c>
      <c r="E31" s="10">
        <f t="shared" si="0"/>
        <v>34456.299999999996</v>
      </c>
      <c r="F31" s="423">
        <f>'B) D RI'!U32</f>
        <v>10464.972567567567</v>
      </c>
      <c r="G31" s="261">
        <f t="shared" si="1"/>
        <v>3.2925361034184601</v>
      </c>
      <c r="H31" s="55">
        <f t="shared" si="2"/>
        <v>17167.309999999998</v>
      </c>
      <c r="I31" s="395">
        <f t="shared" si="3"/>
        <v>1.6404543718732645</v>
      </c>
    </row>
    <row r="32" spans="1:9" x14ac:dyDescent="0.25">
      <c r="A32" s="49">
        <f>'A) Base RI'!A33</f>
        <v>5434</v>
      </c>
      <c r="B32" s="479" t="str">
        <f>'A) Base RI'!B33</f>
        <v>Saint-George</v>
      </c>
      <c r="C32" s="10">
        <f>'B) D RI'!Y33</f>
        <v>264140.79999999999</v>
      </c>
      <c r="D32" s="423">
        <f>'B) D RI'!Z33</f>
        <v>35327.85</v>
      </c>
      <c r="E32" s="10">
        <f t="shared" si="0"/>
        <v>299468.64999999997</v>
      </c>
      <c r="F32" s="423">
        <f>'B) D RI'!U33</f>
        <v>43544.748513189443</v>
      </c>
      <c r="G32" s="261">
        <f t="shared" si="1"/>
        <v>6.8772621320638176</v>
      </c>
      <c r="H32" s="55">
        <f t="shared" si="2"/>
        <v>142668.755</v>
      </c>
      <c r="I32" s="395">
        <f t="shared" si="3"/>
        <v>3.2763710865567748</v>
      </c>
    </row>
    <row r="33" spans="1:9" x14ac:dyDescent="0.25">
      <c r="A33" s="49">
        <f>'A) Base RI'!A34</f>
        <v>5435</v>
      </c>
      <c r="B33" s="479" t="str">
        <f>'A) Base RI'!B34</f>
        <v>Saint-Livres</v>
      </c>
      <c r="C33" s="10">
        <f>'B) D RI'!Y34</f>
        <v>263622.95</v>
      </c>
      <c r="D33" s="423">
        <f>'B) D RI'!Z34</f>
        <v>17237.5</v>
      </c>
      <c r="E33" s="10">
        <f t="shared" si="0"/>
        <v>280860.45</v>
      </c>
      <c r="F33" s="423">
        <f>'B) D RI'!U34</f>
        <v>25854.309855072468</v>
      </c>
      <c r="G33" s="261">
        <f t="shared" si="1"/>
        <v>10.863196564687909</v>
      </c>
      <c r="H33" s="55">
        <f t="shared" si="2"/>
        <v>136982.72500000001</v>
      </c>
      <c r="I33" s="395">
        <f t="shared" si="3"/>
        <v>5.2982549434838146</v>
      </c>
    </row>
    <row r="34" spans="1:9" x14ac:dyDescent="0.25">
      <c r="A34" s="49">
        <f>'A) Base RI'!A35</f>
        <v>5436</v>
      </c>
      <c r="B34" s="479" t="str">
        <f>'A) Base RI'!B35</f>
        <v>Saint-Oyens</v>
      </c>
      <c r="C34" s="10">
        <f>'B) D RI'!Y35</f>
        <v>151642</v>
      </c>
      <c r="D34" s="423">
        <f>'B) D RI'!Z35</f>
        <v>0</v>
      </c>
      <c r="E34" s="10">
        <f t="shared" si="0"/>
        <v>151642</v>
      </c>
      <c r="F34" s="423">
        <f>'B) D RI'!U35</f>
        <v>16868.339629629631</v>
      </c>
      <c r="G34" s="261">
        <f t="shared" si="1"/>
        <v>8.9897407409106993</v>
      </c>
      <c r="H34" s="55">
        <f t="shared" si="2"/>
        <v>75821</v>
      </c>
      <c r="I34" s="395">
        <f t="shared" si="3"/>
        <v>4.4948703704553497</v>
      </c>
    </row>
    <row r="35" spans="1:9" x14ac:dyDescent="0.25">
      <c r="A35" s="49">
        <f>'A) Base RI'!A36</f>
        <v>5437</v>
      </c>
      <c r="B35" s="479" t="str">
        <f>'A) Base RI'!B36</f>
        <v>Saubraz</v>
      </c>
      <c r="C35" s="10">
        <f>'B) D RI'!Y36</f>
        <v>317060.2</v>
      </c>
      <c r="D35" s="423">
        <f>'B) D RI'!Z36</f>
        <v>0</v>
      </c>
      <c r="E35" s="10">
        <f t="shared" si="0"/>
        <v>317060.2</v>
      </c>
      <c r="F35" s="423">
        <f>'B) D RI'!U36</f>
        <v>13551.757374999997</v>
      </c>
      <c r="G35" s="261">
        <f t="shared" si="1"/>
        <v>23.396242363732554</v>
      </c>
      <c r="H35" s="55">
        <f t="shared" si="2"/>
        <v>158530.1</v>
      </c>
      <c r="I35" s="395">
        <f t="shared" si="3"/>
        <v>11.698121181866277</v>
      </c>
    </row>
    <row r="36" spans="1:9" x14ac:dyDescent="0.25">
      <c r="A36" s="49">
        <f>'A) Base RI'!A37</f>
        <v>5451</v>
      </c>
      <c r="B36" s="479" t="str">
        <f>'A) Base RI'!B37</f>
        <v>Avenches</v>
      </c>
      <c r="C36" s="10">
        <f>'B) D RI'!Y37</f>
        <v>794256.05</v>
      </c>
      <c r="D36" s="423">
        <f>'B) D RI'!Z37</f>
        <v>562337.4</v>
      </c>
      <c r="E36" s="10">
        <f t="shared" si="0"/>
        <v>1356593.4500000002</v>
      </c>
      <c r="F36" s="423">
        <f>'B) D RI'!U37</f>
        <v>137890.8513283208</v>
      </c>
      <c r="G36" s="261">
        <f t="shared" si="1"/>
        <v>9.8381686452129067</v>
      </c>
      <c r="H36" s="55">
        <f t="shared" si="2"/>
        <v>565829.245</v>
      </c>
      <c r="I36" s="395">
        <f t="shared" si="3"/>
        <v>4.103457477775299</v>
      </c>
    </row>
    <row r="37" spans="1:9" x14ac:dyDescent="0.25">
      <c r="A37" s="49">
        <f>'A) Base RI'!A38</f>
        <v>5456</v>
      </c>
      <c r="B37" s="479" t="str">
        <f>'A) Base RI'!B38</f>
        <v>Cudrefin</v>
      </c>
      <c r="C37" s="10">
        <f>'B) D RI'!Y38</f>
        <v>395782.25</v>
      </c>
      <c r="D37" s="423">
        <f>'B) D RI'!Z38</f>
        <v>5267</v>
      </c>
      <c r="E37" s="10">
        <f t="shared" si="0"/>
        <v>401049.25</v>
      </c>
      <c r="F37" s="423">
        <f>'B) D RI'!U38</f>
        <v>64144.951694915253</v>
      </c>
      <c r="G37" s="261">
        <f t="shared" si="1"/>
        <v>6.2522340324997243</v>
      </c>
      <c r="H37" s="55">
        <f t="shared" si="2"/>
        <v>199471.22500000001</v>
      </c>
      <c r="I37" s="395">
        <f t="shared" si="3"/>
        <v>3.1096948353585248</v>
      </c>
    </row>
    <row r="38" spans="1:9" x14ac:dyDescent="0.25">
      <c r="A38" s="49">
        <f>'A) Base RI'!A39</f>
        <v>5458</v>
      </c>
      <c r="B38" s="479" t="str">
        <f>'A) Base RI'!B39</f>
        <v>Faoug</v>
      </c>
      <c r="C38" s="10">
        <f>'B) D RI'!Y39</f>
        <v>247284.65</v>
      </c>
      <c r="D38" s="423">
        <f>'B) D RI'!Z39</f>
        <v>1661.35</v>
      </c>
      <c r="E38" s="10">
        <f t="shared" si="0"/>
        <v>248946</v>
      </c>
      <c r="F38" s="423">
        <f>'B) D RI'!U39</f>
        <v>34721.352769230762</v>
      </c>
      <c r="G38" s="261">
        <f t="shared" si="1"/>
        <v>7.1698243341662087</v>
      </c>
      <c r="H38" s="55">
        <f t="shared" si="2"/>
        <v>124140.73</v>
      </c>
      <c r="I38" s="395">
        <f t="shared" si="3"/>
        <v>3.5753425514575734</v>
      </c>
    </row>
    <row r="39" spans="1:9" x14ac:dyDescent="0.25">
      <c r="A39" s="49">
        <f>'A) Base RI'!A40</f>
        <v>5464</v>
      </c>
      <c r="B39" s="479" t="str">
        <f>'A) Base RI'!B40</f>
        <v>Vully-les-Lacs</v>
      </c>
      <c r="C39" s="10">
        <f>'B) D RI'!Y40</f>
        <v>1480598.5</v>
      </c>
      <c r="D39" s="423">
        <f>'B) D RI'!Z40</f>
        <v>340.45</v>
      </c>
      <c r="E39" s="10">
        <f t="shared" si="0"/>
        <v>1480938.95</v>
      </c>
      <c r="F39" s="423">
        <f>'B) D RI'!U40</f>
        <v>119169.3065671642</v>
      </c>
      <c r="G39" s="261">
        <f t="shared" si="1"/>
        <v>12.42718442072446</v>
      </c>
      <c r="H39" s="55">
        <f t="shared" si="2"/>
        <v>740401.38500000001</v>
      </c>
      <c r="I39" s="395">
        <f t="shared" si="3"/>
        <v>6.2130208384044545</v>
      </c>
    </row>
    <row r="40" spans="1:9" x14ac:dyDescent="0.25">
      <c r="A40" s="49">
        <f>'A) Base RI'!A41</f>
        <v>5471</v>
      </c>
      <c r="B40" s="479" t="str">
        <f>'A) Base RI'!B41</f>
        <v>Bettens</v>
      </c>
      <c r="C40" s="10">
        <f>'B) D RI'!Y41</f>
        <v>75195.900000000009</v>
      </c>
      <c r="D40" s="423">
        <f>'B) D RI'!Z41</f>
        <v>9506.5499999999993</v>
      </c>
      <c r="E40" s="10">
        <f t="shared" si="0"/>
        <v>84702.450000000012</v>
      </c>
      <c r="F40" s="423">
        <f>'B) D RI'!U41</f>
        <v>22893.023698412693</v>
      </c>
      <c r="G40" s="261">
        <f t="shared" si="1"/>
        <v>3.6999240954733703</v>
      </c>
      <c r="H40" s="55">
        <f t="shared" si="2"/>
        <v>40449.915000000001</v>
      </c>
      <c r="I40" s="395">
        <f t="shared" si="3"/>
        <v>1.766910109074173</v>
      </c>
    </row>
    <row r="41" spans="1:9" x14ac:dyDescent="0.25">
      <c r="A41" s="49">
        <f>'A) Base RI'!A42</f>
        <v>5472</v>
      </c>
      <c r="B41" s="479" t="str">
        <f>'A) Base RI'!B42</f>
        <v>Bournens</v>
      </c>
      <c r="C41" s="10">
        <f>'B) D RI'!Y42</f>
        <v>196752.3</v>
      </c>
      <c r="D41" s="423">
        <f>'B) D RI'!Z42</f>
        <v>0</v>
      </c>
      <c r="E41" s="10">
        <f t="shared" si="0"/>
        <v>196752.3</v>
      </c>
      <c r="F41" s="423">
        <f>'B) D RI'!U42</f>
        <v>22178.441944444447</v>
      </c>
      <c r="G41" s="261">
        <f t="shared" si="1"/>
        <v>8.871331020134404</v>
      </c>
      <c r="H41" s="55">
        <f t="shared" si="2"/>
        <v>98376.15</v>
      </c>
      <c r="I41" s="395">
        <f t="shared" si="3"/>
        <v>4.435665510067202</v>
      </c>
    </row>
    <row r="42" spans="1:9" x14ac:dyDescent="0.25">
      <c r="A42" s="49">
        <f>'A) Base RI'!A43</f>
        <v>5473</v>
      </c>
      <c r="B42" s="479" t="str">
        <f>'A) Base RI'!B43</f>
        <v>Boussens</v>
      </c>
      <c r="C42" s="10">
        <f>'B) D RI'!Y43</f>
        <v>253887.85</v>
      </c>
      <c r="D42" s="423">
        <f>'B) D RI'!Z43</f>
        <v>4238.3</v>
      </c>
      <c r="E42" s="10">
        <f t="shared" si="0"/>
        <v>258126.15</v>
      </c>
      <c r="F42" s="423">
        <f>'B) D RI'!U43</f>
        <v>37059.012888888894</v>
      </c>
      <c r="G42" s="261">
        <f t="shared" si="1"/>
        <v>6.9652732190660123</v>
      </c>
      <c r="H42" s="55">
        <f t="shared" si="2"/>
        <v>128215.41500000001</v>
      </c>
      <c r="I42" s="395">
        <f t="shared" si="3"/>
        <v>3.4597633613290819</v>
      </c>
    </row>
    <row r="43" spans="1:9" x14ac:dyDescent="0.25">
      <c r="A43" s="49">
        <f>'A) Base RI'!A44</f>
        <v>5474</v>
      </c>
      <c r="B43" s="479" t="str">
        <f>'A) Base RI'!B44</f>
        <v>La Chaux (Cossonay)</v>
      </c>
      <c r="C43" s="10">
        <f>'B) D RI'!Y44</f>
        <v>92933.15</v>
      </c>
      <c r="D43" s="423">
        <f>'B) D RI'!Z44</f>
        <v>2826.15</v>
      </c>
      <c r="E43" s="10">
        <f t="shared" si="0"/>
        <v>95759.299999999988</v>
      </c>
      <c r="F43" s="423">
        <f>'B) D RI'!U44</f>
        <v>12905.016929824562</v>
      </c>
      <c r="G43" s="261">
        <f t="shared" si="1"/>
        <v>7.4203157206785466</v>
      </c>
      <c r="H43" s="55">
        <f t="shared" si="2"/>
        <v>47314.42</v>
      </c>
      <c r="I43" s="395">
        <f t="shared" si="3"/>
        <v>3.6663586152027787</v>
      </c>
    </row>
    <row r="44" spans="1:9" x14ac:dyDescent="0.25">
      <c r="A44" s="49">
        <f>'A) Base RI'!A45</f>
        <v>5475</v>
      </c>
      <c r="B44" s="479" t="str">
        <f>'A) Base RI'!B45</f>
        <v>Chavannes-le-Veyron</v>
      </c>
      <c r="C44" s="10">
        <f>'B) D RI'!Y45</f>
        <v>9400.5500000000011</v>
      </c>
      <c r="D44" s="423">
        <f>'B) D RI'!Z45</f>
        <v>0</v>
      </c>
      <c r="E44" s="10">
        <f t="shared" si="0"/>
        <v>9400.5500000000011</v>
      </c>
      <c r="F44" s="423">
        <f>'B) D RI'!U45</f>
        <v>4277.2722666666668</v>
      </c>
      <c r="G44" s="261">
        <f t="shared" si="1"/>
        <v>2.1977908849197414</v>
      </c>
      <c r="H44" s="55">
        <f t="shared" si="2"/>
        <v>4700.2750000000005</v>
      </c>
      <c r="I44" s="395">
        <f t="shared" si="3"/>
        <v>1.0988954424598707</v>
      </c>
    </row>
    <row r="45" spans="1:9" x14ac:dyDescent="0.25">
      <c r="A45" s="49">
        <f>'A) Base RI'!A46</f>
        <v>5476</v>
      </c>
      <c r="B45" s="479" t="str">
        <f>'A) Base RI'!B46</f>
        <v>Chevilly</v>
      </c>
      <c r="C45" s="10">
        <f>'B) D RI'!Y46</f>
        <v>89222.05</v>
      </c>
      <c r="D45" s="423">
        <f>'B) D RI'!Z46</f>
        <v>0</v>
      </c>
      <c r="E45" s="10">
        <f t="shared" si="0"/>
        <v>89222.05</v>
      </c>
      <c r="F45" s="423">
        <f>'B) D RI'!U46</f>
        <v>12075.307586206898</v>
      </c>
      <c r="G45" s="261">
        <f t="shared" si="1"/>
        <v>7.388801433258271</v>
      </c>
      <c r="H45" s="55">
        <f t="shared" si="2"/>
        <v>44611.025000000001</v>
      </c>
      <c r="I45" s="395">
        <f t="shared" si="3"/>
        <v>3.6944007166291355</v>
      </c>
    </row>
    <row r="46" spans="1:9" x14ac:dyDescent="0.25">
      <c r="A46" s="49">
        <f>'A) Base RI'!A47</f>
        <v>5477</v>
      </c>
      <c r="B46" s="479" t="str">
        <f>'A) Base RI'!B47</f>
        <v>Cossonay</v>
      </c>
      <c r="C46" s="10">
        <f>'B) D RI'!Y47</f>
        <v>1066614.4500000002</v>
      </c>
      <c r="D46" s="423">
        <f>'B) D RI'!Z47</f>
        <v>116740.25</v>
      </c>
      <c r="E46" s="10">
        <f t="shared" si="0"/>
        <v>1183354.7000000002</v>
      </c>
      <c r="F46" s="423">
        <f>'B) D RI'!U47</f>
        <v>142597.98359712231</v>
      </c>
      <c r="G46" s="261">
        <f t="shared" si="1"/>
        <v>8.2985373996822833</v>
      </c>
      <c r="H46" s="55">
        <f t="shared" si="2"/>
        <v>568329.30000000005</v>
      </c>
      <c r="I46" s="395">
        <f t="shared" si="3"/>
        <v>3.9855353186878388</v>
      </c>
    </row>
    <row r="47" spans="1:9" x14ac:dyDescent="0.25">
      <c r="A47" s="49">
        <f>'A) Base RI'!A48</f>
        <v>5478</v>
      </c>
      <c r="B47" s="479" t="str">
        <f>'A) Base RI'!B48</f>
        <v>Cottens</v>
      </c>
      <c r="C47" s="10">
        <f>'B) D RI'!Y48</f>
        <v>50806</v>
      </c>
      <c r="D47" s="423">
        <f>'B) D RI'!Z48</f>
        <v>519.25</v>
      </c>
      <c r="E47" s="10">
        <f t="shared" si="0"/>
        <v>51325.25</v>
      </c>
      <c r="F47" s="423">
        <f>'B) D RI'!U48</f>
        <v>15741.229189189189</v>
      </c>
      <c r="G47" s="261">
        <f t="shared" si="1"/>
        <v>3.2605617631975852</v>
      </c>
      <c r="H47" s="55">
        <f t="shared" si="2"/>
        <v>25558.775000000001</v>
      </c>
      <c r="I47" s="395">
        <f t="shared" si="3"/>
        <v>1.6236835569075723</v>
      </c>
    </row>
    <row r="48" spans="1:9" x14ac:dyDescent="0.25">
      <c r="A48" s="49">
        <f>'A) Base RI'!A49</f>
        <v>5479</v>
      </c>
      <c r="B48" s="479" t="str">
        <f>'A) Base RI'!B49</f>
        <v>Cuarnens</v>
      </c>
      <c r="C48" s="10">
        <f>'B) D RI'!Y49</f>
        <v>115420</v>
      </c>
      <c r="D48" s="423">
        <f>'B) D RI'!Z49</f>
        <v>7894.9</v>
      </c>
      <c r="E48" s="10">
        <f t="shared" si="0"/>
        <v>123314.9</v>
      </c>
      <c r="F48" s="423">
        <f>'B) D RI'!U49</f>
        <v>17984.87649350649</v>
      </c>
      <c r="G48" s="261">
        <f t="shared" si="1"/>
        <v>6.8565886479411366</v>
      </c>
      <c r="H48" s="55">
        <f t="shared" si="2"/>
        <v>60078.47</v>
      </c>
      <c r="I48" s="395">
        <f t="shared" si="3"/>
        <v>3.3404994480607955</v>
      </c>
    </row>
    <row r="49" spans="1:9" x14ac:dyDescent="0.25">
      <c r="A49" s="49">
        <f>'A) Base RI'!A50</f>
        <v>5480</v>
      </c>
      <c r="B49" s="479" t="str">
        <f>'A) Base RI'!B50</f>
        <v>Daillens</v>
      </c>
      <c r="C49" s="10">
        <f>'B) D RI'!Y50</f>
        <v>298685.7</v>
      </c>
      <c r="D49" s="423">
        <f>'B) D RI'!Z50</f>
        <v>229974.39999999999</v>
      </c>
      <c r="E49" s="10">
        <f t="shared" si="0"/>
        <v>528660.1</v>
      </c>
      <c r="F49" s="423">
        <f>'B) D RI'!U50</f>
        <v>41284.66095959596</v>
      </c>
      <c r="G49" s="261">
        <f t="shared" si="1"/>
        <v>12.805242618254356</v>
      </c>
      <c r="H49" s="55">
        <f t="shared" si="2"/>
        <v>218335.16999999998</v>
      </c>
      <c r="I49" s="395">
        <f t="shared" si="3"/>
        <v>5.2885300478470194</v>
      </c>
    </row>
    <row r="50" spans="1:9" x14ac:dyDescent="0.25">
      <c r="A50" s="49">
        <f>'A) Base RI'!A51</f>
        <v>5481</v>
      </c>
      <c r="B50" s="479" t="str">
        <f>'A) Base RI'!B51</f>
        <v>Dizy</v>
      </c>
      <c r="C50" s="10">
        <f>'B) D RI'!Y51</f>
        <v>17939.150000000001</v>
      </c>
      <c r="D50" s="423">
        <f>'B) D RI'!Z51</f>
        <v>0</v>
      </c>
      <c r="E50" s="10">
        <f t="shared" si="0"/>
        <v>17939.150000000001</v>
      </c>
      <c r="F50" s="423">
        <f>'B) D RI'!U51</f>
        <v>8120.887333333334</v>
      </c>
      <c r="G50" s="261">
        <f t="shared" si="1"/>
        <v>2.2090135306232135</v>
      </c>
      <c r="H50" s="55">
        <f t="shared" si="2"/>
        <v>8969.5750000000007</v>
      </c>
      <c r="I50" s="395">
        <f t="shared" si="3"/>
        <v>1.1045067653116067</v>
      </c>
    </row>
    <row r="51" spans="1:9" x14ac:dyDescent="0.25">
      <c r="A51" s="49">
        <f>'A) Base RI'!A52</f>
        <v>5482</v>
      </c>
      <c r="B51" s="479" t="str">
        <f>'A) Base RI'!B52</f>
        <v>Eclépens</v>
      </c>
      <c r="C51" s="10">
        <f>'B) D RI'!Y52</f>
        <v>205473.30000000002</v>
      </c>
      <c r="D51" s="423">
        <f>'B) D RI'!Z52</f>
        <v>311950.55</v>
      </c>
      <c r="E51" s="10">
        <f t="shared" si="0"/>
        <v>517423.85</v>
      </c>
      <c r="F51" s="423">
        <f>'B) D RI'!U52</f>
        <v>54196.336086956522</v>
      </c>
      <c r="G51" s="261">
        <f t="shared" si="1"/>
        <v>9.5472108883856599</v>
      </c>
      <c r="H51" s="55">
        <f t="shared" si="2"/>
        <v>196321.815</v>
      </c>
      <c r="I51" s="395">
        <f t="shared" si="3"/>
        <v>3.6224185835183964</v>
      </c>
    </row>
    <row r="52" spans="1:9" x14ac:dyDescent="0.25">
      <c r="A52" s="49">
        <f>'A) Base RI'!A53</f>
        <v>5483</v>
      </c>
      <c r="B52" s="479" t="str">
        <f>'A) Base RI'!B53</f>
        <v>Ferreyres</v>
      </c>
      <c r="C52" s="10">
        <f>'B) D RI'!Y53</f>
        <v>13096.650000000001</v>
      </c>
      <c r="D52" s="423">
        <f>'B) D RI'!Z53</f>
        <v>0</v>
      </c>
      <c r="E52" s="10">
        <f t="shared" si="0"/>
        <v>13096.650000000001</v>
      </c>
      <c r="F52" s="423">
        <f>'B) D RI'!U53</f>
        <v>10537.122500000001</v>
      </c>
      <c r="G52" s="261">
        <f t="shared" si="1"/>
        <v>1.2429057363620855</v>
      </c>
      <c r="H52" s="55">
        <f t="shared" si="2"/>
        <v>6548.3250000000007</v>
      </c>
      <c r="I52" s="395">
        <f t="shared" si="3"/>
        <v>0.62145286818104273</v>
      </c>
    </row>
    <row r="53" spans="1:9" x14ac:dyDescent="0.25">
      <c r="A53" s="49">
        <f>'A) Base RI'!A54</f>
        <v>5484</v>
      </c>
      <c r="B53" s="479" t="str">
        <f>'A) Base RI'!B54</f>
        <v>Gollion</v>
      </c>
      <c r="C53" s="10">
        <f>'B) D RI'!Y54</f>
        <v>238538.85</v>
      </c>
      <c r="D53" s="423">
        <f>'B) D RI'!Z54</f>
        <v>32793.65</v>
      </c>
      <c r="E53" s="10">
        <f t="shared" si="0"/>
        <v>271332.5</v>
      </c>
      <c r="F53" s="423">
        <f>'B) D RI'!U54</f>
        <v>35950.666081081094</v>
      </c>
      <c r="G53" s="261">
        <f t="shared" si="1"/>
        <v>7.547356685632808</v>
      </c>
      <c r="H53" s="55">
        <f t="shared" si="2"/>
        <v>129107.52</v>
      </c>
      <c r="I53" s="395">
        <f t="shared" si="3"/>
        <v>3.5912413892087067</v>
      </c>
    </row>
    <row r="54" spans="1:9" x14ac:dyDescent="0.25">
      <c r="A54" s="49">
        <f>'A) Base RI'!A55</f>
        <v>5485</v>
      </c>
      <c r="B54" s="479" t="str">
        <f>'A) Base RI'!B55</f>
        <v>Grancy</v>
      </c>
      <c r="C54" s="10">
        <f>'B) D RI'!Y55</f>
        <v>142864.35</v>
      </c>
      <c r="D54" s="423">
        <f>'B) D RI'!Z55</f>
        <v>12308.85</v>
      </c>
      <c r="E54" s="10">
        <f t="shared" si="0"/>
        <v>155173.20000000001</v>
      </c>
      <c r="F54" s="423">
        <f>'B) D RI'!U55</f>
        <v>24488.659571428572</v>
      </c>
      <c r="G54" s="261">
        <f t="shared" si="1"/>
        <v>6.3365330204125918</v>
      </c>
      <c r="H54" s="55">
        <f t="shared" si="2"/>
        <v>75124.83</v>
      </c>
      <c r="I54" s="395">
        <f t="shared" si="3"/>
        <v>3.0677395706725288</v>
      </c>
    </row>
    <row r="55" spans="1:9" x14ac:dyDescent="0.25">
      <c r="A55" s="49">
        <f>'A) Base RI'!A56</f>
        <v>5486</v>
      </c>
      <c r="B55" s="479" t="str">
        <f>'A) Base RI'!B56</f>
        <v>L'Isle</v>
      </c>
      <c r="C55" s="10">
        <f>'B) D RI'!Y56</f>
        <v>324669.2</v>
      </c>
      <c r="D55" s="423">
        <f>'B) D RI'!Z56</f>
        <v>49479.55</v>
      </c>
      <c r="E55" s="10">
        <f t="shared" si="0"/>
        <v>374148.75</v>
      </c>
      <c r="F55" s="423">
        <f>'B) D RI'!U56</f>
        <v>29230.387866666671</v>
      </c>
      <c r="G55" s="261">
        <f t="shared" si="1"/>
        <v>12.799992655132241</v>
      </c>
      <c r="H55" s="55">
        <f t="shared" si="2"/>
        <v>177178.465</v>
      </c>
      <c r="I55" s="395">
        <f t="shared" si="3"/>
        <v>6.0614476211603137</v>
      </c>
    </row>
    <row r="56" spans="1:9" x14ac:dyDescent="0.25">
      <c r="A56" s="49">
        <f>'A) Base RI'!A57</f>
        <v>5487</v>
      </c>
      <c r="B56" s="479" t="str">
        <f>'A) Base RI'!B57</f>
        <v>Lussery-Villars</v>
      </c>
      <c r="C56" s="10">
        <f>'B) D RI'!Y57</f>
        <v>35088.5</v>
      </c>
      <c r="D56" s="423">
        <f>'B) D RI'!Z57</f>
        <v>0</v>
      </c>
      <c r="E56" s="10">
        <f t="shared" si="0"/>
        <v>35088.5</v>
      </c>
      <c r="F56" s="423">
        <f>'B) D RI'!U57</f>
        <v>16622.441866666668</v>
      </c>
      <c r="G56" s="261">
        <f t="shared" si="1"/>
        <v>2.1109112777445596</v>
      </c>
      <c r="H56" s="55">
        <f t="shared" si="2"/>
        <v>17544.25</v>
      </c>
      <c r="I56" s="395">
        <f t="shared" si="3"/>
        <v>1.0554556388722798</v>
      </c>
    </row>
    <row r="57" spans="1:9" x14ac:dyDescent="0.25">
      <c r="A57" s="49">
        <f>'A) Base RI'!A58</f>
        <v>5488</v>
      </c>
      <c r="B57" s="479" t="str">
        <f>'A) Base RI'!B58</f>
        <v>Mauraz</v>
      </c>
      <c r="C57" s="10">
        <f>'B) D RI'!Y58</f>
        <v>0</v>
      </c>
      <c r="D57" s="423">
        <f>'B) D RI'!Z58</f>
        <v>0</v>
      </c>
      <c r="E57" s="10">
        <f t="shared" si="0"/>
        <v>0</v>
      </c>
      <c r="F57" s="423">
        <f>'B) D RI'!U58</f>
        <v>1729.1857142857141</v>
      </c>
      <c r="G57" s="261">
        <f t="shared" si="1"/>
        <v>0</v>
      </c>
      <c r="H57" s="55">
        <f t="shared" si="2"/>
        <v>0</v>
      </c>
      <c r="I57" s="395">
        <f t="shared" si="3"/>
        <v>0</v>
      </c>
    </row>
    <row r="58" spans="1:9" x14ac:dyDescent="0.25">
      <c r="A58" s="49">
        <f>'A) Base RI'!A59</f>
        <v>5489</v>
      </c>
      <c r="B58" s="479" t="str">
        <f>'A) Base RI'!B59</f>
        <v>Mex</v>
      </c>
      <c r="C58" s="10">
        <f>'B) D RI'!Y59</f>
        <v>284150.84999999998</v>
      </c>
      <c r="D58" s="423">
        <f>'B) D RI'!Z59</f>
        <v>165302.79999999999</v>
      </c>
      <c r="E58" s="10">
        <f t="shared" si="0"/>
        <v>449453.64999999997</v>
      </c>
      <c r="F58" s="423">
        <f>'B) D RI'!U59</f>
        <v>50879.929915966379</v>
      </c>
      <c r="G58" s="261">
        <f t="shared" si="1"/>
        <v>8.8336137793884646</v>
      </c>
      <c r="H58" s="55">
        <f t="shared" si="2"/>
        <v>191666.26499999998</v>
      </c>
      <c r="I58" s="395">
        <f t="shared" si="3"/>
        <v>3.7670308374354531</v>
      </c>
    </row>
    <row r="59" spans="1:9" x14ac:dyDescent="0.25">
      <c r="A59" s="49">
        <f>'A) Base RI'!A60</f>
        <v>5490</v>
      </c>
      <c r="B59" s="479" t="str">
        <f>'A) Base RI'!B60</f>
        <v>Moiry</v>
      </c>
      <c r="C59" s="10">
        <f>'B) D RI'!Y60</f>
        <v>38734.300000000003</v>
      </c>
      <c r="D59" s="423">
        <f>'B) D RI'!Z60</f>
        <v>0</v>
      </c>
      <c r="E59" s="10">
        <f t="shared" si="0"/>
        <v>38734.300000000003</v>
      </c>
      <c r="F59" s="423">
        <f>'B) D RI'!U60</f>
        <v>9056.9</v>
      </c>
      <c r="G59" s="261">
        <f t="shared" si="1"/>
        <v>4.2767724055692353</v>
      </c>
      <c r="H59" s="55">
        <f t="shared" si="2"/>
        <v>19367.150000000001</v>
      </c>
      <c r="I59" s="395">
        <f t="shared" si="3"/>
        <v>2.1383862027846177</v>
      </c>
    </row>
    <row r="60" spans="1:9" x14ac:dyDescent="0.25">
      <c r="A60" s="49">
        <f>'A) Base RI'!A61</f>
        <v>5491</v>
      </c>
      <c r="B60" s="479" t="str">
        <f>'A) Base RI'!B61</f>
        <v>Mont-la-Ville</v>
      </c>
      <c r="C60" s="10">
        <f>'B) D RI'!Y61</f>
        <v>45296.800000000003</v>
      </c>
      <c r="D60" s="423">
        <f>'B) D RI'!Z61</f>
        <v>3858.55</v>
      </c>
      <c r="E60" s="10">
        <f t="shared" si="0"/>
        <v>49155.350000000006</v>
      </c>
      <c r="F60" s="423">
        <f>'B) D RI'!U61</f>
        <v>13648.930789473685</v>
      </c>
      <c r="G60" s="261">
        <f t="shared" si="1"/>
        <v>3.6014066418967814</v>
      </c>
      <c r="H60" s="55">
        <f t="shared" si="2"/>
        <v>23805.965</v>
      </c>
      <c r="I60" s="395">
        <f t="shared" si="3"/>
        <v>1.7441633610128358</v>
      </c>
    </row>
    <row r="61" spans="1:9" x14ac:dyDescent="0.25">
      <c r="A61" s="49">
        <f>'A) Base RI'!A62</f>
        <v>5492</v>
      </c>
      <c r="B61" s="479" t="str">
        <f>'A) Base RI'!B62</f>
        <v>Montricher</v>
      </c>
      <c r="C61" s="10">
        <f>'B) D RI'!Y62</f>
        <v>420316.25</v>
      </c>
      <c r="D61" s="423">
        <f>'B) D RI'!Z62</f>
        <v>5465.05</v>
      </c>
      <c r="E61" s="10">
        <f t="shared" si="0"/>
        <v>425781.3</v>
      </c>
      <c r="F61" s="423">
        <f>'B) D RI'!U62</f>
        <v>175268.45531250001</v>
      </c>
      <c r="G61" s="261">
        <f t="shared" si="1"/>
        <v>2.4293093656861457</v>
      </c>
      <c r="H61" s="55">
        <f t="shared" si="2"/>
        <v>211797.64</v>
      </c>
      <c r="I61" s="395">
        <f t="shared" si="3"/>
        <v>1.208418477942133</v>
      </c>
    </row>
    <row r="62" spans="1:9" x14ac:dyDescent="0.25">
      <c r="A62" s="49">
        <f>'A) Base RI'!A63</f>
        <v>5493</v>
      </c>
      <c r="B62" s="479" t="str">
        <f>'A) Base RI'!B63</f>
        <v>Orny</v>
      </c>
      <c r="C62" s="10">
        <f>'B) D RI'!Y63</f>
        <v>154339.45000000001</v>
      </c>
      <c r="D62" s="423">
        <f>'B) D RI'!Z63</f>
        <v>62150.05</v>
      </c>
      <c r="E62" s="10">
        <f t="shared" si="0"/>
        <v>216489.5</v>
      </c>
      <c r="F62" s="423">
        <f>'B) D RI'!U63</f>
        <v>13489.946448893574</v>
      </c>
      <c r="G62" s="261">
        <f t="shared" si="1"/>
        <v>16.048210481795959</v>
      </c>
      <c r="H62" s="55">
        <f t="shared" si="2"/>
        <v>95814.74</v>
      </c>
      <c r="I62" s="395">
        <f t="shared" si="3"/>
        <v>7.1026775653255907</v>
      </c>
    </row>
    <row r="63" spans="1:9" x14ac:dyDescent="0.25">
      <c r="A63" s="49">
        <f>'A) Base RI'!A64</f>
        <v>5494</v>
      </c>
      <c r="B63" s="479" t="str">
        <f>'A) Base RI'!B64</f>
        <v>Pampigny</v>
      </c>
      <c r="C63" s="10">
        <f>'B) D RI'!Y64</f>
        <v>496323.15</v>
      </c>
      <c r="D63" s="423">
        <f>'B) D RI'!Z64</f>
        <v>12887.05</v>
      </c>
      <c r="E63" s="10">
        <f t="shared" si="0"/>
        <v>509210.2</v>
      </c>
      <c r="F63" s="423">
        <f>'B) D RI'!U64</f>
        <v>43210.558962818002</v>
      </c>
      <c r="G63" s="261">
        <f t="shared" si="1"/>
        <v>11.784392801726247</v>
      </c>
      <c r="H63" s="55">
        <f t="shared" si="2"/>
        <v>252027.69</v>
      </c>
      <c r="I63" s="395">
        <f t="shared" si="3"/>
        <v>5.8325487114588315</v>
      </c>
    </row>
    <row r="64" spans="1:9" x14ac:dyDescent="0.25">
      <c r="A64" s="49">
        <f>'A) Base RI'!A65</f>
        <v>5495</v>
      </c>
      <c r="B64" s="479" t="str">
        <f>'A) Base RI'!B65</f>
        <v>Penthalaz</v>
      </c>
      <c r="C64" s="10">
        <f>'B) D RI'!Y65</f>
        <v>503803.15</v>
      </c>
      <c r="D64" s="423">
        <f>'B) D RI'!Z65</f>
        <v>268180.65000000002</v>
      </c>
      <c r="E64" s="10">
        <f t="shared" si="0"/>
        <v>771983.8</v>
      </c>
      <c r="F64" s="423">
        <f>'B) D RI'!U65</f>
        <v>95314.520135135113</v>
      </c>
      <c r="G64" s="261">
        <f t="shared" si="1"/>
        <v>8.0993304997548758</v>
      </c>
      <c r="H64" s="55">
        <f t="shared" si="2"/>
        <v>332355.77</v>
      </c>
      <c r="I64" s="395">
        <f t="shared" si="3"/>
        <v>3.4869374522244074</v>
      </c>
    </row>
    <row r="65" spans="1:9" x14ac:dyDescent="0.25">
      <c r="A65" s="49">
        <f>'A) Base RI'!A66</f>
        <v>5496</v>
      </c>
      <c r="B65" s="479" t="str">
        <f>'A) Base RI'!B66</f>
        <v>Penthaz</v>
      </c>
      <c r="C65" s="10">
        <f>'B) D RI'!Y66</f>
        <v>427268.05</v>
      </c>
      <c r="D65" s="423">
        <f>'B) D RI'!Z66</f>
        <v>104386.05</v>
      </c>
      <c r="E65" s="10">
        <f t="shared" si="0"/>
        <v>531654.1</v>
      </c>
      <c r="F65" s="423">
        <f>'B) D RI'!U66</f>
        <v>56267.911654676267</v>
      </c>
      <c r="G65" s="261">
        <f t="shared" si="1"/>
        <v>9.4486197259786824</v>
      </c>
      <c r="H65" s="55">
        <f t="shared" si="2"/>
        <v>244949.84</v>
      </c>
      <c r="I65" s="395">
        <f t="shared" si="3"/>
        <v>4.3532776105729685</v>
      </c>
    </row>
    <row r="66" spans="1:9" x14ac:dyDescent="0.25">
      <c r="A66" s="49">
        <f>'A) Base RI'!A67</f>
        <v>5497</v>
      </c>
      <c r="B66" s="479" t="str">
        <f>'A) Base RI'!B67</f>
        <v>Pompaples</v>
      </c>
      <c r="C66" s="10">
        <f>'B) D RI'!Y67</f>
        <v>46736.6</v>
      </c>
      <c r="D66" s="423">
        <f>'B) D RI'!Z67</f>
        <v>218566.05</v>
      </c>
      <c r="E66" s="10">
        <f t="shared" si="0"/>
        <v>265302.64999999997</v>
      </c>
      <c r="F66" s="423">
        <f>'B) D RI'!U67</f>
        <v>22253.499393939397</v>
      </c>
      <c r="G66" s="261">
        <f t="shared" si="1"/>
        <v>11.921839585923889</v>
      </c>
      <c r="H66" s="55">
        <f t="shared" si="2"/>
        <v>88938.114999999991</v>
      </c>
      <c r="I66" s="395">
        <f t="shared" si="3"/>
        <v>3.9965900834554469</v>
      </c>
    </row>
    <row r="67" spans="1:9" x14ac:dyDescent="0.25">
      <c r="A67" s="49">
        <f>'A) Base RI'!A68</f>
        <v>5498</v>
      </c>
      <c r="B67" s="479" t="str">
        <f>'A) Base RI'!B68</f>
        <v>La Sarraz</v>
      </c>
      <c r="C67" s="10">
        <f>'B) D RI'!Y68</f>
        <v>250927.2</v>
      </c>
      <c r="D67" s="423">
        <f>'B) D RI'!Z68</f>
        <v>71417.3</v>
      </c>
      <c r="E67" s="10">
        <f t="shared" si="0"/>
        <v>322344.5</v>
      </c>
      <c r="F67" s="423">
        <f>'B) D RI'!U68</f>
        <v>74682.149090909108</v>
      </c>
      <c r="G67" s="261">
        <f t="shared" si="1"/>
        <v>4.3162188544897981</v>
      </c>
      <c r="H67" s="55">
        <f t="shared" si="2"/>
        <v>146888.79</v>
      </c>
      <c r="I67" s="395">
        <f t="shared" si="3"/>
        <v>1.9668527457772429</v>
      </c>
    </row>
    <row r="68" spans="1:9" x14ac:dyDescent="0.25">
      <c r="A68" s="49">
        <f>'A) Base RI'!A69</f>
        <v>5499</v>
      </c>
      <c r="B68" s="479" t="str">
        <f>'A) Base RI'!B69</f>
        <v>Senarclens</v>
      </c>
      <c r="C68" s="10">
        <f>'B) D RI'!Y69</f>
        <v>438563.05000000005</v>
      </c>
      <c r="D68" s="423">
        <f>'B) D RI'!Z69</f>
        <v>17980.25</v>
      </c>
      <c r="E68" s="10">
        <f t="shared" si="0"/>
        <v>456543.30000000005</v>
      </c>
      <c r="F68" s="423">
        <f>'B) D RI'!U69</f>
        <v>18238.904233576643</v>
      </c>
      <c r="G68" s="261">
        <f t="shared" si="1"/>
        <v>25.031289936789808</v>
      </c>
      <c r="H68" s="55">
        <f t="shared" si="2"/>
        <v>224675.60000000003</v>
      </c>
      <c r="I68" s="395">
        <f t="shared" si="3"/>
        <v>12.318481259767063</v>
      </c>
    </row>
    <row r="69" spans="1:9" x14ac:dyDescent="0.25">
      <c r="A69" s="49">
        <f>'A) Base RI'!A70</f>
        <v>5500</v>
      </c>
      <c r="B69" s="479" t="str">
        <f>'A) Base RI'!B70</f>
        <v>Sévery</v>
      </c>
      <c r="C69" s="10">
        <f>'B) D RI'!Y70</f>
        <v>108215</v>
      </c>
      <c r="D69" s="423">
        <f>'B) D RI'!Z70</f>
        <v>497.35</v>
      </c>
      <c r="E69" s="10">
        <f t="shared" si="0"/>
        <v>108712.35</v>
      </c>
      <c r="F69" s="423">
        <f>'B) D RI'!U70</f>
        <v>7230.3632420091335</v>
      </c>
      <c r="G69" s="261">
        <f t="shared" si="1"/>
        <v>15.035530907820839</v>
      </c>
      <c r="H69" s="55">
        <f t="shared" si="2"/>
        <v>54256.705000000002</v>
      </c>
      <c r="I69" s="395">
        <f t="shared" si="3"/>
        <v>7.5040081921144877</v>
      </c>
    </row>
    <row r="70" spans="1:9" x14ac:dyDescent="0.25">
      <c r="A70" s="49">
        <f>'A) Base RI'!A71</f>
        <v>5501</v>
      </c>
      <c r="B70" s="479" t="str">
        <f>'A) Base RI'!B71</f>
        <v>Sullens</v>
      </c>
      <c r="C70" s="10">
        <f>'B) D RI'!Y71</f>
        <v>-2679454.7999999998</v>
      </c>
      <c r="D70" s="423">
        <f>'B) D RI'!Z71</f>
        <v>11593.6</v>
      </c>
      <c r="E70" s="10">
        <f t="shared" si="0"/>
        <v>-2667861.1999999997</v>
      </c>
      <c r="F70" s="423">
        <f>'B) D RI'!U71</f>
        <v>43195.598978102193</v>
      </c>
      <c r="G70" s="261">
        <f t="shared" si="1"/>
        <v>-61.762338365824249</v>
      </c>
      <c r="H70" s="55">
        <f t="shared" si="2"/>
        <v>-1336249.3199999998</v>
      </c>
      <c r="I70" s="395">
        <f t="shared" si="3"/>
        <v>-30.934848725616821</v>
      </c>
    </row>
    <row r="71" spans="1:9" x14ac:dyDescent="0.25">
      <c r="A71" s="49">
        <f>'A) Base RI'!A72</f>
        <v>5503</v>
      </c>
      <c r="B71" s="479" t="str">
        <f>'A) Base RI'!B72</f>
        <v>Vufflens-la-Ville</v>
      </c>
      <c r="C71" s="10">
        <f>'B) D RI'!Y72</f>
        <v>323549.3</v>
      </c>
      <c r="D71" s="423">
        <f>'B) D RI'!Z72</f>
        <v>157043</v>
      </c>
      <c r="E71" s="10">
        <f t="shared" ref="E71:E134" si="4">C71+D71</f>
        <v>480592.3</v>
      </c>
      <c r="F71" s="423">
        <f>'B) D RI'!U72</f>
        <v>79029.714875621881</v>
      </c>
      <c r="G71" s="261">
        <f t="shared" ref="G71:G134" si="5">E71/F71</f>
        <v>6.0811594823081823</v>
      </c>
      <c r="H71" s="55">
        <f t="shared" ref="H71:H134" si="6">(C71*$C$5)+(D71*$D$5)</f>
        <v>208887.55</v>
      </c>
      <c r="I71" s="395">
        <f t="shared" ref="I71:I134" si="7">H71/F71</f>
        <v>2.64315201350214</v>
      </c>
    </row>
    <row r="72" spans="1:9" x14ac:dyDescent="0.25">
      <c r="A72" s="49">
        <f>'A) Base RI'!A73</f>
        <v>5511</v>
      </c>
      <c r="B72" s="479" t="str">
        <f>'A) Base RI'!B73</f>
        <v>Assens</v>
      </c>
      <c r="C72" s="10">
        <f>'B) D RI'!Y73</f>
        <v>870558.89999999991</v>
      </c>
      <c r="D72" s="423">
        <f>'B) D RI'!Z73</f>
        <v>33270.85</v>
      </c>
      <c r="E72" s="10">
        <f t="shared" si="4"/>
        <v>903829.74999999988</v>
      </c>
      <c r="F72" s="423">
        <f>'B) D RI'!U73</f>
        <v>47333.455142857143</v>
      </c>
      <c r="G72" s="261">
        <f t="shared" si="5"/>
        <v>19.094945578600811</v>
      </c>
      <c r="H72" s="55">
        <f t="shared" si="6"/>
        <v>445260.70499999996</v>
      </c>
      <c r="I72" s="395">
        <f t="shared" si="7"/>
        <v>9.4068920947384509</v>
      </c>
    </row>
    <row r="73" spans="1:9" x14ac:dyDescent="0.25">
      <c r="A73" s="49">
        <f>'A) Base RI'!A74</f>
        <v>5512</v>
      </c>
      <c r="B73" s="479" t="str">
        <f>'A) Base RI'!B74</f>
        <v>Bercher</v>
      </c>
      <c r="C73" s="10">
        <f>'B) D RI'!Y74</f>
        <v>401406.35</v>
      </c>
      <c r="D73" s="423">
        <f>'B) D RI'!Z74</f>
        <v>87440.85</v>
      </c>
      <c r="E73" s="10">
        <f t="shared" si="4"/>
        <v>488847.19999999995</v>
      </c>
      <c r="F73" s="423">
        <f>'B) D RI'!U74</f>
        <v>40764.12544303797</v>
      </c>
      <c r="G73" s="261">
        <f t="shared" si="5"/>
        <v>11.992093407795389</v>
      </c>
      <c r="H73" s="55">
        <f t="shared" si="6"/>
        <v>226935.43</v>
      </c>
      <c r="I73" s="395">
        <f t="shared" si="7"/>
        <v>5.5670378680663655</v>
      </c>
    </row>
    <row r="74" spans="1:9" x14ac:dyDescent="0.25">
      <c r="A74" s="49">
        <f>'A) Base RI'!A75</f>
        <v>5513</v>
      </c>
      <c r="B74" s="479" t="str">
        <f>'A) Base RI'!B75</f>
        <v>Bioley-Orjulaz</v>
      </c>
      <c r="C74" s="10">
        <f>'B) D RI'!Y75</f>
        <v>110076.55</v>
      </c>
      <c r="D74" s="423">
        <f>'B) D RI'!Z75</f>
        <v>303896.84999999998</v>
      </c>
      <c r="E74" s="10">
        <f t="shared" si="4"/>
        <v>413973.39999999997</v>
      </c>
      <c r="F74" s="423">
        <f>'B) D RI'!U75</f>
        <v>22739.022647058824</v>
      </c>
      <c r="G74" s="261">
        <f t="shared" si="5"/>
        <v>18.205417463425821</v>
      </c>
      <c r="H74" s="55">
        <f t="shared" si="6"/>
        <v>146207.32999999999</v>
      </c>
      <c r="I74" s="395">
        <f t="shared" si="7"/>
        <v>6.4297983369532004</v>
      </c>
    </row>
    <row r="75" spans="1:9" x14ac:dyDescent="0.25">
      <c r="A75" s="49">
        <f>'A) Base RI'!A76</f>
        <v>5514</v>
      </c>
      <c r="B75" s="479" t="str">
        <f>'A) Base RI'!B76</f>
        <v>Bottens</v>
      </c>
      <c r="C75" s="10">
        <f>'B) D RI'!Y76</f>
        <v>159886.1</v>
      </c>
      <c r="D75" s="423">
        <f>'B) D RI'!Z76</f>
        <v>499.65</v>
      </c>
      <c r="E75" s="10">
        <f t="shared" si="4"/>
        <v>160385.75</v>
      </c>
      <c r="F75" s="423">
        <f>'B) D RI'!U76</f>
        <v>44223.41544827586</v>
      </c>
      <c r="G75" s="261">
        <f t="shared" si="5"/>
        <v>3.6267155843625138</v>
      </c>
      <c r="H75" s="55">
        <f t="shared" si="6"/>
        <v>80092.945000000007</v>
      </c>
      <c r="I75" s="395">
        <f t="shared" si="7"/>
        <v>1.811098129534511</v>
      </c>
    </row>
    <row r="76" spans="1:9" x14ac:dyDescent="0.25">
      <c r="A76" s="49">
        <f>'A) Base RI'!A77</f>
        <v>5515</v>
      </c>
      <c r="B76" s="479" t="str">
        <f>'A) Base RI'!B77</f>
        <v>Bretigny-sur-Morrens</v>
      </c>
      <c r="C76" s="10">
        <f>'B) D RI'!Y77</f>
        <v>199228.15</v>
      </c>
      <c r="D76" s="423">
        <f>'B) D RI'!Z77</f>
        <v>9701.7999999999993</v>
      </c>
      <c r="E76" s="10">
        <f t="shared" si="4"/>
        <v>208929.94999999998</v>
      </c>
      <c r="F76" s="423">
        <f>'B) D RI'!U77</f>
        <v>32348.775256410252</v>
      </c>
      <c r="G76" s="261">
        <f t="shared" si="5"/>
        <v>6.4586664670897642</v>
      </c>
      <c r="H76" s="55">
        <f t="shared" si="6"/>
        <v>102524.61499999999</v>
      </c>
      <c r="I76" s="395">
        <f t="shared" si="7"/>
        <v>3.16935074627543</v>
      </c>
    </row>
    <row r="77" spans="1:9" x14ac:dyDescent="0.25">
      <c r="A77" s="49">
        <f>'A) Base RI'!A78</f>
        <v>5516</v>
      </c>
      <c r="B77" s="479" t="str">
        <f>'A) Base RI'!B78</f>
        <v>Cugy</v>
      </c>
      <c r="C77" s="10">
        <f>'B) D RI'!Y78</f>
        <v>576117.55000000005</v>
      </c>
      <c r="D77" s="423">
        <f>'B) D RI'!Z78</f>
        <v>98315.199999999997</v>
      </c>
      <c r="E77" s="10">
        <f t="shared" si="4"/>
        <v>674432.75</v>
      </c>
      <c r="F77" s="423">
        <f>'B) D RI'!U78</f>
        <v>111604.91621794872</v>
      </c>
      <c r="G77" s="261">
        <f t="shared" si="5"/>
        <v>6.0430380027608068</v>
      </c>
      <c r="H77" s="55">
        <f t="shared" si="6"/>
        <v>317553.33500000002</v>
      </c>
      <c r="I77" s="395">
        <f t="shared" si="7"/>
        <v>2.8453346479814829</v>
      </c>
    </row>
    <row r="78" spans="1:9" x14ac:dyDescent="0.25">
      <c r="A78" s="49">
        <f>'A) Base RI'!A79</f>
        <v>5518</v>
      </c>
      <c r="B78" s="479" t="str">
        <f>'A) Base RI'!B79</f>
        <v>Echallens</v>
      </c>
      <c r="C78" s="10">
        <f>'B) D RI'!Y79</f>
        <v>950584.15</v>
      </c>
      <c r="D78" s="423">
        <f>'B) D RI'!Z79</f>
        <v>227029.45</v>
      </c>
      <c r="E78" s="10">
        <f t="shared" si="4"/>
        <v>1177613.6000000001</v>
      </c>
      <c r="F78" s="423">
        <f>'B) D RI'!U79</f>
        <v>183030.51158620688</v>
      </c>
      <c r="G78" s="261">
        <f t="shared" si="5"/>
        <v>6.4339742581408199</v>
      </c>
      <c r="H78" s="55">
        <f t="shared" si="6"/>
        <v>543400.91</v>
      </c>
      <c r="I78" s="395">
        <f t="shared" si="7"/>
        <v>2.9689088736664524</v>
      </c>
    </row>
    <row r="79" spans="1:9" x14ac:dyDescent="0.25">
      <c r="A79" s="49">
        <f>'A) Base RI'!A80</f>
        <v>5520</v>
      </c>
      <c r="B79" s="479" t="str">
        <f>'A) Base RI'!B80</f>
        <v>Essertines-sur-Yverdon</v>
      </c>
      <c r="C79" s="10">
        <f>'B) D RI'!Y80</f>
        <v>109405.95</v>
      </c>
      <c r="D79" s="423">
        <f>'B) D RI'!Z80</f>
        <v>11223.55</v>
      </c>
      <c r="E79" s="10">
        <f t="shared" si="4"/>
        <v>120629.5</v>
      </c>
      <c r="F79" s="423">
        <f>'B) D RI'!U80</f>
        <v>31696.699178082192</v>
      </c>
      <c r="G79" s="261">
        <f t="shared" si="5"/>
        <v>3.8057432833073532</v>
      </c>
      <c r="H79" s="55">
        <f t="shared" si="6"/>
        <v>58070.04</v>
      </c>
      <c r="I79" s="395">
        <f t="shared" si="7"/>
        <v>1.832053226543999</v>
      </c>
    </row>
    <row r="80" spans="1:9" x14ac:dyDescent="0.25">
      <c r="A80" s="49">
        <f>'A) Base RI'!A81</f>
        <v>5521</v>
      </c>
      <c r="B80" s="479" t="str">
        <f>'A) Base RI'!B81</f>
        <v>Etagnières</v>
      </c>
      <c r="C80" s="10">
        <f>'B) D RI'!Y81</f>
        <v>232676.25</v>
      </c>
      <c r="D80" s="423">
        <f>'B) D RI'!Z81</f>
        <v>29998</v>
      </c>
      <c r="E80" s="10">
        <f t="shared" si="4"/>
        <v>262674.25</v>
      </c>
      <c r="F80" s="423">
        <f>'B) D RI'!U81</f>
        <v>42645.35479452055</v>
      </c>
      <c r="G80" s="261">
        <f t="shared" si="5"/>
        <v>6.1595043883595659</v>
      </c>
      <c r="H80" s="55">
        <f t="shared" si="6"/>
        <v>125337.52499999999</v>
      </c>
      <c r="I80" s="395">
        <f t="shared" si="7"/>
        <v>2.9390662969957155</v>
      </c>
    </row>
    <row r="81" spans="1:9" x14ac:dyDescent="0.25">
      <c r="A81" s="49">
        <f>'A) Base RI'!A82</f>
        <v>5522</v>
      </c>
      <c r="B81" s="479" t="str">
        <f>'A) Base RI'!B82</f>
        <v>Fey</v>
      </c>
      <c r="C81" s="10">
        <f>'B) D RI'!Y82</f>
        <v>68953</v>
      </c>
      <c r="D81" s="423">
        <f>'B) D RI'!Z82</f>
        <v>26174.95</v>
      </c>
      <c r="E81" s="10">
        <f t="shared" si="4"/>
        <v>95127.95</v>
      </c>
      <c r="F81" s="423">
        <f>'B) D RI'!U82</f>
        <v>23924.3328</v>
      </c>
      <c r="G81" s="261">
        <f t="shared" si="5"/>
        <v>3.9762007490549536</v>
      </c>
      <c r="H81" s="55">
        <f t="shared" si="6"/>
        <v>42328.985000000001</v>
      </c>
      <c r="I81" s="395">
        <f t="shared" si="7"/>
        <v>1.7692859129597127</v>
      </c>
    </row>
    <row r="82" spans="1:9" x14ac:dyDescent="0.25">
      <c r="A82" s="49">
        <f>'A) Base RI'!A83</f>
        <v>5523</v>
      </c>
      <c r="B82" s="479" t="str">
        <f>'A) Base RI'!B83</f>
        <v>Froideville</v>
      </c>
      <c r="C82" s="10">
        <f>'B) D RI'!Y83</f>
        <v>1006685.4</v>
      </c>
      <c r="D82" s="423">
        <f>'B) D RI'!Z83</f>
        <v>6648.85</v>
      </c>
      <c r="E82" s="10">
        <f t="shared" si="4"/>
        <v>1013334.25</v>
      </c>
      <c r="F82" s="423">
        <f>'B) D RI'!U83</f>
        <v>93741.085555555546</v>
      </c>
      <c r="G82" s="261">
        <f t="shared" si="5"/>
        <v>10.809926554557006</v>
      </c>
      <c r="H82" s="55">
        <f t="shared" si="6"/>
        <v>505337.35500000004</v>
      </c>
      <c r="I82" s="395">
        <f t="shared" si="7"/>
        <v>5.3907777150768377</v>
      </c>
    </row>
    <row r="83" spans="1:9" x14ac:dyDescent="0.25">
      <c r="A83" s="49">
        <f>'A) Base RI'!A84</f>
        <v>5527</v>
      </c>
      <c r="B83" s="479" t="str">
        <f>'A) Base RI'!B84</f>
        <v>Morrens</v>
      </c>
      <c r="C83" s="10">
        <f>'B) D RI'!Y84</f>
        <v>259172.05000000002</v>
      </c>
      <c r="D83" s="423">
        <f>'B) D RI'!Z84</f>
        <v>10850.5</v>
      </c>
      <c r="E83" s="10">
        <f t="shared" si="4"/>
        <v>270022.55000000005</v>
      </c>
      <c r="F83" s="423">
        <f>'B) D RI'!U84</f>
        <v>39310.302027027028</v>
      </c>
      <c r="G83" s="261">
        <f t="shared" si="5"/>
        <v>6.8690021718569172</v>
      </c>
      <c r="H83" s="55">
        <f t="shared" si="6"/>
        <v>132841.17500000002</v>
      </c>
      <c r="I83" s="395">
        <f t="shared" si="7"/>
        <v>3.3792967275771035</v>
      </c>
    </row>
    <row r="84" spans="1:9" x14ac:dyDescent="0.25">
      <c r="A84" s="49">
        <f>'A) Base RI'!A85</f>
        <v>5529</v>
      </c>
      <c r="B84" s="479" t="str">
        <f>'A) Base RI'!B85</f>
        <v>Oulens-sous-Echallens</v>
      </c>
      <c r="C84" s="10">
        <f>'B) D RI'!Y85</f>
        <v>285837.75</v>
      </c>
      <c r="D84" s="423">
        <f>'B) D RI'!Z85</f>
        <v>0</v>
      </c>
      <c r="E84" s="10">
        <f t="shared" si="4"/>
        <v>285837.75</v>
      </c>
      <c r="F84" s="423">
        <f>'B) D RI'!U85</f>
        <v>21162.231857142859</v>
      </c>
      <c r="G84" s="261">
        <f t="shared" si="5"/>
        <v>13.50697563137801</v>
      </c>
      <c r="H84" s="55">
        <f t="shared" si="6"/>
        <v>142918.875</v>
      </c>
      <c r="I84" s="395">
        <f t="shared" si="7"/>
        <v>6.753487815689005</v>
      </c>
    </row>
    <row r="85" spans="1:9" x14ac:dyDescent="0.25">
      <c r="A85" s="49">
        <f>'A) Base RI'!A86</f>
        <v>5530</v>
      </c>
      <c r="B85" s="479" t="str">
        <f>'A) Base RI'!B86</f>
        <v>Pailly</v>
      </c>
      <c r="C85" s="10">
        <f>'B) D RI'!Y86</f>
        <v>112616.95000000001</v>
      </c>
      <c r="D85" s="423">
        <f>'B) D RI'!Z86</f>
        <v>19384.099999999999</v>
      </c>
      <c r="E85" s="10">
        <f t="shared" si="4"/>
        <v>132001.05000000002</v>
      </c>
      <c r="F85" s="423">
        <f>'B) D RI'!U86</f>
        <v>19305.859890350872</v>
      </c>
      <c r="G85" s="261">
        <f t="shared" si="5"/>
        <v>6.837356675626479</v>
      </c>
      <c r="H85" s="55">
        <f t="shared" si="6"/>
        <v>62123.705000000002</v>
      </c>
      <c r="I85" s="395">
        <f t="shared" si="7"/>
        <v>3.2178678055697287</v>
      </c>
    </row>
    <row r="86" spans="1:9" x14ac:dyDescent="0.25">
      <c r="A86" s="49">
        <f>'A) Base RI'!A87</f>
        <v>5531</v>
      </c>
      <c r="B86" s="479" t="str">
        <f>'A) Base RI'!B87</f>
        <v>Penthéréaz</v>
      </c>
      <c r="C86" s="10">
        <f>'B) D RI'!Y87</f>
        <v>109881.4</v>
      </c>
      <c r="D86" s="423">
        <f>'B) D RI'!Z87</f>
        <v>23410.5</v>
      </c>
      <c r="E86" s="10">
        <f t="shared" si="4"/>
        <v>133291.9</v>
      </c>
      <c r="F86" s="423">
        <f>'B) D RI'!U87</f>
        <v>14300.817432432432</v>
      </c>
      <c r="G86" s="261">
        <f t="shared" si="5"/>
        <v>9.3205790948502667</v>
      </c>
      <c r="H86" s="55">
        <f t="shared" si="6"/>
        <v>61963.85</v>
      </c>
      <c r="I86" s="395">
        <f t="shared" si="7"/>
        <v>4.3328886822562938</v>
      </c>
    </row>
    <row r="87" spans="1:9" x14ac:dyDescent="0.25">
      <c r="A87" s="49">
        <f>'A) Base RI'!A88</f>
        <v>5533</v>
      </c>
      <c r="B87" s="479" t="str">
        <f>'A) Base RI'!B88</f>
        <v>Poliez-Pittet</v>
      </c>
      <c r="C87" s="10">
        <f>'B) D RI'!Y88</f>
        <v>30268.5</v>
      </c>
      <c r="D87" s="423">
        <f>'B) D RI'!Z88</f>
        <v>4072.25</v>
      </c>
      <c r="E87" s="10">
        <f t="shared" si="4"/>
        <v>34340.75</v>
      </c>
      <c r="F87" s="423">
        <f>'B) D RI'!U88</f>
        <v>27502.031917808214</v>
      </c>
      <c r="G87" s="261">
        <f t="shared" si="5"/>
        <v>1.248662284395196</v>
      </c>
      <c r="H87" s="55">
        <f t="shared" si="6"/>
        <v>16355.924999999999</v>
      </c>
      <c r="I87" s="395">
        <f t="shared" si="7"/>
        <v>0.59471696669107388</v>
      </c>
    </row>
    <row r="88" spans="1:9" x14ac:dyDescent="0.25">
      <c r="A88" s="49">
        <f>'A) Base RI'!A89</f>
        <v>5534</v>
      </c>
      <c r="B88" s="479" t="str">
        <f>'A) Base RI'!B89</f>
        <v>Rueyres</v>
      </c>
      <c r="C88" s="10">
        <f>'B) D RI'!Y89</f>
        <v>104253.65</v>
      </c>
      <c r="D88" s="423">
        <f>'B) D RI'!Z89</f>
        <v>30156.05</v>
      </c>
      <c r="E88" s="10">
        <f t="shared" si="4"/>
        <v>134409.69999999998</v>
      </c>
      <c r="F88" s="423">
        <f>'B) D RI'!U89</f>
        <v>13106.991872146118</v>
      </c>
      <c r="G88" s="261">
        <f t="shared" si="5"/>
        <v>10.254809136308097</v>
      </c>
      <c r="H88" s="55">
        <f t="shared" si="6"/>
        <v>61173.64</v>
      </c>
      <c r="I88" s="395">
        <f t="shared" si="7"/>
        <v>4.6672524555387191</v>
      </c>
    </row>
    <row r="89" spans="1:9" x14ac:dyDescent="0.25">
      <c r="A89" s="49">
        <f>'A) Base RI'!A90</f>
        <v>5535</v>
      </c>
      <c r="B89" s="479" t="str">
        <f>'A) Base RI'!B90</f>
        <v>Saint-Barthélemy</v>
      </c>
      <c r="C89" s="10">
        <f>'B) D RI'!Y90</f>
        <v>96275.15</v>
      </c>
      <c r="D89" s="423">
        <f>'B) D RI'!Z90</f>
        <v>43807.25</v>
      </c>
      <c r="E89" s="10">
        <f t="shared" si="4"/>
        <v>140082.4</v>
      </c>
      <c r="F89" s="423">
        <f>'B) D RI'!U90</f>
        <v>25080.318533333328</v>
      </c>
      <c r="G89" s="261">
        <f t="shared" si="5"/>
        <v>5.5853517097010403</v>
      </c>
      <c r="H89" s="55">
        <f t="shared" si="6"/>
        <v>61279.75</v>
      </c>
      <c r="I89" s="395">
        <f t="shared" si="7"/>
        <v>2.4433401800122811</v>
      </c>
    </row>
    <row r="90" spans="1:9" x14ac:dyDescent="0.25">
      <c r="A90" s="49">
        <f>'A) Base RI'!A91</f>
        <v>5537</v>
      </c>
      <c r="B90" s="479" t="str">
        <f>'A) Base RI'!B91</f>
        <v>Villars-le-Terroir</v>
      </c>
      <c r="C90" s="10">
        <f>'B) D RI'!Y91</f>
        <v>113247.2</v>
      </c>
      <c r="D90" s="423">
        <f>'B) D RI'!Z91</f>
        <v>2823.5</v>
      </c>
      <c r="E90" s="10">
        <f t="shared" si="4"/>
        <v>116070.7</v>
      </c>
      <c r="F90" s="423">
        <f>'B) D RI'!U91</f>
        <v>42917.816052631584</v>
      </c>
      <c r="G90" s="261">
        <f t="shared" si="5"/>
        <v>2.7044875689307801</v>
      </c>
      <c r="H90" s="55">
        <f t="shared" si="6"/>
        <v>57470.65</v>
      </c>
      <c r="I90" s="395">
        <f t="shared" si="7"/>
        <v>1.3390860786001269</v>
      </c>
    </row>
    <row r="91" spans="1:9" x14ac:dyDescent="0.25">
      <c r="A91" s="49">
        <f>'A) Base RI'!A92</f>
        <v>5539</v>
      </c>
      <c r="B91" s="479" t="str">
        <f>'A) Base RI'!B92</f>
        <v>Vuarrens</v>
      </c>
      <c r="C91" s="10">
        <f>'B) D RI'!Y92</f>
        <v>239895.95</v>
      </c>
      <c r="D91" s="423">
        <f>'B) D RI'!Z92</f>
        <v>17971.5</v>
      </c>
      <c r="E91" s="10">
        <f t="shared" si="4"/>
        <v>257867.45</v>
      </c>
      <c r="F91" s="423">
        <f>'B) D RI'!U92</f>
        <v>34558.047482993185</v>
      </c>
      <c r="G91" s="261">
        <f t="shared" si="5"/>
        <v>7.4618639877412791</v>
      </c>
      <c r="H91" s="55">
        <f t="shared" si="6"/>
        <v>125339.425</v>
      </c>
      <c r="I91" s="395">
        <f t="shared" si="7"/>
        <v>3.6269243816995864</v>
      </c>
    </row>
    <row r="92" spans="1:9" x14ac:dyDescent="0.25">
      <c r="A92" s="49">
        <f>'A) Base RI'!A93</f>
        <v>5540</v>
      </c>
      <c r="B92" s="479" t="str">
        <f>'A) Base RI'!B93</f>
        <v>Montilliez</v>
      </c>
      <c r="C92" s="10">
        <f>'B) D RI'!Y93</f>
        <v>296815.90000000002</v>
      </c>
      <c r="D92" s="423">
        <f>'B) D RI'!Z93</f>
        <v>1152.4000000000001</v>
      </c>
      <c r="E92" s="10">
        <f t="shared" si="4"/>
        <v>297968.30000000005</v>
      </c>
      <c r="F92" s="423">
        <f>'B) D RI'!U93</f>
        <v>63315.990655172413</v>
      </c>
      <c r="G92" s="261">
        <f t="shared" si="5"/>
        <v>4.70605129789055</v>
      </c>
      <c r="H92" s="55">
        <f t="shared" si="6"/>
        <v>148753.67000000001</v>
      </c>
      <c r="I92" s="395">
        <f t="shared" si="7"/>
        <v>2.3493854942605723</v>
      </c>
    </row>
    <row r="93" spans="1:9" x14ac:dyDescent="0.25">
      <c r="A93" s="49">
        <f>'A) Base RI'!A94</f>
        <v>5541</v>
      </c>
      <c r="B93" s="479" t="str">
        <f>'A) Base RI'!B94</f>
        <v>Goumoëns</v>
      </c>
      <c r="C93" s="10">
        <f>'B) D RI'!Y94</f>
        <v>155126.29999999999</v>
      </c>
      <c r="D93" s="423">
        <f>'B) D RI'!Z94</f>
        <v>5116.2</v>
      </c>
      <c r="E93" s="10">
        <f t="shared" si="4"/>
        <v>160242.5</v>
      </c>
      <c r="F93" s="423">
        <f>'B) D RI'!U94</f>
        <v>41279.032715231784</v>
      </c>
      <c r="G93" s="261">
        <f t="shared" si="5"/>
        <v>3.8819344703508816</v>
      </c>
      <c r="H93" s="55">
        <f t="shared" si="6"/>
        <v>79098.009999999995</v>
      </c>
      <c r="I93" s="395">
        <f t="shared" si="7"/>
        <v>1.9161788636295534</v>
      </c>
    </row>
    <row r="94" spans="1:9" x14ac:dyDescent="0.25">
      <c r="A94" s="49">
        <f>'A) Base RI'!A95</f>
        <v>5551</v>
      </c>
      <c r="B94" s="479" t="str">
        <f>'A) Base RI'!B95</f>
        <v>Bonvillars</v>
      </c>
      <c r="C94" s="10">
        <f>'B) D RI'!Y95</f>
        <v>105329.05</v>
      </c>
      <c r="D94" s="423">
        <f>'B) D RI'!Z95</f>
        <v>6473</v>
      </c>
      <c r="E94" s="10">
        <f t="shared" si="4"/>
        <v>111802.05</v>
      </c>
      <c r="F94" s="423">
        <f>'B) D RI'!U95</f>
        <v>18707.412</v>
      </c>
      <c r="G94" s="261">
        <f t="shared" si="5"/>
        <v>5.9763504433429917</v>
      </c>
      <c r="H94" s="55">
        <f t="shared" si="6"/>
        <v>54606.425000000003</v>
      </c>
      <c r="I94" s="395">
        <f t="shared" si="7"/>
        <v>2.9189727045087799</v>
      </c>
    </row>
    <row r="95" spans="1:9" x14ac:dyDescent="0.25">
      <c r="A95" s="49">
        <f>'A) Base RI'!A96</f>
        <v>5552</v>
      </c>
      <c r="B95" s="479" t="str">
        <f>'A) Base RI'!B96</f>
        <v>Bullet</v>
      </c>
      <c r="C95" s="10">
        <f>'B) D RI'!Y96</f>
        <v>354637.05</v>
      </c>
      <c r="D95" s="423">
        <f>'B) D RI'!Z96</f>
        <v>78794.899999999994</v>
      </c>
      <c r="E95" s="10">
        <f t="shared" si="4"/>
        <v>433431.94999999995</v>
      </c>
      <c r="F95" s="423">
        <f>'B) D RI'!U96</f>
        <v>19599.59230769231</v>
      </c>
      <c r="G95" s="261">
        <f t="shared" si="5"/>
        <v>22.114334992054381</v>
      </c>
      <c r="H95" s="55">
        <f t="shared" si="6"/>
        <v>200956.995</v>
      </c>
      <c r="I95" s="395">
        <f t="shared" si="7"/>
        <v>10.253121179522179</v>
      </c>
    </row>
    <row r="96" spans="1:9" x14ac:dyDescent="0.25">
      <c r="A96" s="49">
        <f>'A) Base RI'!A97</f>
        <v>5553</v>
      </c>
      <c r="B96" s="479" t="str">
        <f>'A) Base RI'!B97</f>
        <v>Champagne</v>
      </c>
      <c r="C96" s="10">
        <f>'B) D RI'!Y97</f>
        <v>149602.79999999999</v>
      </c>
      <c r="D96" s="423">
        <f>'B) D RI'!Z97</f>
        <v>162665.4</v>
      </c>
      <c r="E96" s="10">
        <f t="shared" si="4"/>
        <v>312268.19999999995</v>
      </c>
      <c r="F96" s="423">
        <f>'B) D RI'!U97</f>
        <v>40087.525538461538</v>
      </c>
      <c r="G96" s="261">
        <f t="shared" si="5"/>
        <v>7.7896601450343361</v>
      </c>
      <c r="H96" s="55">
        <f t="shared" si="6"/>
        <v>123601.01999999999</v>
      </c>
      <c r="I96" s="395">
        <f t="shared" si="7"/>
        <v>3.0832788589411022</v>
      </c>
    </row>
    <row r="97" spans="1:9" x14ac:dyDescent="0.25">
      <c r="A97" s="49">
        <f>'A) Base RI'!A98</f>
        <v>5554</v>
      </c>
      <c r="B97" s="479" t="str">
        <f>'A) Base RI'!B98</f>
        <v>Concise</v>
      </c>
      <c r="C97" s="10">
        <f>'B) D RI'!Y98</f>
        <v>1337539.7</v>
      </c>
      <c r="D97" s="423">
        <f>'B) D RI'!Z98</f>
        <v>21995.5</v>
      </c>
      <c r="E97" s="10">
        <f t="shared" si="4"/>
        <v>1359535.2</v>
      </c>
      <c r="F97" s="423">
        <f>'B) D RI'!U98</f>
        <v>31501.78373333333</v>
      </c>
      <c r="G97" s="261">
        <f t="shared" si="5"/>
        <v>43.157403768264082</v>
      </c>
      <c r="H97" s="55">
        <f t="shared" si="6"/>
        <v>675368.5</v>
      </c>
      <c r="I97" s="395">
        <f t="shared" si="7"/>
        <v>21.439055823539441</v>
      </c>
    </row>
    <row r="98" spans="1:9" x14ac:dyDescent="0.25">
      <c r="A98" s="49">
        <f>'A) Base RI'!A99</f>
        <v>5555</v>
      </c>
      <c r="B98" s="479" t="str">
        <f>'A) Base RI'!B99</f>
        <v>Corcelles-près-Concise</v>
      </c>
      <c r="C98" s="10">
        <f>'B) D RI'!Y99</f>
        <v>99558.299999999988</v>
      </c>
      <c r="D98" s="423">
        <f>'B) D RI'!Z99</f>
        <v>10061.950000000001</v>
      </c>
      <c r="E98" s="10">
        <f t="shared" si="4"/>
        <v>109620.24999999999</v>
      </c>
      <c r="F98" s="423">
        <f>'B) D RI'!U99</f>
        <v>13878.246956521738</v>
      </c>
      <c r="G98" s="261">
        <f t="shared" si="5"/>
        <v>7.8987101428171851</v>
      </c>
      <c r="H98" s="55">
        <f t="shared" si="6"/>
        <v>52797.734999999993</v>
      </c>
      <c r="I98" s="395">
        <f t="shared" si="7"/>
        <v>3.804351887194874</v>
      </c>
    </row>
    <row r="99" spans="1:9" x14ac:dyDescent="0.25">
      <c r="A99" s="49">
        <f>'A) Base RI'!A100</f>
        <v>5556</v>
      </c>
      <c r="B99" s="479" t="str">
        <f>'A) Base RI'!B100</f>
        <v>Fiez</v>
      </c>
      <c r="C99" s="10">
        <f>'B) D RI'!Y100</f>
        <v>57836.75</v>
      </c>
      <c r="D99" s="423">
        <f>'B) D RI'!Z100</f>
        <v>0</v>
      </c>
      <c r="E99" s="10">
        <f t="shared" si="4"/>
        <v>57836.75</v>
      </c>
      <c r="F99" s="423">
        <f>'B) D RI'!U100</f>
        <v>14577.66780193237</v>
      </c>
      <c r="G99" s="261">
        <f t="shared" si="5"/>
        <v>3.9674899157966368</v>
      </c>
      <c r="H99" s="55">
        <f t="shared" si="6"/>
        <v>28918.375</v>
      </c>
      <c r="I99" s="395">
        <f t="shared" si="7"/>
        <v>1.9837449578983184</v>
      </c>
    </row>
    <row r="100" spans="1:9" x14ac:dyDescent="0.25">
      <c r="A100" s="49">
        <f>'A) Base RI'!A101</f>
        <v>5557</v>
      </c>
      <c r="B100" s="479" t="str">
        <f>'A) Base RI'!B101</f>
        <v>Fontaines-sur-Grandson</v>
      </c>
      <c r="C100" s="10">
        <f>'B) D RI'!Y101</f>
        <v>13262.8</v>
      </c>
      <c r="D100" s="423">
        <f>'B) D RI'!Z101</f>
        <v>0</v>
      </c>
      <c r="E100" s="10">
        <f t="shared" si="4"/>
        <v>13262.8</v>
      </c>
      <c r="F100" s="423">
        <f>'B) D RI'!U101</f>
        <v>4232.7450724637674</v>
      </c>
      <c r="G100" s="261">
        <f t="shared" si="5"/>
        <v>3.1333802940983824</v>
      </c>
      <c r="H100" s="55">
        <f t="shared" si="6"/>
        <v>6631.4</v>
      </c>
      <c r="I100" s="395">
        <f t="shared" si="7"/>
        <v>1.5666901470491912</v>
      </c>
    </row>
    <row r="101" spans="1:9" x14ac:dyDescent="0.25">
      <c r="A101" s="49">
        <f>'A) Base RI'!A102</f>
        <v>5559</v>
      </c>
      <c r="B101" s="479" t="str">
        <f>'A) Base RI'!B102</f>
        <v>Giez</v>
      </c>
      <c r="C101" s="10">
        <f>'B) D RI'!Y102</f>
        <v>182541.95</v>
      </c>
      <c r="D101" s="423">
        <f>'B) D RI'!Z102</f>
        <v>10451.549999999999</v>
      </c>
      <c r="E101" s="10">
        <f t="shared" si="4"/>
        <v>192993.5</v>
      </c>
      <c r="F101" s="423">
        <f>'B) D RI'!U102</f>
        <v>23436.990303030303</v>
      </c>
      <c r="G101" s="261">
        <f t="shared" si="5"/>
        <v>8.234568411074811</v>
      </c>
      <c r="H101" s="55">
        <f t="shared" si="6"/>
        <v>94406.44</v>
      </c>
      <c r="I101" s="395">
        <f t="shared" si="7"/>
        <v>4.0280957059487985</v>
      </c>
    </row>
    <row r="102" spans="1:9" x14ac:dyDescent="0.25">
      <c r="A102" s="49">
        <f>'A) Base RI'!A103</f>
        <v>5560</v>
      </c>
      <c r="B102" s="479" t="str">
        <f>'A) Base RI'!B103</f>
        <v>Grandevent</v>
      </c>
      <c r="C102" s="10">
        <f>'B) D RI'!Y103</f>
        <v>87712.200000000012</v>
      </c>
      <c r="D102" s="423">
        <f>'B) D RI'!Z103</f>
        <v>0</v>
      </c>
      <c r="E102" s="10">
        <f t="shared" si="4"/>
        <v>87712.200000000012</v>
      </c>
      <c r="F102" s="423">
        <f>'B) D RI'!U103</f>
        <v>7003.7466176470589</v>
      </c>
      <c r="G102" s="261">
        <f t="shared" si="5"/>
        <v>12.523611259578567</v>
      </c>
      <c r="H102" s="55">
        <f t="shared" si="6"/>
        <v>43856.100000000006</v>
      </c>
      <c r="I102" s="395">
        <f t="shared" si="7"/>
        <v>6.2618056297892837</v>
      </c>
    </row>
    <row r="103" spans="1:9" x14ac:dyDescent="0.25">
      <c r="A103" s="49">
        <f>'A) Base RI'!A104</f>
        <v>5561</v>
      </c>
      <c r="B103" s="479" t="str">
        <f>'A) Base RI'!B104</f>
        <v>Grandson</v>
      </c>
      <c r="C103" s="10">
        <f>'B) D RI'!Y104</f>
        <v>1049030.75</v>
      </c>
      <c r="D103" s="423">
        <f>'B) D RI'!Z104</f>
        <v>378118.75</v>
      </c>
      <c r="E103" s="10">
        <f t="shared" si="4"/>
        <v>1427149.5</v>
      </c>
      <c r="F103" s="423">
        <f>'B) D RI'!U104</f>
        <v>114506.05043478261</v>
      </c>
      <c r="G103" s="261">
        <f t="shared" si="5"/>
        <v>12.463529172310759</v>
      </c>
      <c r="H103" s="55">
        <f t="shared" si="6"/>
        <v>637951</v>
      </c>
      <c r="I103" s="395">
        <f t="shared" si="7"/>
        <v>5.5713300526713008</v>
      </c>
    </row>
    <row r="104" spans="1:9" x14ac:dyDescent="0.25">
      <c r="A104" s="49">
        <f>'A) Base RI'!A105</f>
        <v>5562</v>
      </c>
      <c r="B104" s="479" t="str">
        <f>'A) Base RI'!B105</f>
        <v>Mauborget</v>
      </c>
      <c r="C104" s="10">
        <f>'B) D RI'!Y105</f>
        <v>43860.15</v>
      </c>
      <c r="D104" s="423">
        <f>'B) D RI'!Z105</f>
        <v>278.8</v>
      </c>
      <c r="E104" s="10">
        <f t="shared" si="4"/>
        <v>44138.950000000004</v>
      </c>
      <c r="F104" s="423">
        <f>'B) D RI'!U105</f>
        <v>6099.4916904761894</v>
      </c>
      <c r="G104" s="261">
        <f t="shared" si="5"/>
        <v>7.2364964557487674</v>
      </c>
      <c r="H104" s="55">
        <f t="shared" si="6"/>
        <v>22013.715</v>
      </c>
      <c r="I104" s="395">
        <f t="shared" si="7"/>
        <v>3.6091064824913928</v>
      </c>
    </row>
    <row r="105" spans="1:9" x14ac:dyDescent="0.25">
      <c r="A105" s="49">
        <f>'A) Base RI'!A106</f>
        <v>5563</v>
      </c>
      <c r="B105" s="479" t="str">
        <f>'A) Base RI'!B106</f>
        <v>Mutrux</v>
      </c>
      <c r="C105" s="10">
        <f>'B) D RI'!Y106</f>
        <v>78919.850000000006</v>
      </c>
      <c r="D105" s="423">
        <f>'B) D RI'!Z106</f>
        <v>0</v>
      </c>
      <c r="E105" s="10">
        <f t="shared" si="4"/>
        <v>78919.850000000006</v>
      </c>
      <c r="F105" s="423">
        <f>'B) D RI'!U106</f>
        <v>4282.2314999999999</v>
      </c>
      <c r="G105" s="261">
        <f t="shared" si="5"/>
        <v>18.429608488004444</v>
      </c>
      <c r="H105" s="55">
        <f t="shared" si="6"/>
        <v>39459.925000000003</v>
      </c>
      <c r="I105" s="395">
        <f t="shared" si="7"/>
        <v>9.214804244002222</v>
      </c>
    </row>
    <row r="106" spans="1:9" x14ac:dyDescent="0.25">
      <c r="A106" s="49">
        <f>'A) Base RI'!A107</f>
        <v>5564</v>
      </c>
      <c r="B106" s="479" t="str">
        <f>'A) Base RI'!B107</f>
        <v>Novalles</v>
      </c>
      <c r="C106" s="10">
        <f>'B) D RI'!Y107</f>
        <v>3651.55</v>
      </c>
      <c r="D106" s="423">
        <f>'B) D RI'!Z107</f>
        <v>0</v>
      </c>
      <c r="E106" s="10">
        <f t="shared" si="4"/>
        <v>3651.55</v>
      </c>
      <c r="F106" s="423">
        <f>'B) D RI'!U107</f>
        <v>2099.5480592105264</v>
      </c>
      <c r="G106" s="261">
        <f t="shared" si="5"/>
        <v>1.7392076280326056</v>
      </c>
      <c r="H106" s="55">
        <f t="shared" si="6"/>
        <v>1825.7750000000001</v>
      </c>
      <c r="I106" s="395">
        <f t="shared" si="7"/>
        <v>0.86960381401630282</v>
      </c>
    </row>
    <row r="107" spans="1:9" x14ac:dyDescent="0.25">
      <c r="A107" s="49">
        <f>'A) Base RI'!A108</f>
        <v>5565</v>
      </c>
      <c r="B107" s="479" t="str">
        <f>'A) Base RI'!B108</f>
        <v>Onnens</v>
      </c>
      <c r="C107" s="10">
        <f>'B) D RI'!Y108</f>
        <v>75124.649999999994</v>
      </c>
      <c r="D107" s="423">
        <f>'B) D RI'!Z108</f>
        <v>63286.3</v>
      </c>
      <c r="E107" s="10">
        <f t="shared" si="4"/>
        <v>138410.95000000001</v>
      </c>
      <c r="F107" s="423">
        <f>'B) D RI'!U108</f>
        <v>22703.427716535429</v>
      </c>
      <c r="G107" s="261">
        <f t="shared" si="5"/>
        <v>6.0964781057792488</v>
      </c>
      <c r="H107" s="55">
        <f t="shared" si="6"/>
        <v>56548.214999999997</v>
      </c>
      <c r="I107" s="395">
        <f t="shared" si="7"/>
        <v>2.4907346901989884</v>
      </c>
    </row>
    <row r="108" spans="1:9" x14ac:dyDescent="0.25">
      <c r="A108" s="49">
        <f>'A) Base RI'!A109</f>
        <v>5566</v>
      </c>
      <c r="B108" s="479" t="str">
        <f>'A) Base RI'!B109</f>
        <v>Provence</v>
      </c>
      <c r="C108" s="10">
        <f>'B) D RI'!Y109</f>
        <v>50750.7</v>
      </c>
      <c r="D108" s="423">
        <f>'B) D RI'!Z109</f>
        <v>7185.35</v>
      </c>
      <c r="E108" s="10">
        <f t="shared" si="4"/>
        <v>57936.049999999996</v>
      </c>
      <c r="F108" s="423">
        <f>'B) D RI'!U109</f>
        <v>9377.8413580246925</v>
      </c>
      <c r="G108" s="261">
        <f t="shared" si="5"/>
        <v>6.1779729244858324</v>
      </c>
      <c r="H108" s="55">
        <f t="shared" si="6"/>
        <v>27530.954999999998</v>
      </c>
      <c r="I108" s="395">
        <f t="shared" si="7"/>
        <v>2.9357454395879223</v>
      </c>
    </row>
    <row r="109" spans="1:9" x14ac:dyDescent="0.25">
      <c r="A109" s="49">
        <f>'A) Base RI'!A110</f>
        <v>5568</v>
      </c>
      <c r="B109" s="479" t="str">
        <f>'A) Base RI'!B110</f>
        <v>Sainte-Croix</v>
      </c>
      <c r="C109" s="10">
        <f>'B) D RI'!Y110</f>
        <v>1270379.7999999998</v>
      </c>
      <c r="D109" s="423">
        <f>'B) D RI'!Z110</f>
        <v>2053229.95</v>
      </c>
      <c r="E109" s="10">
        <f t="shared" si="4"/>
        <v>3323609.75</v>
      </c>
      <c r="F109" s="423">
        <f>'B) D RI'!U110</f>
        <v>109171.87199999999</v>
      </c>
      <c r="G109" s="261">
        <f t="shared" si="5"/>
        <v>30.443828516561485</v>
      </c>
      <c r="H109" s="55">
        <f t="shared" si="6"/>
        <v>1251158.8849999998</v>
      </c>
      <c r="I109" s="395">
        <f t="shared" si="7"/>
        <v>11.460450957550677</v>
      </c>
    </row>
    <row r="110" spans="1:9" x14ac:dyDescent="0.25">
      <c r="A110" s="49">
        <f>'A) Base RI'!A111</f>
        <v>5571</v>
      </c>
      <c r="B110" s="479" t="str">
        <f>'A) Base RI'!B111</f>
        <v>Tévenon</v>
      </c>
      <c r="C110" s="10">
        <f>'B) D RI'!Y111</f>
        <v>211663.5</v>
      </c>
      <c r="D110" s="423">
        <f>'B) D RI'!Z111</f>
        <v>51246.7</v>
      </c>
      <c r="E110" s="10">
        <f t="shared" si="4"/>
        <v>262910.2</v>
      </c>
      <c r="F110" s="423">
        <f>'B) D RI'!U111</f>
        <v>25325.239790209791</v>
      </c>
      <c r="G110" s="261">
        <f t="shared" si="5"/>
        <v>10.381350864904174</v>
      </c>
      <c r="H110" s="55">
        <f t="shared" si="6"/>
        <v>121205.75999999999</v>
      </c>
      <c r="I110" s="395">
        <f t="shared" si="7"/>
        <v>4.785966924856349</v>
      </c>
    </row>
    <row r="111" spans="1:9" x14ac:dyDescent="0.25">
      <c r="A111" s="49">
        <f>'A) Base RI'!A112</f>
        <v>5581</v>
      </c>
      <c r="B111" s="479" t="str">
        <f>'A) Base RI'!B112</f>
        <v>Belmont-sur-Lausanne</v>
      </c>
      <c r="C111" s="10">
        <f>'B) D RI'!Y112</f>
        <v>1607027.65</v>
      </c>
      <c r="D111" s="423">
        <f>'B) D RI'!Z112</f>
        <v>9474.2999999999993</v>
      </c>
      <c r="E111" s="10">
        <f t="shared" si="4"/>
        <v>1616501.95</v>
      </c>
      <c r="F111" s="423">
        <f>'B) D RI'!U112</f>
        <v>215435.94296296299</v>
      </c>
      <c r="G111" s="261">
        <f t="shared" si="5"/>
        <v>7.5033995152698516</v>
      </c>
      <c r="H111" s="55">
        <f t="shared" si="6"/>
        <v>806356.11499999999</v>
      </c>
      <c r="I111" s="395">
        <f t="shared" si="7"/>
        <v>3.7429042893674711</v>
      </c>
    </row>
    <row r="112" spans="1:9" x14ac:dyDescent="0.25">
      <c r="A112" s="49">
        <f>'A) Base RI'!A113</f>
        <v>5582</v>
      </c>
      <c r="B112" s="479" t="str">
        <f>'A) Base RI'!B113</f>
        <v>Cheseaux-sur-Lausanne</v>
      </c>
      <c r="C112" s="10">
        <f>'B) D RI'!Y113</f>
        <v>1782041.35</v>
      </c>
      <c r="D112" s="423">
        <f>'B) D RI'!Z113</f>
        <v>449844.65</v>
      </c>
      <c r="E112" s="10">
        <f t="shared" si="4"/>
        <v>2231886</v>
      </c>
      <c r="F112" s="423">
        <f>'B) D RI'!U113</f>
        <v>167506.84698630136</v>
      </c>
      <c r="G112" s="261">
        <f t="shared" si="5"/>
        <v>13.324147879056685</v>
      </c>
      <c r="H112" s="55">
        <f t="shared" si="6"/>
        <v>1025974.0700000001</v>
      </c>
      <c r="I112" s="395">
        <f t="shared" si="7"/>
        <v>6.1249679547959239</v>
      </c>
    </row>
    <row r="113" spans="1:9" x14ac:dyDescent="0.25">
      <c r="A113" s="49">
        <f>'A) Base RI'!A114</f>
        <v>5583</v>
      </c>
      <c r="B113" s="479" t="str">
        <f>'A) Base RI'!B114</f>
        <v>Crissier</v>
      </c>
      <c r="C113" s="10">
        <f>'B) D RI'!Y114</f>
        <v>2911979.9000000004</v>
      </c>
      <c r="D113" s="423">
        <f>'B) D RI'!Z114</f>
        <v>2173154.15</v>
      </c>
      <c r="E113" s="10">
        <f t="shared" si="4"/>
        <v>5085134.0500000007</v>
      </c>
      <c r="F113" s="423">
        <f>'B) D RI'!U114</f>
        <v>337550.36173228343</v>
      </c>
      <c r="G113" s="261">
        <f t="shared" si="5"/>
        <v>15.064815880816925</v>
      </c>
      <c r="H113" s="55">
        <f t="shared" si="6"/>
        <v>2107936.1950000003</v>
      </c>
      <c r="I113" s="395">
        <f t="shared" si="7"/>
        <v>6.2448050245961166</v>
      </c>
    </row>
    <row r="114" spans="1:9" x14ac:dyDescent="0.25">
      <c r="A114" s="49">
        <f>'A) Base RI'!A115</f>
        <v>5584</v>
      </c>
      <c r="B114" s="479" t="str">
        <f>'A) Base RI'!B115</f>
        <v>Epalinges</v>
      </c>
      <c r="C114" s="10">
        <f>'B) D RI'!Y115</f>
        <v>3582581.05</v>
      </c>
      <c r="D114" s="423">
        <f>'B) D RI'!Z115</f>
        <v>293562.8</v>
      </c>
      <c r="E114" s="10">
        <f t="shared" si="4"/>
        <v>3876143.8499999996</v>
      </c>
      <c r="F114" s="423">
        <f>'B) D RI'!U115</f>
        <v>516766.84201550385</v>
      </c>
      <c r="G114" s="261">
        <f t="shared" si="5"/>
        <v>7.5007595976595356</v>
      </c>
      <c r="H114" s="55">
        <f t="shared" si="6"/>
        <v>1879359.365</v>
      </c>
      <c r="I114" s="395">
        <f t="shared" si="7"/>
        <v>3.6367646145214869</v>
      </c>
    </row>
    <row r="115" spans="1:9" x14ac:dyDescent="0.25">
      <c r="A115" s="49">
        <f>'A) Base RI'!A116</f>
        <v>5585</v>
      </c>
      <c r="B115" s="479" t="str">
        <f>'A) Base RI'!B116</f>
        <v>Jouxtens-Mézery</v>
      </c>
      <c r="C115" s="10">
        <f>'B) D RI'!Y116</f>
        <v>884837.95</v>
      </c>
      <c r="D115" s="423">
        <f>'B) D RI'!Z116</f>
        <v>1366.85</v>
      </c>
      <c r="E115" s="10">
        <f t="shared" si="4"/>
        <v>886204.79999999993</v>
      </c>
      <c r="F115" s="423">
        <f>'B) D RI'!U116</f>
        <v>191744.87050847456</v>
      </c>
      <c r="G115" s="261">
        <f t="shared" si="5"/>
        <v>4.6217914338461128</v>
      </c>
      <c r="H115" s="55">
        <f t="shared" si="6"/>
        <v>442829.02999999997</v>
      </c>
      <c r="I115" s="395">
        <f t="shared" si="7"/>
        <v>2.3094700203749556</v>
      </c>
    </row>
    <row r="116" spans="1:9" x14ac:dyDescent="0.25">
      <c r="A116" s="49">
        <f>'A) Base RI'!A117</f>
        <v>5586</v>
      </c>
      <c r="B116" s="479" t="str">
        <f>'A) Base RI'!B117</f>
        <v>Lausanne</v>
      </c>
      <c r="C116" s="10">
        <f>'B) D RI'!Y117</f>
        <v>48303665.300000004</v>
      </c>
      <c r="D116" s="423">
        <f>'B) D RI'!Z117</f>
        <v>13203708.65</v>
      </c>
      <c r="E116" s="10">
        <f t="shared" si="4"/>
        <v>61507373.950000003</v>
      </c>
      <c r="F116" s="423">
        <f>'B) D RI'!U117</f>
        <v>6461491.7137154993</v>
      </c>
      <c r="G116" s="261">
        <f t="shared" si="5"/>
        <v>9.5190672177821174</v>
      </c>
      <c r="H116" s="55">
        <f t="shared" si="6"/>
        <v>28112945.245000001</v>
      </c>
      <c r="I116" s="395">
        <f t="shared" si="7"/>
        <v>4.3508444319948589</v>
      </c>
    </row>
    <row r="117" spans="1:9" x14ac:dyDescent="0.25">
      <c r="A117" s="49">
        <f>'A) Base RI'!A118</f>
        <v>5587</v>
      </c>
      <c r="B117" s="479" t="str">
        <f>'A) Base RI'!B118</f>
        <v>Le Mont-sur-Lausanne</v>
      </c>
      <c r="C117" s="10">
        <f>'B) D RI'!Y118</f>
        <v>4931898.25</v>
      </c>
      <c r="D117" s="423">
        <f>'B) D RI'!Z118</f>
        <v>766350.2</v>
      </c>
      <c r="E117" s="10">
        <f t="shared" si="4"/>
        <v>5698248.4500000002</v>
      </c>
      <c r="F117" s="423">
        <f>'B) D RI'!U118</f>
        <v>495058.05378684809</v>
      </c>
      <c r="G117" s="261">
        <f t="shared" si="5"/>
        <v>11.510263102301604</v>
      </c>
      <c r="H117" s="55">
        <f t="shared" si="6"/>
        <v>2695854.1850000001</v>
      </c>
      <c r="I117" s="395">
        <f t="shared" si="7"/>
        <v>5.4455314167269879</v>
      </c>
    </row>
    <row r="118" spans="1:9" x14ac:dyDescent="0.25">
      <c r="A118" s="49">
        <f>'A) Base RI'!A119</f>
        <v>5588</v>
      </c>
      <c r="B118" s="479" t="str">
        <f>'A) Base RI'!B119</f>
        <v>Paudex</v>
      </c>
      <c r="C118" s="10">
        <f>'B) D RI'!Y119</f>
        <v>374922.19999999995</v>
      </c>
      <c r="D118" s="423">
        <f>'B) D RI'!Z119</f>
        <v>24260.799999999999</v>
      </c>
      <c r="E118" s="10">
        <f t="shared" si="4"/>
        <v>399182.99999999994</v>
      </c>
      <c r="F118" s="423">
        <f>'B) D RI'!U119</f>
        <v>215756.29785177234</v>
      </c>
      <c r="G118" s="261">
        <f t="shared" si="5"/>
        <v>1.8501568852198436</v>
      </c>
      <c r="H118" s="55">
        <f t="shared" si="6"/>
        <v>194739.33999999997</v>
      </c>
      <c r="I118" s="395">
        <f t="shared" si="7"/>
        <v>0.90258936558963709</v>
      </c>
    </row>
    <row r="119" spans="1:9" x14ac:dyDescent="0.25">
      <c r="A119" s="49">
        <f>'A) Base RI'!A120</f>
        <v>5589</v>
      </c>
      <c r="B119" s="479" t="str">
        <f>'A) Base RI'!B120</f>
        <v>Prilly</v>
      </c>
      <c r="C119" s="10">
        <f>'B) D RI'!Y120</f>
        <v>2539424.9000000004</v>
      </c>
      <c r="D119" s="423">
        <f>'B) D RI'!Z120</f>
        <v>1267619.8999999999</v>
      </c>
      <c r="E119" s="10">
        <f t="shared" si="4"/>
        <v>3807044.8000000003</v>
      </c>
      <c r="F119" s="423">
        <f>'B) D RI'!U120</f>
        <v>419549.81642440322</v>
      </c>
      <c r="G119" s="261">
        <f t="shared" si="5"/>
        <v>9.0741186170581347</v>
      </c>
      <c r="H119" s="55">
        <f t="shared" si="6"/>
        <v>1649998.4200000002</v>
      </c>
      <c r="I119" s="395">
        <f t="shared" si="7"/>
        <v>3.9327830817852494</v>
      </c>
    </row>
    <row r="120" spans="1:9" x14ac:dyDescent="0.25">
      <c r="A120" s="49">
        <f>'A) Base RI'!A121</f>
        <v>5590</v>
      </c>
      <c r="B120" s="479" t="str">
        <f>'A) Base RI'!B121</f>
        <v>Pully</v>
      </c>
      <c r="C120" s="10">
        <f>'B) D RI'!Y121</f>
        <v>9519537.1500000004</v>
      </c>
      <c r="D120" s="423">
        <f>'B) D RI'!Z121</f>
        <v>176020.55</v>
      </c>
      <c r="E120" s="10">
        <f t="shared" si="4"/>
        <v>9695557.7000000011</v>
      </c>
      <c r="F120" s="423">
        <f>'B) D RI'!U121</f>
        <v>1603030.9692740045</v>
      </c>
      <c r="G120" s="261">
        <f t="shared" si="5"/>
        <v>6.0482659947555568</v>
      </c>
      <c r="H120" s="55">
        <f t="shared" si="6"/>
        <v>4812574.74</v>
      </c>
      <c r="I120" s="395">
        <f t="shared" si="7"/>
        <v>3.0021720305126505</v>
      </c>
    </row>
    <row r="121" spans="1:9" x14ac:dyDescent="0.25">
      <c r="A121" s="49">
        <f>'A) Base RI'!A122</f>
        <v>5591</v>
      </c>
      <c r="B121" s="479" t="str">
        <f>'A) Base RI'!B122</f>
        <v>Renens</v>
      </c>
      <c r="C121" s="10">
        <f>'B) D RI'!Y122</f>
        <v>4932802.0999999996</v>
      </c>
      <c r="D121" s="423">
        <f>'B) D RI'!Z122</f>
        <v>2185480.2999999998</v>
      </c>
      <c r="E121" s="10">
        <f t="shared" si="4"/>
        <v>7118282.3999999994</v>
      </c>
      <c r="F121" s="423">
        <f>'B) D RI'!U122</f>
        <v>569784.47115027823</v>
      </c>
      <c r="G121" s="261">
        <f t="shared" si="5"/>
        <v>12.492938576633449</v>
      </c>
      <c r="H121" s="55">
        <f t="shared" si="6"/>
        <v>3122045.1399999997</v>
      </c>
      <c r="I121" s="395">
        <f t="shared" si="7"/>
        <v>5.4793440293260884</v>
      </c>
    </row>
    <row r="122" spans="1:9" x14ac:dyDescent="0.25">
      <c r="A122" s="49">
        <f>'A) Base RI'!A123</f>
        <v>5592</v>
      </c>
      <c r="B122" s="479" t="str">
        <f>'A) Base RI'!B123</f>
        <v>Romanel-sur-Lausanne</v>
      </c>
      <c r="C122" s="10">
        <f>'B) D RI'!Y123</f>
        <v>1588316.4</v>
      </c>
      <c r="D122" s="423">
        <f>'B) D RI'!Z123</f>
        <v>243903.85</v>
      </c>
      <c r="E122" s="10">
        <f t="shared" si="4"/>
        <v>1832220.25</v>
      </c>
      <c r="F122" s="423">
        <f>'B) D RI'!U123</f>
        <v>121086.56368794327</v>
      </c>
      <c r="G122" s="261">
        <f t="shared" si="5"/>
        <v>15.131491011024837</v>
      </c>
      <c r="H122" s="55">
        <f t="shared" si="6"/>
        <v>867329.35499999998</v>
      </c>
      <c r="I122" s="395">
        <f t="shared" si="7"/>
        <v>7.1628868520476559</v>
      </c>
    </row>
    <row r="123" spans="1:9" x14ac:dyDescent="0.25">
      <c r="A123" s="49">
        <f>'A) Base RI'!A124</f>
        <v>5601</v>
      </c>
      <c r="B123" s="479" t="str">
        <f>'A) Base RI'!B124</f>
        <v>Chexbres</v>
      </c>
      <c r="C123" s="10">
        <f>'B) D RI'!Y124</f>
        <v>534061.6</v>
      </c>
      <c r="D123" s="423">
        <f>'B) D RI'!Z124</f>
        <v>52235.25</v>
      </c>
      <c r="E123" s="10">
        <f t="shared" si="4"/>
        <v>586296.85</v>
      </c>
      <c r="F123" s="423">
        <f>'B) D RI'!U124</f>
        <v>105973.06044444445</v>
      </c>
      <c r="G123" s="261">
        <f t="shared" si="5"/>
        <v>5.5325084275296694</v>
      </c>
      <c r="H123" s="55">
        <f t="shared" si="6"/>
        <v>282701.375</v>
      </c>
      <c r="I123" s="395">
        <f t="shared" si="7"/>
        <v>2.6676720839651886</v>
      </c>
    </row>
    <row r="124" spans="1:9" x14ac:dyDescent="0.25">
      <c r="A124" s="49">
        <f>'A) Base RI'!A125</f>
        <v>5604</v>
      </c>
      <c r="B124" s="479" t="str">
        <f>'A) Base RI'!B125</f>
        <v>Forel (Lavaux)</v>
      </c>
      <c r="C124" s="10">
        <f>'B) D RI'!Y125</f>
        <v>382904</v>
      </c>
      <c r="D124" s="423">
        <f>'B) D RI'!Z125</f>
        <v>112458.65</v>
      </c>
      <c r="E124" s="10">
        <f t="shared" si="4"/>
        <v>495362.65</v>
      </c>
      <c r="F124" s="423">
        <f>'B) D RI'!U125</f>
        <v>75818.919130434777</v>
      </c>
      <c r="G124" s="261">
        <f t="shared" si="5"/>
        <v>6.5334965953260937</v>
      </c>
      <c r="H124" s="55">
        <f t="shared" si="6"/>
        <v>225189.595</v>
      </c>
      <c r="I124" s="395">
        <f t="shared" si="7"/>
        <v>2.9700976693244066</v>
      </c>
    </row>
    <row r="125" spans="1:9" x14ac:dyDescent="0.25">
      <c r="A125" s="49">
        <f>'A) Base RI'!A126</f>
        <v>5606</v>
      </c>
      <c r="B125" s="479" t="str">
        <f>'A) Base RI'!B126</f>
        <v>Lutry</v>
      </c>
      <c r="C125" s="10">
        <f>'B) D RI'!Y126</f>
        <v>11977064.85</v>
      </c>
      <c r="D125" s="423">
        <f>'B) D RI'!Z126</f>
        <v>86204.6</v>
      </c>
      <c r="E125" s="10">
        <f t="shared" si="4"/>
        <v>12063269.449999999</v>
      </c>
      <c r="F125" s="423">
        <f>'B) D RI'!U126</f>
        <v>941137.19529100519</v>
      </c>
      <c r="G125" s="261">
        <f t="shared" si="5"/>
        <v>12.817758675736926</v>
      </c>
      <c r="H125" s="55">
        <f t="shared" si="6"/>
        <v>6014393.8049999997</v>
      </c>
      <c r="I125" s="395">
        <f t="shared" si="7"/>
        <v>6.3905600959064355</v>
      </c>
    </row>
    <row r="126" spans="1:9" x14ac:dyDescent="0.25">
      <c r="A126" s="49">
        <f>'A) Base RI'!A127</f>
        <v>5607</v>
      </c>
      <c r="B126" s="479" t="str">
        <f>'A) Base RI'!B127</f>
        <v>Puidoux</v>
      </c>
      <c r="C126" s="10">
        <f>'B) D RI'!Y127</f>
        <v>915371.9</v>
      </c>
      <c r="D126" s="423">
        <f>'B) D RI'!Z127</f>
        <v>335399.25</v>
      </c>
      <c r="E126" s="10">
        <f t="shared" si="4"/>
        <v>1250771.1499999999</v>
      </c>
      <c r="F126" s="423">
        <f>'B) D RI'!U127</f>
        <v>111580.38136464616</v>
      </c>
      <c r="G126" s="261">
        <f t="shared" si="5"/>
        <v>11.209597374582035</v>
      </c>
      <c r="H126" s="55">
        <f t="shared" si="6"/>
        <v>558305.72499999998</v>
      </c>
      <c r="I126" s="395">
        <f t="shared" si="7"/>
        <v>5.0036190786572909</v>
      </c>
    </row>
    <row r="127" spans="1:9" x14ac:dyDescent="0.25">
      <c r="A127" s="49">
        <f>'A) Base RI'!A128</f>
        <v>5609</v>
      </c>
      <c r="B127" s="479" t="str">
        <f>'A) Base RI'!B128</f>
        <v>Rivaz</v>
      </c>
      <c r="C127" s="10">
        <f>'B) D RI'!Y128</f>
        <v>38049.9</v>
      </c>
      <c r="D127" s="423">
        <f>'B) D RI'!Z128</f>
        <v>0</v>
      </c>
      <c r="E127" s="10">
        <f t="shared" si="4"/>
        <v>38049.9</v>
      </c>
      <c r="F127" s="423">
        <f>'B) D RI'!U128</f>
        <v>14896.510161290325</v>
      </c>
      <c r="G127" s="261">
        <f t="shared" si="5"/>
        <v>2.5542828211452813</v>
      </c>
      <c r="H127" s="55">
        <f t="shared" si="6"/>
        <v>19024.95</v>
      </c>
      <c r="I127" s="395">
        <f t="shared" si="7"/>
        <v>1.2771414105726406</v>
      </c>
    </row>
    <row r="128" spans="1:9" x14ac:dyDescent="0.25">
      <c r="A128" s="49">
        <f>'A) Base RI'!A129</f>
        <v>5610</v>
      </c>
      <c r="B128" s="479" t="str">
        <f>'A) Base RI'!B129</f>
        <v>St-Saphorin (Lavaux)</v>
      </c>
      <c r="C128" s="10">
        <f>'B) D RI'!Y129</f>
        <v>579644.80000000005</v>
      </c>
      <c r="D128" s="423">
        <f>'B) D RI'!Z129</f>
        <v>0</v>
      </c>
      <c r="E128" s="10">
        <f t="shared" si="4"/>
        <v>579644.80000000005</v>
      </c>
      <c r="F128" s="423">
        <f>'B) D RI'!U129</f>
        <v>23448.462152777778</v>
      </c>
      <c r="G128" s="261">
        <f t="shared" si="5"/>
        <v>24.719949488514047</v>
      </c>
      <c r="H128" s="55">
        <f t="shared" si="6"/>
        <v>289822.40000000002</v>
      </c>
      <c r="I128" s="395">
        <f t="shared" si="7"/>
        <v>12.359974744257023</v>
      </c>
    </row>
    <row r="129" spans="1:9" x14ac:dyDescent="0.25">
      <c r="A129" s="49">
        <f>'A) Base RI'!A130</f>
        <v>5611</v>
      </c>
      <c r="B129" s="479" t="str">
        <f>'A) Base RI'!B130</f>
        <v>Savigny</v>
      </c>
      <c r="C129" s="10">
        <f>'B) D RI'!Y130</f>
        <v>818568.2</v>
      </c>
      <c r="D129" s="423">
        <f>'B) D RI'!Z130</f>
        <v>118228.5</v>
      </c>
      <c r="E129" s="10">
        <f t="shared" si="4"/>
        <v>936796.7</v>
      </c>
      <c r="F129" s="423">
        <f>'B) D RI'!U130</f>
        <v>140983.13330917869</v>
      </c>
      <c r="G129" s="261">
        <f t="shared" si="5"/>
        <v>6.6447430838807291</v>
      </c>
      <c r="H129" s="55">
        <f t="shared" si="6"/>
        <v>444752.64999999997</v>
      </c>
      <c r="I129" s="395">
        <f t="shared" si="7"/>
        <v>3.1546514789442859</v>
      </c>
    </row>
    <row r="130" spans="1:9" x14ac:dyDescent="0.25">
      <c r="A130" s="49">
        <f>'A) Base RI'!A131</f>
        <v>5613</v>
      </c>
      <c r="B130" s="479" t="str">
        <f>'A) Base RI'!B131</f>
        <v>Bourg-en-Lavaux</v>
      </c>
      <c r="C130" s="10">
        <f>'B) D RI'!Y131</f>
        <v>2028798.1</v>
      </c>
      <c r="D130" s="423">
        <f>'B) D RI'!Z131</f>
        <v>21021.599999999999</v>
      </c>
      <c r="E130" s="10">
        <f t="shared" si="4"/>
        <v>2049819.7000000002</v>
      </c>
      <c r="F130" s="423">
        <f>'B) D RI'!U131</f>
        <v>357210.57141333341</v>
      </c>
      <c r="G130" s="261">
        <f t="shared" si="5"/>
        <v>5.7384071582476341</v>
      </c>
      <c r="H130" s="55">
        <f t="shared" si="6"/>
        <v>1020705.53</v>
      </c>
      <c r="I130" s="395">
        <f t="shared" si="7"/>
        <v>2.8574337146896114</v>
      </c>
    </row>
    <row r="131" spans="1:9" x14ac:dyDescent="0.25">
      <c r="A131" s="49">
        <f>'A) Base RI'!A132</f>
        <v>5621</v>
      </c>
      <c r="B131" s="479" t="str">
        <f>'A) Base RI'!B132</f>
        <v>Aclens</v>
      </c>
      <c r="C131" s="10">
        <f>'B) D RI'!Y132</f>
        <v>294239.45</v>
      </c>
      <c r="D131" s="423">
        <f>'B) D RI'!Z132</f>
        <v>227041.5</v>
      </c>
      <c r="E131" s="10">
        <f t="shared" si="4"/>
        <v>521280.95</v>
      </c>
      <c r="F131" s="423">
        <f>'B) D RI'!U132</f>
        <v>32271.293782991204</v>
      </c>
      <c r="G131" s="261">
        <f t="shared" si="5"/>
        <v>16.153084952384045</v>
      </c>
      <c r="H131" s="55">
        <f t="shared" si="6"/>
        <v>215232.17499999999</v>
      </c>
      <c r="I131" s="395">
        <f t="shared" si="7"/>
        <v>6.6694622300342825</v>
      </c>
    </row>
    <row r="132" spans="1:9" x14ac:dyDescent="0.25">
      <c r="A132" s="49">
        <f>'A) Base RI'!A133</f>
        <v>5622</v>
      </c>
      <c r="B132" s="479" t="str">
        <f>'A) Base RI'!B133</f>
        <v>Bremblens</v>
      </c>
      <c r="C132" s="10">
        <f>'B) D RI'!Y133</f>
        <v>209227.95</v>
      </c>
      <c r="D132" s="423">
        <f>'B) D RI'!Z133</f>
        <v>30722.9</v>
      </c>
      <c r="E132" s="10">
        <f t="shared" si="4"/>
        <v>239950.85</v>
      </c>
      <c r="F132" s="423">
        <f>'B) D RI'!U133</f>
        <v>28643.938676470589</v>
      </c>
      <c r="G132" s="261">
        <f t="shared" si="5"/>
        <v>8.3770200987445325</v>
      </c>
      <c r="H132" s="55">
        <f t="shared" si="6"/>
        <v>113830.845</v>
      </c>
      <c r="I132" s="395">
        <f t="shared" si="7"/>
        <v>3.9739941593125159</v>
      </c>
    </row>
    <row r="133" spans="1:9" x14ac:dyDescent="0.25">
      <c r="A133" s="49">
        <f>'A) Base RI'!A134</f>
        <v>5623</v>
      </c>
      <c r="B133" s="479" t="str">
        <f>'A) Base RI'!B134</f>
        <v>Buchillon</v>
      </c>
      <c r="C133" s="10">
        <f>'B) D RI'!Y134</f>
        <v>224463.6</v>
      </c>
      <c r="D133" s="423">
        <f>'B) D RI'!Z134</f>
        <v>1734.05</v>
      </c>
      <c r="E133" s="10">
        <f t="shared" si="4"/>
        <v>226197.65</v>
      </c>
      <c r="F133" s="423">
        <f>'B) D RI'!U134</f>
        <v>89231.951153846152</v>
      </c>
      <c r="G133" s="261">
        <f t="shared" si="5"/>
        <v>2.5349400867634198</v>
      </c>
      <c r="H133" s="55">
        <f t="shared" si="6"/>
        <v>112752.015</v>
      </c>
      <c r="I133" s="395">
        <f t="shared" si="7"/>
        <v>1.2635834310694669</v>
      </c>
    </row>
    <row r="134" spans="1:9" x14ac:dyDescent="0.25">
      <c r="A134" s="49">
        <f>'A) Base RI'!A135</f>
        <v>5624</v>
      </c>
      <c r="B134" s="479" t="str">
        <f>'A) Base RI'!B135</f>
        <v>Bussigny</v>
      </c>
      <c r="C134" s="10">
        <f>'B) D RI'!Y135</f>
        <v>3759834.5</v>
      </c>
      <c r="D134" s="423">
        <f>'B) D RI'!Z135</f>
        <v>1445680.75</v>
      </c>
      <c r="E134" s="10">
        <f t="shared" si="4"/>
        <v>5205515.25</v>
      </c>
      <c r="F134" s="423">
        <f>'B) D RI'!U135</f>
        <v>441979.60352000006</v>
      </c>
      <c r="G134" s="261">
        <f t="shared" si="5"/>
        <v>11.777727317148573</v>
      </c>
      <c r="H134" s="55">
        <f t="shared" si="6"/>
        <v>2313621.4750000001</v>
      </c>
      <c r="I134" s="395">
        <f t="shared" si="7"/>
        <v>5.2346792851387907</v>
      </c>
    </row>
    <row r="135" spans="1:9" x14ac:dyDescent="0.25">
      <c r="A135" s="49">
        <f>'A) Base RI'!A136</f>
        <v>5625</v>
      </c>
      <c r="B135" s="479" t="str">
        <f>'A) Base RI'!B136</f>
        <v>Bussy-Chardonney</v>
      </c>
      <c r="C135" s="10">
        <f>'B) D RI'!Y136</f>
        <v>25244.050000000003</v>
      </c>
      <c r="D135" s="423">
        <f>'B) D RI'!Z136</f>
        <v>0</v>
      </c>
      <c r="E135" s="10">
        <f t="shared" ref="E135:E198" si="8">C135+D135</f>
        <v>25244.050000000003</v>
      </c>
      <c r="F135" s="423">
        <f>'B) D RI'!U136</f>
        <v>21108.495740740738</v>
      </c>
      <c r="G135" s="261">
        <f t="shared" ref="G135:G198" si="9">E135/F135</f>
        <v>1.1959189470463962</v>
      </c>
      <c r="H135" s="55">
        <f t="shared" ref="H135:H198" si="10">(C135*$C$5)+(D135*$D$5)</f>
        <v>12622.025000000001</v>
      </c>
      <c r="I135" s="395">
        <f t="shared" ref="I135:I198" si="11">H135/F135</f>
        <v>0.59795947352319812</v>
      </c>
    </row>
    <row r="136" spans="1:9" x14ac:dyDescent="0.25">
      <c r="A136" s="49">
        <f>'A) Base RI'!A137</f>
        <v>5627</v>
      </c>
      <c r="B136" s="479" t="str">
        <f>'A) Base RI'!B137</f>
        <v>Chavannes-près-Renens</v>
      </c>
      <c r="C136" s="10">
        <f>'B) D RI'!Y137</f>
        <v>1861825.15</v>
      </c>
      <c r="D136" s="423">
        <f>'B) D RI'!Z137</f>
        <v>446341</v>
      </c>
      <c r="E136" s="10">
        <f t="shared" si="8"/>
        <v>2308166.15</v>
      </c>
      <c r="F136" s="423">
        <f>'B) D RI'!U137</f>
        <v>194072.91458064516</v>
      </c>
      <c r="G136" s="261">
        <f t="shared" si="9"/>
        <v>11.893293584978153</v>
      </c>
      <c r="H136" s="55">
        <f t="shared" si="10"/>
        <v>1064814.875</v>
      </c>
      <c r="I136" s="395">
        <f t="shared" si="11"/>
        <v>5.4866743115641015</v>
      </c>
    </row>
    <row r="137" spans="1:9" x14ac:dyDescent="0.25">
      <c r="A137" s="49">
        <f>'A) Base RI'!A138</f>
        <v>5628</v>
      </c>
      <c r="B137" s="479" t="str">
        <f>'A) Base RI'!B138</f>
        <v>Chigny</v>
      </c>
      <c r="C137" s="10">
        <f>'B) D RI'!Y138</f>
        <v>52789.95</v>
      </c>
      <c r="D137" s="423">
        <f>'B) D RI'!Z138</f>
        <v>2656.6</v>
      </c>
      <c r="E137" s="10">
        <f t="shared" si="8"/>
        <v>55446.549999999996</v>
      </c>
      <c r="F137" s="423">
        <f>'B) D RI'!U138</f>
        <v>25790.901129032256</v>
      </c>
      <c r="G137" s="261">
        <f t="shared" si="9"/>
        <v>2.1498492713612483</v>
      </c>
      <c r="H137" s="55">
        <f t="shared" si="10"/>
        <v>27191.954999999998</v>
      </c>
      <c r="I137" s="395">
        <f t="shared" si="11"/>
        <v>1.0543235718658395</v>
      </c>
    </row>
    <row r="138" spans="1:9" x14ac:dyDescent="0.25">
      <c r="A138" s="49">
        <f>'A) Base RI'!A139</f>
        <v>5629</v>
      </c>
      <c r="B138" s="479" t="str">
        <f>'A) Base RI'!B139</f>
        <v>Clarmont</v>
      </c>
      <c r="C138" s="10">
        <f>'B) D RI'!Y139</f>
        <v>27072.050000000003</v>
      </c>
      <c r="D138" s="423">
        <f>'B) D RI'!Z139</f>
        <v>0</v>
      </c>
      <c r="E138" s="10">
        <f t="shared" si="8"/>
        <v>27072.050000000003</v>
      </c>
      <c r="F138" s="423">
        <f>'B) D RI'!U139</f>
        <v>9948.0614965986406</v>
      </c>
      <c r="G138" s="261">
        <f t="shared" si="9"/>
        <v>2.7213392286784974</v>
      </c>
      <c r="H138" s="55">
        <f t="shared" si="10"/>
        <v>13536.025000000001</v>
      </c>
      <c r="I138" s="395">
        <f t="shared" si="11"/>
        <v>1.3606696143392487</v>
      </c>
    </row>
    <row r="139" spans="1:9" x14ac:dyDescent="0.25">
      <c r="A139" s="49">
        <f>'A) Base RI'!A140</f>
        <v>5631</v>
      </c>
      <c r="B139" s="479" t="str">
        <f>'A) Base RI'!B140</f>
        <v>Denens</v>
      </c>
      <c r="C139" s="10">
        <f>'B) D RI'!Y140</f>
        <v>539717.15</v>
      </c>
      <c r="D139" s="423">
        <f>'B) D RI'!Z140</f>
        <v>1887.85</v>
      </c>
      <c r="E139" s="10">
        <f t="shared" si="8"/>
        <v>541605</v>
      </c>
      <c r="F139" s="423">
        <f>'B) D RI'!U140</f>
        <v>43290.229264705871</v>
      </c>
      <c r="G139" s="261">
        <f t="shared" si="9"/>
        <v>12.511021752466569</v>
      </c>
      <c r="H139" s="55">
        <f t="shared" si="10"/>
        <v>270424.93</v>
      </c>
      <c r="I139" s="395">
        <f t="shared" si="11"/>
        <v>6.2467890467023919</v>
      </c>
    </row>
    <row r="140" spans="1:9" x14ac:dyDescent="0.25">
      <c r="A140" s="49">
        <f>'A) Base RI'!A141</f>
        <v>5632</v>
      </c>
      <c r="B140" s="479" t="str">
        <f>'A) Base RI'!B141</f>
        <v>Denges</v>
      </c>
      <c r="C140" s="10">
        <f>'B) D RI'!Y141</f>
        <v>413391.75</v>
      </c>
      <c r="D140" s="423">
        <f>'B) D RI'!Z141</f>
        <v>105185.35</v>
      </c>
      <c r="E140" s="10">
        <f t="shared" si="8"/>
        <v>518577.1</v>
      </c>
      <c r="F140" s="423">
        <f>'B) D RI'!U141</f>
        <v>80521.21435483871</v>
      </c>
      <c r="G140" s="261">
        <f t="shared" si="9"/>
        <v>6.4402543373818038</v>
      </c>
      <c r="H140" s="55">
        <f t="shared" si="10"/>
        <v>238251.48</v>
      </c>
      <c r="I140" s="395">
        <f t="shared" si="11"/>
        <v>2.9588659573622405</v>
      </c>
    </row>
    <row r="141" spans="1:9" x14ac:dyDescent="0.25">
      <c r="A141" s="49">
        <f>'A) Base RI'!A142</f>
        <v>5633</v>
      </c>
      <c r="B141" s="479" t="str">
        <f>'A) Base RI'!B142</f>
        <v>Echandens</v>
      </c>
      <c r="C141" s="10">
        <f>'B) D RI'!Y142</f>
        <v>573542.94999999995</v>
      </c>
      <c r="D141" s="423">
        <f>'B) D RI'!Z142</f>
        <v>127028.65</v>
      </c>
      <c r="E141" s="10">
        <f t="shared" si="8"/>
        <v>700571.6</v>
      </c>
      <c r="F141" s="423">
        <f>'B) D RI'!U142</f>
        <v>168845.50793388431</v>
      </c>
      <c r="G141" s="261">
        <f t="shared" si="9"/>
        <v>4.1491870797908721</v>
      </c>
      <c r="H141" s="55">
        <f t="shared" si="10"/>
        <v>324880.06999999995</v>
      </c>
      <c r="I141" s="395">
        <f t="shared" si="11"/>
        <v>1.9241262262494712</v>
      </c>
    </row>
    <row r="142" spans="1:9" x14ac:dyDescent="0.25">
      <c r="A142" s="49">
        <f>'A) Base RI'!A143</f>
        <v>5634</v>
      </c>
      <c r="B142" s="479" t="str">
        <f>'A) Base RI'!B143</f>
        <v>Echichens</v>
      </c>
      <c r="C142" s="10">
        <f>'B) D RI'!Y143</f>
        <v>1053468.75</v>
      </c>
      <c r="D142" s="423">
        <f>'B) D RI'!Z143</f>
        <v>49103.199999999997</v>
      </c>
      <c r="E142" s="10">
        <f t="shared" si="8"/>
        <v>1102571.95</v>
      </c>
      <c r="F142" s="423">
        <f>'B) D RI'!U143</f>
        <v>152568.89227272727</v>
      </c>
      <c r="G142" s="261">
        <f t="shared" si="9"/>
        <v>7.2267153125099552</v>
      </c>
      <c r="H142" s="55">
        <f t="shared" si="10"/>
        <v>541465.33499999996</v>
      </c>
      <c r="I142" s="395">
        <f t="shared" si="11"/>
        <v>3.548989095575878</v>
      </c>
    </row>
    <row r="143" spans="1:9" x14ac:dyDescent="0.25">
      <c r="A143" s="49">
        <f>'A) Base RI'!A144</f>
        <v>5635</v>
      </c>
      <c r="B143" s="479" t="str">
        <f>'A) Base RI'!B144</f>
        <v>Ecublens</v>
      </c>
      <c r="C143" s="10">
        <f>'B) D RI'!Y144</f>
        <v>3104417.9</v>
      </c>
      <c r="D143" s="423">
        <f>'B) D RI'!Z144</f>
        <v>1875328.15</v>
      </c>
      <c r="E143" s="10">
        <f t="shared" si="8"/>
        <v>4979746.05</v>
      </c>
      <c r="F143" s="423">
        <f>'B) D RI'!U144</f>
        <v>872367.07997333352</v>
      </c>
      <c r="G143" s="261">
        <f t="shared" si="9"/>
        <v>5.7083149563051148</v>
      </c>
      <c r="H143" s="55">
        <f t="shared" si="10"/>
        <v>2114807.395</v>
      </c>
      <c r="I143" s="395">
        <f t="shared" si="11"/>
        <v>2.4242173318422853</v>
      </c>
    </row>
    <row r="144" spans="1:9" x14ac:dyDescent="0.25">
      <c r="A144" s="49">
        <f>'A) Base RI'!A145</f>
        <v>5636</v>
      </c>
      <c r="B144" s="479" t="str">
        <f>'A) Base RI'!B145</f>
        <v>Etoy</v>
      </c>
      <c r="C144" s="10">
        <f>'B) D RI'!Y145</f>
        <v>1877253.6</v>
      </c>
      <c r="D144" s="423">
        <f>'B) D RI'!Z145</f>
        <v>570633.05000000005</v>
      </c>
      <c r="E144" s="10">
        <f t="shared" si="8"/>
        <v>2447886.6500000004</v>
      </c>
      <c r="F144" s="423">
        <f>'B) D RI'!U145</f>
        <v>187063.54000000004</v>
      </c>
      <c r="G144" s="261">
        <f t="shared" si="9"/>
        <v>13.085856549063489</v>
      </c>
      <c r="H144" s="55">
        <f t="shared" si="10"/>
        <v>1109816.7150000001</v>
      </c>
      <c r="I144" s="395">
        <f t="shared" si="11"/>
        <v>5.9328328492019331</v>
      </c>
    </row>
    <row r="145" spans="1:9" x14ac:dyDescent="0.25">
      <c r="A145" s="49">
        <f>'A) Base RI'!A146</f>
        <v>5637</v>
      </c>
      <c r="B145" s="479" t="str">
        <f>'A) Base RI'!B146</f>
        <v>Lavigny</v>
      </c>
      <c r="C145" s="10">
        <f>'B) D RI'!Y146</f>
        <v>348432.3</v>
      </c>
      <c r="D145" s="423">
        <f>'B) D RI'!Z146</f>
        <v>231727.1</v>
      </c>
      <c r="E145" s="10">
        <f t="shared" si="8"/>
        <v>580159.4</v>
      </c>
      <c r="F145" s="423">
        <f>'B) D RI'!U146</f>
        <v>37900.997397260275</v>
      </c>
      <c r="G145" s="261">
        <f t="shared" si="9"/>
        <v>15.307233050334913</v>
      </c>
      <c r="H145" s="55">
        <f t="shared" si="10"/>
        <v>243734.28</v>
      </c>
      <c r="I145" s="395">
        <f t="shared" si="11"/>
        <v>6.4308144043095465</v>
      </c>
    </row>
    <row r="146" spans="1:9" x14ac:dyDescent="0.25">
      <c r="A146" s="49">
        <f>'A) Base RI'!A147</f>
        <v>5638</v>
      </c>
      <c r="B146" s="479" t="str">
        <f>'A) Base RI'!B147</f>
        <v>Lonay</v>
      </c>
      <c r="C146" s="10">
        <f>'B) D RI'!Y147</f>
        <v>8258129.4500000002</v>
      </c>
      <c r="D146" s="423">
        <f>'B) D RI'!Z147</f>
        <v>319329.59999999998</v>
      </c>
      <c r="E146" s="10">
        <f t="shared" si="8"/>
        <v>8577459.0500000007</v>
      </c>
      <c r="F146" s="423">
        <f>'B) D RI'!U147</f>
        <v>174162.36418181815</v>
      </c>
      <c r="G146" s="261">
        <f t="shared" si="9"/>
        <v>49.249785338498825</v>
      </c>
      <c r="H146" s="55">
        <f t="shared" si="10"/>
        <v>4224863.6050000004</v>
      </c>
      <c r="I146" s="395">
        <f t="shared" si="11"/>
        <v>24.258189332968755</v>
      </c>
    </row>
    <row r="147" spans="1:9" x14ac:dyDescent="0.25">
      <c r="A147" s="49">
        <f>'A) Base RI'!A148</f>
        <v>5639</v>
      </c>
      <c r="B147" s="479" t="str">
        <f>'A) Base RI'!B148</f>
        <v>Lully</v>
      </c>
      <c r="C147" s="10">
        <f>'B) D RI'!Y148</f>
        <v>181064.1</v>
      </c>
      <c r="D147" s="423">
        <f>'B) D RI'!Z148</f>
        <v>20293.95</v>
      </c>
      <c r="E147" s="10">
        <f t="shared" si="8"/>
        <v>201358.05000000002</v>
      </c>
      <c r="F147" s="423">
        <f>'B) D RI'!U148</f>
        <v>53711.269344262299</v>
      </c>
      <c r="G147" s="261">
        <f t="shared" si="9"/>
        <v>3.7488976235023586</v>
      </c>
      <c r="H147" s="55">
        <f t="shared" si="10"/>
        <v>96620.235000000001</v>
      </c>
      <c r="I147" s="395">
        <f t="shared" si="11"/>
        <v>1.7988819884466472</v>
      </c>
    </row>
    <row r="148" spans="1:9" x14ac:dyDescent="0.25">
      <c r="A148" s="49">
        <f>'A) Base RI'!A149</f>
        <v>5640</v>
      </c>
      <c r="B148" s="479" t="str">
        <f>'A) Base RI'!B149</f>
        <v>Lussy-sur-Morges</v>
      </c>
      <c r="C148" s="10">
        <f>'B) D RI'!Y149</f>
        <v>737190.39999999991</v>
      </c>
      <c r="D148" s="423">
        <f>'B) D RI'!Z149</f>
        <v>20984.3</v>
      </c>
      <c r="E148" s="10">
        <f t="shared" si="8"/>
        <v>758174.7</v>
      </c>
      <c r="F148" s="423">
        <f>'B) D RI'!U149</f>
        <v>70527.814108527149</v>
      </c>
      <c r="G148" s="261">
        <f t="shared" si="9"/>
        <v>10.750009901530934</v>
      </c>
      <c r="H148" s="55">
        <f t="shared" si="10"/>
        <v>374890.48999999993</v>
      </c>
      <c r="I148" s="395">
        <f t="shared" si="11"/>
        <v>5.3154984985515652</v>
      </c>
    </row>
    <row r="149" spans="1:9" x14ac:dyDescent="0.25">
      <c r="A149" s="49">
        <f>'A) Base RI'!A150</f>
        <v>5642</v>
      </c>
      <c r="B149" s="479" t="str">
        <f>'A) Base RI'!B150</f>
        <v>Morges</v>
      </c>
      <c r="C149" s="10">
        <f>'B) D RI'!Y150</f>
        <v>5459169.9000000004</v>
      </c>
      <c r="D149" s="423">
        <f>'B) D RI'!Z150</f>
        <v>1327116.8999999999</v>
      </c>
      <c r="E149" s="10">
        <f t="shared" si="8"/>
        <v>6786286.8000000007</v>
      </c>
      <c r="F149" s="423">
        <f>'B) D RI'!U150</f>
        <v>999726.82119402988</v>
      </c>
      <c r="G149" s="261">
        <f t="shared" si="9"/>
        <v>6.7881411763012993</v>
      </c>
      <c r="H149" s="55">
        <f t="shared" si="10"/>
        <v>3127720.02</v>
      </c>
      <c r="I149" s="395">
        <f t="shared" si="11"/>
        <v>3.1285746802955514</v>
      </c>
    </row>
    <row r="150" spans="1:9" x14ac:dyDescent="0.25">
      <c r="A150" s="49">
        <f>'A) Base RI'!A151</f>
        <v>5643</v>
      </c>
      <c r="B150" s="479" t="str">
        <f>'A) Base RI'!B151</f>
        <v>Préverenges</v>
      </c>
      <c r="C150" s="10">
        <f>'B) D RI'!Y151</f>
        <v>881840.55</v>
      </c>
      <c r="D150" s="423">
        <f>'B) D RI'!Z151</f>
        <v>200612.9</v>
      </c>
      <c r="E150" s="10">
        <f t="shared" si="8"/>
        <v>1082453.45</v>
      </c>
      <c r="F150" s="423">
        <f>'B) D RI'!U151</f>
        <v>257752.82112000001</v>
      </c>
      <c r="G150" s="261">
        <f t="shared" si="9"/>
        <v>4.1995794470705343</v>
      </c>
      <c r="H150" s="55">
        <f t="shared" si="10"/>
        <v>501104.14500000002</v>
      </c>
      <c r="I150" s="395">
        <f t="shared" si="11"/>
        <v>1.9441267134248157</v>
      </c>
    </row>
    <row r="151" spans="1:9" x14ac:dyDescent="0.25">
      <c r="A151" s="49">
        <f>'A) Base RI'!A152</f>
        <v>5644</v>
      </c>
      <c r="B151" s="479" t="str">
        <f>'A) Base RI'!B152</f>
        <v>Reverolle</v>
      </c>
      <c r="C151" s="10">
        <f>'B) D RI'!Y152</f>
        <v>41556.35</v>
      </c>
      <c r="D151" s="423">
        <f>'B) D RI'!Z152</f>
        <v>2764.4</v>
      </c>
      <c r="E151" s="10">
        <f t="shared" si="8"/>
        <v>44320.75</v>
      </c>
      <c r="F151" s="423">
        <f>'B) D RI'!U152</f>
        <v>16363.457972972968</v>
      </c>
      <c r="G151" s="261">
        <f t="shared" si="9"/>
        <v>2.7085198051171857</v>
      </c>
      <c r="H151" s="55">
        <f t="shared" si="10"/>
        <v>21607.494999999999</v>
      </c>
      <c r="I151" s="395">
        <f t="shared" si="11"/>
        <v>1.3204724231081504</v>
      </c>
    </row>
    <row r="152" spans="1:9" x14ac:dyDescent="0.25">
      <c r="A152" s="49">
        <f>'A) Base RI'!A153</f>
        <v>5645</v>
      </c>
      <c r="B152" s="479" t="str">
        <f>'A) Base RI'!B153</f>
        <v>Romanel-sur-Morges</v>
      </c>
      <c r="C152" s="10">
        <f>'B) D RI'!Y153</f>
        <v>186692.1</v>
      </c>
      <c r="D152" s="423">
        <f>'B) D RI'!Z153</f>
        <v>66780.649999999994</v>
      </c>
      <c r="E152" s="10">
        <f t="shared" si="8"/>
        <v>253472.75</v>
      </c>
      <c r="F152" s="423">
        <f>'B) D RI'!U153</f>
        <v>26586.021785714285</v>
      </c>
      <c r="G152" s="261">
        <f t="shared" si="9"/>
        <v>9.5340608701449607</v>
      </c>
      <c r="H152" s="55">
        <f t="shared" si="10"/>
        <v>113380.245</v>
      </c>
      <c r="I152" s="395">
        <f t="shared" si="11"/>
        <v>4.2646562887014428</v>
      </c>
    </row>
    <row r="153" spans="1:9" x14ac:dyDescent="0.25">
      <c r="A153" s="49">
        <f>'A) Base RI'!A154</f>
        <v>5646</v>
      </c>
      <c r="B153" s="479" t="str">
        <f>'A) Base RI'!B154</f>
        <v>Saint-Prex</v>
      </c>
      <c r="C153" s="10">
        <f>'B) D RI'!Y154</f>
        <v>3440245.45</v>
      </c>
      <c r="D153" s="423">
        <f>'B) D RI'!Z154</f>
        <v>663063.1</v>
      </c>
      <c r="E153" s="10">
        <f t="shared" si="8"/>
        <v>4103308.5500000003</v>
      </c>
      <c r="F153" s="423">
        <f>'B) D RI'!U154</f>
        <v>527982.74983050849</v>
      </c>
      <c r="G153" s="261">
        <f t="shared" si="9"/>
        <v>7.7716716148723277</v>
      </c>
      <c r="H153" s="55">
        <f t="shared" si="10"/>
        <v>1919041.655</v>
      </c>
      <c r="I153" s="395">
        <f t="shared" si="11"/>
        <v>3.6346673364159061</v>
      </c>
    </row>
    <row r="154" spans="1:9" x14ac:dyDescent="0.25">
      <c r="A154" s="49">
        <f>'A) Base RI'!A155</f>
        <v>5648</v>
      </c>
      <c r="B154" s="479" t="str">
        <f>'A) Base RI'!B155</f>
        <v>Saint-Sulpice</v>
      </c>
      <c r="C154" s="10">
        <f>'B) D RI'!Y155</f>
        <v>2960808.3</v>
      </c>
      <c r="D154" s="423">
        <f>'B) D RI'!Z155</f>
        <v>75692.7</v>
      </c>
      <c r="E154" s="10">
        <f t="shared" si="8"/>
        <v>3036501</v>
      </c>
      <c r="F154" s="423">
        <f>'B) D RI'!U155</f>
        <v>394426.68886363629</v>
      </c>
      <c r="G154" s="261">
        <f t="shared" si="9"/>
        <v>7.6985180915325904</v>
      </c>
      <c r="H154" s="55">
        <f t="shared" si="10"/>
        <v>1503111.96</v>
      </c>
      <c r="I154" s="395">
        <f t="shared" si="11"/>
        <v>3.8108779208895407</v>
      </c>
    </row>
    <row r="155" spans="1:9" x14ac:dyDescent="0.25">
      <c r="A155" s="49">
        <f>'A) Base RI'!A156</f>
        <v>5649</v>
      </c>
      <c r="B155" s="479" t="str">
        <f>'A) Base RI'!B156</f>
        <v>Tolochenaz</v>
      </c>
      <c r="C155" s="10">
        <f>'B) D RI'!Y156</f>
        <v>518083.35</v>
      </c>
      <c r="D155" s="423">
        <f>'B) D RI'!Z156</f>
        <v>287080.5</v>
      </c>
      <c r="E155" s="10">
        <f t="shared" si="8"/>
        <v>805163.85</v>
      </c>
      <c r="F155" s="423">
        <f>'B) D RI'!U156</f>
        <v>155778.42171874997</v>
      </c>
      <c r="G155" s="261">
        <f t="shared" si="9"/>
        <v>5.1686481421264006</v>
      </c>
      <c r="H155" s="55">
        <f t="shared" si="10"/>
        <v>345165.82499999995</v>
      </c>
      <c r="I155" s="395">
        <f t="shared" si="11"/>
        <v>2.2157486331655054</v>
      </c>
    </row>
    <row r="156" spans="1:9" x14ac:dyDescent="0.25">
      <c r="A156" s="49">
        <f>'A) Base RI'!A157</f>
        <v>5650</v>
      </c>
      <c r="B156" s="479" t="str">
        <f>'A) Base RI'!B157</f>
        <v>Vaux-sur-Morges</v>
      </c>
      <c r="C156" s="10">
        <f>'B) D RI'!Y157</f>
        <v>1263782.3999999999</v>
      </c>
      <c r="D156" s="423">
        <f>'B) D RI'!Z157</f>
        <v>137.19999999999999</v>
      </c>
      <c r="E156" s="10">
        <f t="shared" si="8"/>
        <v>1263919.5999999999</v>
      </c>
      <c r="F156" s="423">
        <f>'B) D RI'!U157</f>
        <v>83125.71642857141</v>
      </c>
      <c r="G156" s="261">
        <f t="shared" si="9"/>
        <v>15.204916773091099</v>
      </c>
      <c r="H156" s="55">
        <f t="shared" si="10"/>
        <v>631932.36</v>
      </c>
      <c r="I156" s="395">
        <f t="shared" si="11"/>
        <v>7.6021282841274429</v>
      </c>
    </row>
    <row r="157" spans="1:9" x14ac:dyDescent="0.25">
      <c r="A157" s="49">
        <f>'A) Base RI'!A158</f>
        <v>5651</v>
      </c>
      <c r="B157" s="479" t="str">
        <f>'A) Base RI'!B158</f>
        <v>Villars-Sainte-Croix</v>
      </c>
      <c r="C157" s="10">
        <f>'B) D RI'!Y158</f>
        <v>184377.35</v>
      </c>
      <c r="D157" s="423">
        <f>'B) D RI'!Z158</f>
        <v>178489.65</v>
      </c>
      <c r="E157" s="10">
        <f t="shared" si="8"/>
        <v>362867</v>
      </c>
      <c r="F157" s="423">
        <f>'B) D RI'!U158</f>
        <v>57697.031735537188</v>
      </c>
      <c r="G157" s="261">
        <f t="shared" si="9"/>
        <v>6.2891796871501837</v>
      </c>
      <c r="H157" s="55">
        <f t="shared" si="10"/>
        <v>145735.57</v>
      </c>
      <c r="I157" s="395">
        <f t="shared" si="11"/>
        <v>2.5258763859465141</v>
      </c>
    </row>
    <row r="158" spans="1:9" x14ac:dyDescent="0.25">
      <c r="A158" s="49">
        <f>'A) Base RI'!A159</f>
        <v>5652</v>
      </c>
      <c r="B158" s="479" t="str">
        <f>'A) Base RI'!B159</f>
        <v>Villars-sous-Yens</v>
      </c>
      <c r="C158" s="10">
        <f>'B) D RI'!Y159</f>
        <v>60968.65</v>
      </c>
      <c r="D158" s="423">
        <f>'B) D RI'!Z159</f>
        <v>0</v>
      </c>
      <c r="E158" s="10">
        <f t="shared" si="8"/>
        <v>60968.65</v>
      </c>
      <c r="F158" s="423">
        <f>'B) D RI'!U159</f>
        <v>25902.630833333329</v>
      </c>
      <c r="G158" s="261">
        <f t="shared" si="9"/>
        <v>2.3537628433302324</v>
      </c>
      <c r="H158" s="55">
        <f t="shared" si="10"/>
        <v>30484.325000000001</v>
      </c>
      <c r="I158" s="395">
        <f t="shared" si="11"/>
        <v>1.1768814216651162</v>
      </c>
    </row>
    <row r="159" spans="1:9" x14ac:dyDescent="0.25">
      <c r="A159" s="49">
        <f>'A) Base RI'!A160</f>
        <v>5653</v>
      </c>
      <c r="B159" s="479" t="str">
        <f>'A) Base RI'!B160</f>
        <v>Vufflens-le-Château</v>
      </c>
      <c r="C159" s="10">
        <f>'B) D RI'!Y160</f>
        <v>330592.84999999998</v>
      </c>
      <c r="D159" s="423">
        <f>'B) D RI'!Z160</f>
        <v>4440.8999999999996</v>
      </c>
      <c r="E159" s="10">
        <f t="shared" si="8"/>
        <v>335033.75</v>
      </c>
      <c r="F159" s="423">
        <f>'B) D RI'!U160</f>
        <v>67687.367350427332</v>
      </c>
      <c r="G159" s="261">
        <f t="shared" si="9"/>
        <v>4.9497234582264316</v>
      </c>
      <c r="H159" s="55">
        <f t="shared" si="10"/>
        <v>166628.69499999998</v>
      </c>
      <c r="I159" s="395">
        <f t="shared" si="11"/>
        <v>2.46173993054478</v>
      </c>
    </row>
    <row r="160" spans="1:9" x14ac:dyDescent="0.25">
      <c r="A160" s="49">
        <f>'A) Base RI'!A161</f>
        <v>5654</v>
      </c>
      <c r="B160" s="479" t="str">
        <f>'A) Base RI'!B161</f>
        <v>Vullierens</v>
      </c>
      <c r="C160" s="10">
        <f>'B) D RI'!Y161</f>
        <v>169046.35</v>
      </c>
      <c r="D160" s="423">
        <f>'B) D RI'!Z161</f>
        <v>6542.3</v>
      </c>
      <c r="E160" s="10">
        <f t="shared" si="8"/>
        <v>175588.65</v>
      </c>
      <c r="F160" s="423">
        <f>'B) D RI'!U161</f>
        <v>20665.692500000001</v>
      </c>
      <c r="G160" s="261">
        <f t="shared" si="9"/>
        <v>8.4966255062587415</v>
      </c>
      <c r="H160" s="55">
        <f t="shared" si="10"/>
        <v>86485.865000000005</v>
      </c>
      <c r="I160" s="395">
        <f t="shared" si="11"/>
        <v>4.1849971879722876</v>
      </c>
    </row>
    <row r="161" spans="1:9" x14ac:dyDescent="0.25">
      <c r="A161" s="49">
        <f>'A) Base RI'!A162</f>
        <v>5655</v>
      </c>
      <c r="B161" s="479" t="str">
        <f>'A) Base RI'!B162</f>
        <v>Yens</v>
      </c>
      <c r="C161" s="10">
        <f>'B) D RI'!Y162</f>
        <v>109253.79999999999</v>
      </c>
      <c r="D161" s="423">
        <f>'B) D RI'!Z162</f>
        <v>80041.2</v>
      </c>
      <c r="E161" s="10">
        <f t="shared" si="8"/>
        <v>189295</v>
      </c>
      <c r="F161" s="423">
        <f>'B) D RI'!U162</f>
        <v>73454.856083916078</v>
      </c>
      <c r="G161" s="261">
        <f t="shared" si="9"/>
        <v>2.5770249931978109</v>
      </c>
      <c r="H161" s="55">
        <f t="shared" si="10"/>
        <v>78639.259999999995</v>
      </c>
      <c r="I161" s="395">
        <f t="shared" si="11"/>
        <v>1.070579457812308</v>
      </c>
    </row>
    <row r="162" spans="1:9" x14ac:dyDescent="0.25">
      <c r="A162" s="49">
        <f>'A) Base RI'!A163</f>
        <v>5661</v>
      </c>
      <c r="B162" s="479" t="str">
        <f>'A) Base RI'!B163</f>
        <v>Boulens</v>
      </c>
      <c r="C162" s="10">
        <f>'B) D RI'!Y163</f>
        <v>48158</v>
      </c>
      <c r="D162" s="423">
        <f>'B) D RI'!Z163</f>
        <v>18731.2</v>
      </c>
      <c r="E162" s="10">
        <f t="shared" si="8"/>
        <v>66889.2</v>
      </c>
      <c r="F162" s="423">
        <f>'B) D RI'!U163</f>
        <v>11226.588951048951</v>
      </c>
      <c r="G162" s="261">
        <f t="shared" si="9"/>
        <v>5.9581053774797947</v>
      </c>
      <c r="H162" s="55">
        <f t="shared" si="10"/>
        <v>29698.36</v>
      </c>
      <c r="I162" s="395">
        <f t="shared" si="11"/>
        <v>2.6453591673742674</v>
      </c>
    </row>
    <row r="163" spans="1:9" x14ac:dyDescent="0.25">
      <c r="A163" s="49">
        <f>'A) Base RI'!A164</f>
        <v>5663</v>
      </c>
      <c r="B163" s="479" t="str">
        <f>'A) Base RI'!B164</f>
        <v>Bussy-sur-Moudon</v>
      </c>
      <c r="C163" s="10">
        <f>'B) D RI'!Y164</f>
        <v>25224.350000000002</v>
      </c>
      <c r="D163" s="423">
        <f>'B) D RI'!Z164</f>
        <v>0</v>
      </c>
      <c r="E163" s="10">
        <f t="shared" si="8"/>
        <v>25224.350000000002</v>
      </c>
      <c r="F163" s="423">
        <f>'B) D RI'!U164</f>
        <v>5263.6754140127387</v>
      </c>
      <c r="G163" s="261">
        <f t="shared" si="9"/>
        <v>4.7921552937798522</v>
      </c>
      <c r="H163" s="55">
        <f t="shared" si="10"/>
        <v>12612.175000000001</v>
      </c>
      <c r="I163" s="395">
        <f t="shared" si="11"/>
        <v>2.3960776468899261</v>
      </c>
    </row>
    <row r="164" spans="1:9" x14ac:dyDescent="0.25">
      <c r="A164" s="49">
        <f>'A) Base RI'!A165</f>
        <v>5665</v>
      </c>
      <c r="B164" s="479" t="str">
        <f>'A) Base RI'!B165</f>
        <v>Chavannes-sur-Moudon</v>
      </c>
      <c r="C164" s="10">
        <f>'B) D RI'!Y165</f>
        <v>10677.4</v>
      </c>
      <c r="D164" s="423">
        <f>'B) D RI'!Z165</f>
        <v>0</v>
      </c>
      <c r="E164" s="10">
        <f t="shared" si="8"/>
        <v>10677.4</v>
      </c>
      <c r="F164" s="423">
        <f>'B) D RI'!U165</f>
        <v>4920.86942857143</v>
      </c>
      <c r="G164" s="261">
        <f t="shared" si="9"/>
        <v>2.1698198163936526</v>
      </c>
      <c r="H164" s="55">
        <f t="shared" si="10"/>
        <v>5338.7</v>
      </c>
      <c r="I164" s="395">
        <f t="shared" si="11"/>
        <v>1.0849099081968263</v>
      </c>
    </row>
    <row r="165" spans="1:9" x14ac:dyDescent="0.25">
      <c r="A165" s="49">
        <f>'A) Base RI'!A166</f>
        <v>5669</v>
      </c>
      <c r="B165" s="479" t="str">
        <f>'A) Base RI'!B166</f>
        <v>Curtilles</v>
      </c>
      <c r="C165" s="10">
        <f>'B) D RI'!Y166</f>
        <v>89639.15</v>
      </c>
      <c r="D165" s="423">
        <f>'B) D RI'!Z166</f>
        <v>0</v>
      </c>
      <c r="E165" s="10">
        <f t="shared" si="8"/>
        <v>89639.15</v>
      </c>
      <c r="F165" s="423">
        <f>'B) D RI'!U166</f>
        <v>9338.3773972602739</v>
      </c>
      <c r="G165" s="261">
        <f t="shared" si="9"/>
        <v>9.5990069994706619</v>
      </c>
      <c r="H165" s="55">
        <f t="shared" si="10"/>
        <v>44819.574999999997</v>
      </c>
      <c r="I165" s="395">
        <f t="shared" si="11"/>
        <v>4.799503499735331</v>
      </c>
    </row>
    <row r="166" spans="1:9" x14ac:dyDescent="0.25">
      <c r="A166" s="49">
        <f>'A) Base RI'!A167</f>
        <v>5671</v>
      </c>
      <c r="B166" s="479" t="str">
        <f>'A) Base RI'!B167</f>
        <v>Dompierre</v>
      </c>
      <c r="C166" s="10">
        <f>'B) D RI'!Y167</f>
        <v>103488.15</v>
      </c>
      <c r="D166" s="423">
        <f>'B) D RI'!Z167</f>
        <v>5497.4</v>
      </c>
      <c r="E166" s="10">
        <f t="shared" si="8"/>
        <v>108985.54999999999</v>
      </c>
      <c r="F166" s="423">
        <f>'B) D RI'!U167</f>
        <v>6463.9784615384606</v>
      </c>
      <c r="G166" s="261">
        <f t="shared" si="9"/>
        <v>16.860444484535126</v>
      </c>
      <c r="H166" s="55">
        <f t="shared" si="10"/>
        <v>53393.294999999998</v>
      </c>
      <c r="I166" s="395">
        <f t="shared" si="11"/>
        <v>8.2601288537233337</v>
      </c>
    </row>
    <row r="167" spans="1:9" x14ac:dyDescent="0.25">
      <c r="A167" s="49">
        <f>'A) Base RI'!A168</f>
        <v>5673</v>
      </c>
      <c r="B167" s="479" t="str">
        <f>'A) Base RI'!B168</f>
        <v>Hermenches</v>
      </c>
      <c r="C167" s="10">
        <f>'B) D RI'!Y168</f>
        <v>3890.2</v>
      </c>
      <c r="D167" s="423">
        <f>'B) D RI'!Z168</f>
        <v>11063.95</v>
      </c>
      <c r="E167" s="10">
        <f t="shared" si="8"/>
        <v>14954.150000000001</v>
      </c>
      <c r="F167" s="423">
        <f>'B) D RI'!U168</f>
        <v>10227.295238095237</v>
      </c>
      <c r="G167" s="261">
        <f t="shared" si="9"/>
        <v>1.4621803372115332</v>
      </c>
      <c r="H167" s="55">
        <f t="shared" si="10"/>
        <v>5264.2849999999999</v>
      </c>
      <c r="I167" s="395">
        <f t="shared" si="11"/>
        <v>0.51472895594049917</v>
      </c>
    </row>
    <row r="168" spans="1:9" x14ac:dyDescent="0.25">
      <c r="A168" s="49">
        <f>'A) Base RI'!A169</f>
        <v>5674</v>
      </c>
      <c r="B168" s="479" t="str">
        <f>'A) Base RI'!B169</f>
        <v>Lovatens</v>
      </c>
      <c r="C168" s="10">
        <f>'B) D RI'!Y169</f>
        <v>38003.9</v>
      </c>
      <c r="D168" s="423">
        <f>'B) D RI'!Z169</f>
        <v>0</v>
      </c>
      <c r="E168" s="10">
        <f t="shared" si="8"/>
        <v>38003.9</v>
      </c>
      <c r="F168" s="423">
        <f>'B) D RI'!U169</f>
        <v>4222.7234666666664</v>
      </c>
      <c r="G168" s="261">
        <f t="shared" si="9"/>
        <v>8.9998552592882728</v>
      </c>
      <c r="H168" s="55">
        <f t="shared" si="10"/>
        <v>19001.95</v>
      </c>
      <c r="I168" s="395">
        <f t="shared" si="11"/>
        <v>4.4999276296441364</v>
      </c>
    </row>
    <row r="169" spans="1:9" x14ac:dyDescent="0.25">
      <c r="A169" s="49">
        <f>'A) Base RI'!A170</f>
        <v>5675</v>
      </c>
      <c r="B169" s="479" t="str">
        <f>'A) Base RI'!B170</f>
        <v>Lucens</v>
      </c>
      <c r="C169" s="10">
        <f>'B) D RI'!Y170</f>
        <v>1029555.1</v>
      </c>
      <c r="D169" s="423">
        <f>'B) D RI'!Z170</f>
        <v>41543.800000000003</v>
      </c>
      <c r="E169" s="10">
        <f t="shared" si="8"/>
        <v>1071098.8999999999</v>
      </c>
      <c r="F169" s="423">
        <f>'B) D RI'!U170</f>
        <v>105170.58216835017</v>
      </c>
      <c r="G169" s="261">
        <f t="shared" si="9"/>
        <v>10.18439641501133</v>
      </c>
      <c r="H169" s="55">
        <f t="shared" si="10"/>
        <v>527240.68999999994</v>
      </c>
      <c r="I169" s="395">
        <f t="shared" si="11"/>
        <v>5.0131955070480414</v>
      </c>
    </row>
    <row r="170" spans="1:9" x14ac:dyDescent="0.25">
      <c r="A170" s="49">
        <f>'A) Base RI'!A171</f>
        <v>5678</v>
      </c>
      <c r="B170" s="479" t="str">
        <f>'A) Base RI'!B171</f>
        <v>Moudon</v>
      </c>
      <c r="C170" s="10">
        <f>'B) D RI'!Y171</f>
        <v>1743552.3</v>
      </c>
      <c r="D170" s="423">
        <f>'B) D RI'!Z171</f>
        <v>212026.15</v>
      </c>
      <c r="E170" s="10">
        <f t="shared" si="8"/>
        <v>1955578.45</v>
      </c>
      <c r="F170" s="423">
        <f>'B) D RI'!U171</f>
        <v>124836.852</v>
      </c>
      <c r="G170" s="261">
        <f t="shared" si="9"/>
        <v>15.665073403164635</v>
      </c>
      <c r="H170" s="55">
        <f t="shared" si="10"/>
        <v>935383.995</v>
      </c>
      <c r="I170" s="395">
        <f t="shared" si="11"/>
        <v>7.4928515099051038</v>
      </c>
    </row>
    <row r="171" spans="1:9" x14ac:dyDescent="0.25">
      <c r="A171" s="49">
        <f>'A) Base RI'!A172</f>
        <v>5680</v>
      </c>
      <c r="B171" s="479" t="str">
        <f>'A) Base RI'!B172</f>
        <v>Ogens</v>
      </c>
      <c r="C171" s="10">
        <f>'B) D RI'!Y172</f>
        <v>50187.149999999994</v>
      </c>
      <c r="D171" s="423">
        <f>'B) D RI'!Z172</f>
        <v>0</v>
      </c>
      <c r="E171" s="10">
        <f t="shared" si="8"/>
        <v>50187.149999999994</v>
      </c>
      <c r="F171" s="423">
        <f>'B) D RI'!U172</f>
        <v>8501.5391880341886</v>
      </c>
      <c r="G171" s="261">
        <f t="shared" si="9"/>
        <v>5.9033016127994546</v>
      </c>
      <c r="H171" s="55">
        <f t="shared" si="10"/>
        <v>25093.574999999997</v>
      </c>
      <c r="I171" s="395">
        <f t="shared" si="11"/>
        <v>2.9516508063997273</v>
      </c>
    </row>
    <row r="172" spans="1:9" x14ac:dyDescent="0.25">
      <c r="A172" s="49">
        <f>'A) Base RI'!A173</f>
        <v>5683</v>
      </c>
      <c r="B172" s="479" t="str">
        <f>'A) Base RI'!B173</f>
        <v>Prévonloup</v>
      </c>
      <c r="C172" s="10">
        <f>'B) D RI'!Y173</f>
        <v>42888.1</v>
      </c>
      <c r="D172" s="423">
        <f>'B) D RI'!Z173</f>
        <v>0</v>
      </c>
      <c r="E172" s="10">
        <f t="shared" si="8"/>
        <v>42888.1</v>
      </c>
      <c r="F172" s="423">
        <f>'B) D RI'!U173</f>
        <v>5386.44</v>
      </c>
      <c r="G172" s="261">
        <f t="shared" si="9"/>
        <v>7.9622347970087857</v>
      </c>
      <c r="H172" s="55">
        <f t="shared" si="10"/>
        <v>21444.05</v>
      </c>
      <c r="I172" s="395">
        <f t="shared" si="11"/>
        <v>3.9811173985043928</v>
      </c>
    </row>
    <row r="173" spans="1:9" x14ac:dyDescent="0.25">
      <c r="A173" s="49">
        <f>'A) Base RI'!A174</f>
        <v>5684</v>
      </c>
      <c r="B173" s="479" t="str">
        <f>'A) Base RI'!B174</f>
        <v>Rossenges</v>
      </c>
      <c r="C173" s="10">
        <f>'B) D RI'!Y174</f>
        <v>0</v>
      </c>
      <c r="D173" s="423">
        <f>'B) D RI'!Z174</f>
        <v>0</v>
      </c>
      <c r="E173" s="10">
        <f t="shared" si="8"/>
        <v>0</v>
      </c>
      <c r="F173" s="423">
        <f>'B) D RI'!U174</f>
        <v>3253.4816666666666</v>
      </c>
      <c r="G173" s="261">
        <f t="shared" si="9"/>
        <v>0</v>
      </c>
      <c r="H173" s="55">
        <f t="shared" si="10"/>
        <v>0</v>
      </c>
      <c r="I173" s="395">
        <f t="shared" si="11"/>
        <v>0</v>
      </c>
    </row>
    <row r="174" spans="1:9" x14ac:dyDescent="0.25">
      <c r="A174" s="49">
        <f>'A) Base RI'!A175</f>
        <v>5688</v>
      </c>
      <c r="B174" s="479" t="str">
        <f>'A) Base RI'!B175</f>
        <v>Syens</v>
      </c>
      <c r="C174" s="10">
        <f>'B) D RI'!Y175</f>
        <v>25980.199999999997</v>
      </c>
      <c r="D174" s="423">
        <f>'B) D RI'!Z175</f>
        <v>0</v>
      </c>
      <c r="E174" s="10">
        <f t="shared" si="8"/>
        <v>25980.199999999997</v>
      </c>
      <c r="F174" s="423">
        <f>'B) D RI'!U175</f>
        <v>6154.6576923076918</v>
      </c>
      <c r="G174" s="261">
        <f t="shared" si="9"/>
        <v>4.2212258258442166</v>
      </c>
      <c r="H174" s="55">
        <f t="shared" si="10"/>
        <v>12990.099999999999</v>
      </c>
      <c r="I174" s="395">
        <f t="shared" si="11"/>
        <v>2.1106129129221083</v>
      </c>
    </row>
    <row r="175" spans="1:9" x14ac:dyDescent="0.25">
      <c r="A175" s="49">
        <f>'A) Base RI'!A176</f>
        <v>5690</v>
      </c>
      <c r="B175" s="479" t="str">
        <f>'A) Base RI'!B176</f>
        <v>Villars-le-Comte</v>
      </c>
      <c r="C175" s="10">
        <f>'B) D RI'!Y176</f>
        <v>19414.5</v>
      </c>
      <c r="D175" s="423">
        <f>'B) D RI'!Z176</f>
        <v>0</v>
      </c>
      <c r="E175" s="10">
        <f t="shared" si="8"/>
        <v>19414.5</v>
      </c>
      <c r="F175" s="423">
        <f>'B) D RI'!U176</f>
        <v>3510.0358095238093</v>
      </c>
      <c r="G175" s="261">
        <f t="shared" si="9"/>
        <v>5.5311401517108392</v>
      </c>
      <c r="H175" s="55">
        <f t="shared" si="10"/>
        <v>9707.25</v>
      </c>
      <c r="I175" s="395">
        <f t="shared" si="11"/>
        <v>2.7655700758554196</v>
      </c>
    </row>
    <row r="176" spans="1:9" x14ac:dyDescent="0.25">
      <c r="A176" s="49">
        <f>'A) Base RI'!A177</f>
        <v>5692</v>
      </c>
      <c r="B176" s="479" t="str">
        <f>'A) Base RI'!B177</f>
        <v>Vucherens</v>
      </c>
      <c r="C176" s="10">
        <f>'B) D RI'!Y177</f>
        <v>194160.7</v>
      </c>
      <c r="D176" s="423">
        <f>'B) D RI'!Z177</f>
        <v>10724.2</v>
      </c>
      <c r="E176" s="10">
        <f t="shared" si="8"/>
        <v>204884.90000000002</v>
      </c>
      <c r="F176" s="423">
        <f>'B) D RI'!U177</f>
        <v>18793.189090909087</v>
      </c>
      <c r="G176" s="261">
        <f t="shared" si="9"/>
        <v>10.90208261135998</v>
      </c>
      <c r="H176" s="55">
        <f t="shared" si="10"/>
        <v>100297.61</v>
      </c>
      <c r="I176" s="395">
        <f t="shared" si="11"/>
        <v>5.3369127248614454</v>
      </c>
    </row>
    <row r="177" spans="1:9" x14ac:dyDescent="0.25">
      <c r="A177" s="49">
        <f>'A) Base RI'!A178</f>
        <v>5693</v>
      </c>
      <c r="B177" s="479" t="str">
        <f>'A) Base RI'!B178</f>
        <v>Montanaire</v>
      </c>
      <c r="C177" s="10">
        <f>'B) D RI'!Y178</f>
        <v>485355.5</v>
      </c>
      <c r="D177" s="423">
        <f>'B) D RI'!Z178</f>
        <v>63509.05</v>
      </c>
      <c r="E177" s="10">
        <f t="shared" si="8"/>
        <v>548864.55000000005</v>
      </c>
      <c r="F177" s="423">
        <f>'B) D RI'!U178</f>
        <v>75692.909285714297</v>
      </c>
      <c r="G177" s="261">
        <f t="shared" si="9"/>
        <v>7.2512016670970869</v>
      </c>
      <c r="H177" s="55">
        <f t="shared" si="10"/>
        <v>261730.465</v>
      </c>
      <c r="I177" s="395">
        <f t="shared" si="11"/>
        <v>3.4577937018123972</v>
      </c>
    </row>
    <row r="178" spans="1:9" x14ac:dyDescent="0.25">
      <c r="A178" s="49">
        <f>'A) Base RI'!A179</f>
        <v>5701</v>
      </c>
      <c r="B178" s="479" t="str">
        <f>'A) Base RI'!B179</f>
        <v>Arnex-sur-Nyon</v>
      </c>
      <c r="C178" s="10">
        <f>'B) D RI'!Y179</f>
        <v>162632</v>
      </c>
      <c r="D178" s="423">
        <f>'B) D RI'!Z179</f>
        <v>1264.6500000000001</v>
      </c>
      <c r="E178" s="10">
        <f t="shared" si="8"/>
        <v>163896.65</v>
      </c>
      <c r="F178" s="423">
        <f>'B) D RI'!U179</f>
        <v>14488.714857142857</v>
      </c>
      <c r="G178" s="261">
        <f t="shared" si="9"/>
        <v>11.312021225899125</v>
      </c>
      <c r="H178" s="55">
        <f t="shared" si="10"/>
        <v>81695.395000000004</v>
      </c>
      <c r="I178" s="395">
        <f t="shared" si="11"/>
        <v>5.6385535781128731</v>
      </c>
    </row>
    <row r="179" spans="1:9" x14ac:dyDescent="0.25">
      <c r="A179" s="49">
        <f>'A) Base RI'!A180</f>
        <v>5702</v>
      </c>
      <c r="B179" s="479" t="str">
        <f>'A) Base RI'!B180</f>
        <v>Arzier-Le Muids</v>
      </c>
      <c r="C179" s="10">
        <f>'B) D RI'!Y180</f>
        <v>1466606.65</v>
      </c>
      <c r="D179" s="423">
        <f>'B) D RI'!Z180</f>
        <v>76946.45</v>
      </c>
      <c r="E179" s="10">
        <f t="shared" si="8"/>
        <v>1543553.0999999999</v>
      </c>
      <c r="F179" s="423">
        <f>'B) D RI'!U180</f>
        <v>174862.96255208339</v>
      </c>
      <c r="G179" s="261">
        <f t="shared" si="9"/>
        <v>8.8272157664047839</v>
      </c>
      <c r="H179" s="55">
        <f t="shared" si="10"/>
        <v>756387.26</v>
      </c>
      <c r="I179" s="395">
        <f t="shared" si="11"/>
        <v>4.3256001669004558</v>
      </c>
    </row>
    <row r="180" spans="1:9" x14ac:dyDescent="0.25">
      <c r="A180" s="49">
        <f>'A) Base RI'!A181</f>
        <v>5703</v>
      </c>
      <c r="B180" s="479" t="str">
        <f>'A) Base RI'!B181</f>
        <v>Bassins</v>
      </c>
      <c r="C180" s="10">
        <f>'B) D RI'!Y181</f>
        <v>479756.44999999995</v>
      </c>
      <c r="D180" s="423">
        <f>'B) D RI'!Z181</f>
        <v>30033.35</v>
      </c>
      <c r="E180" s="10">
        <f t="shared" si="8"/>
        <v>509789.79999999993</v>
      </c>
      <c r="F180" s="423">
        <f>'B) D RI'!U181</f>
        <v>66800.247822660094</v>
      </c>
      <c r="G180" s="261">
        <f t="shared" si="9"/>
        <v>7.6315555198744063</v>
      </c>
      <c r="H180" s="55">
        <f t="shared" si="10"/>
        <v>248888.22999999998</v>
      </c>
      <c r="I180" s="395">
        <f t="shared" si="11"/>
        <v>3.725857883951917</v>
      </c>
    </row>
    <row r="181" spans="1:9" x14ac:dyDescent="0.25">
      <c r="A181" s="49">
        <f>'A) Base RI'!A182</f>
        <v>5704</v>
      </c>
      <c r="B181" s="479" t="str">
        <f>'A) Base RI'!B182</f>
        <v>Begnins</v>
      </c>
      <c r="C181" s="10">
        <f>'B) D RI'!Y182</f>
        <v>624675.5</v>
      </c>
      <c r="D181" s="423">
        <f>'B) D RI'!Z182</f>
        <v>24992.05</v>
      </c>
      <c r="E181" s="10">
        <f t="shared" si="8"/>
        <v>649667.55000000005</v>
      </c>
      <c r="F181" s="423">
        <f>'B) D RI'!U182</f>
        <v>202343.35360000003</v>
      </c>
      <c r="G181" s="261">
        <f t="shared" si="9"/>
        <v>3.210718506150132</v>
      </c>
      <c r="H181" s="55">
        <f t="shared" si="10"/>
        <v>319835.36499999999</v>
      </c>
      <c r="I181" s="395">
        <f t="shared" si="11"/>
        <v>1.5806566378862268</v>
      </c>
    </row>
    <row r="182" spans="1:9" x14ac:dyDescent="0.25">
      <c r="A182" s="49">
        <f>'A) Base RI'!A183</f>
        <v>5705</v>
      </c>
      <c r="B182" s="479" t="str">
        <f>'A) Base RI'!B183</f>
        <v>Bogis-Bossey</v>
      </c>
      <c r="C182" s="10">
        <f>'B) D RI'!Y183</f>
        <v>544218.4</v>
      </c>
      <c r="D182" s="423">
        <f>'B) D RI'!Z183</f>
        <v>47048.800000000003</v>
      </c>
      <c r="E182" s="10">
        <f t="shared" si="8"/>
        <v>591267.20000000007</v>
      </c>
      <c r="F182" s="423">
        <f>'B) D RI'!U183</f>
        <v>51953.338389261742</v>
      </c>
      <c r="G182" s="261">
        <f t="shared" si="9"/>
        <v>11.380735450913956</v>
      </c>
      <c r="H182" s="55">
        <f t="shared" si="10"/>
        <v>286223.84000000003</v>
      </c>
      <c r="I182" s="395">
        <f t="shared" si="11"/>
        <v>5.5092482768953257</v>
      </c>
    </row>
    <row r="183" spans="1:9" x14ac:dyDescent="0.25">
      <c r="A183" s="49">
        <f>'A) Base RI'!A184</f>
        <v>5706</v>
      </c>
      <c r="B183" s="479" t="str">
        <f>'A) Base RI'!B184</f>
        <v>Borex</v>
      </c>
      <c r="C183" s="10">
        <f>'B) D RI'!Y184</f>
        <v>319899.59999999998</v>
      </c>
      <c r="D183" s="423">
        <f>'B) D RI'!Z184</f>
        <v>10314.15</v>
      </c>
      <c r="E183" s="10">
        <f t="shared" si="8"/>
        <v>330213.75</v>
      </c>
      <c r="F183" s="423">
        <f>'B) D RI'!U184</f>
        <v>71207.99596491229</v>
      </c>
      <c r="G183" s="261">
        <f t="shared" si="9"/>
        <v>4.6373127838440036</v>
      </c>
      <c r="H183" s="55">
        <f t="shared" si="10"/>
        <v>163044.04499999998</v>
      </c>
      <c r="I183" s="395">
        <f t="shared" si="11"/>
        <v>2.289687313772176</v>
      </c>
    </row>
    <row r="184" spans="1:9" x14ac:dyDescent="0.25">
      <c r="A184" s="49">
        <f>'A) Base RI'!A185</f>
        <v>5707</v>
      </c>
      <c r="B184" s="479" t="str">
        <f>'A) Base RI'!B185</f>
        <v>Chavannes-de-Bogis</v>
      </c>
      <c r="C184" s="10">
        <f>'B) D RI'!Y185</f>
        <v>848545.85</v>
      </c>
      <c r="D184" s="423">
        <f>'B) D RI'!Z185</f>
        <v>706882.95</v>
      </c>
      <c r="E184" s="10">
        <f t="shared" si="8"/>
        <v>1555428.7999999998</v>
      </c>
      <c r="F184" s="423">
        <f>'B) D RI'!U185</f>
        <v>88021.415574712664</v>
      </c>
      <c r="G184" s="261">
        <f t="shared" si="9"/>
        <v>17.671026872769961</v>
      </c>
      <c r="H184" s="55">
        <f t="shared" si="10"/>
        <v>636337.80999999994</v>
      </c>
      <c r="I184" s="395">
        <f t="shared" si="11"/>
        <v>7.2293521507828489</v>
      </c>
    </row>
    <row r="185" spans="1:9" x14ac:dyDescent="0.25">
      <c r="A185" s="49">
        <f>'A) Base RI'!A186</f>
        <v>5708</v>
      </c>
      <c r="B185" s="479" t="str">
        <f>'A) Base RI'!B186</f>
        <v>Chavannes-des-Bois</v>
      </c>
      <c r="C185" s="10">
        <f>'B) D RI'!Y186</f>
        <v>282870.09999999998</v>
      </c>
      <c r="D185" s="423">
        <f>'B) D RI'!Z186</f>
        <v>11789.25</v>
      </c>
      <c r="E185" s="10">
        <f t="shared" si="8"/>
        <v>294659.34999999998</v>
      </c>
      <c r="F185" s="423">
        <f>'B) D RI'!U186</f>
        <v>67001.640000000014</v>
      </c>
      <c r="G185" s="261">
        <f t="shared" si="9"/>
        <v>4.3977930987957894</v>
      </c>
      <c r="H185" s="55">
        <f t="shared" si="10"/>
        <v>144971.82499999998</v>
      </c>
      <c r="I185" s="395">
        <f t="shared" si="11"/>
        <v>2.1637056197430384</v>
      </c>
    </row>
    <row r="186" spans="1:9" x14ac:dyDescent="0.25">
      <c r="A186" s="49">
        <f>'A) Base RI'!A187</f>
        <v>5709</v>
      </c>
      <c r="B186" s="479" t="str">
        <f>'A) Base RI'!B187</f>
        <v>Chéserex</v>
      </c>
      <c r="C186" s="10">
        <f>'B) D RI'!Y187</f>
        <v>1836317.2000000002</v>
      </c>
      <c r="D186" s="423">
        <f>'B) D RI'!Z187</f>
        <v>45594</v>
      </c>
      <c r="E186" s="10">
        <f t="shared" si="8"/>
        <v>1881911.2000000002</v>
      </c>
      <c r="F186" s="423">
        <f>'B) D RI'!U187</f>
        <v>88342.385614035084</v>
      </c>
      <c r="G186" s="261">
        <f t="shared" si="9"/>
        <v>21.302472045774348</v>
      </c>
      <c r="H186" s="55">
        <f t="shared" si="10"/>
        <v>931836.8</v>
      </c>
      <c r="I186" s="395">
        <f t="shared" si="11"/>
        <v>10.548014902734954</v>
      </c>
    </row>
    <row r="187" spans="1:9" x14ac:dyDescent="0.25">
      <c r="A187" s="49">
        <f>'A) Base RI'!A188</f>
        <v>5710</v>
      </c>
      <c r="B187" s="479" t="str">
        <f>'A) Base RI'!B188</f>
        <v>Coinsins</v>
      </c>
      <c r="C187" s="10">
        <f>'B) D RI'!Y188</f>
        <v>158301.75</v>
      </c>
      <c r="D187" s="423">
        <f>'B) D RI'!Z188</f>
        <v>46509.95</v>
      </c>
      <c r="E187" s="10">
        <f t="shared" si="8"/>
        <v>204811.7</v>
      </c>
      <c r="F187" s="423">
        <f>'B) D RI'!U188</f>
        <v>43412.265098039228</v>
      </c>
      <c r="G187" s="261">
        <f t="shared" si="9"/>
        <v>4.717830307574773</v>
      </c>
      <c r="H187" s="55">
        <f t="shared" si="10"/>
        <v>93103.86</v>
      </c>
      <c r="I187" s="395">
        <f t="shared" si="11"/>
        <v>2.1446441412292296</v>
      </c>
    </row>
    <row r="188" spans="1:9" x14ac:dyDescent="0.25">
      <c r="A188" s="49">
        <f>'A) Base RI'!A189</f>
        <v>5711</v>
      </c>
      <c r="B188" s="479" t="str">
        <f>'A) Base RI'!B189</f>
        <v>Commugny</v>
      </c>
      <c r="C188" s="10">
        <f>'B) D RI'!Y189</f>
        <v>2190966.0499999998</v>
      </c>
      <c r="D188" s="423">
        <f>'B) D RI'!Z189</f>
        <v>25768.5</v>
      </c>
      <c r="E188" s="10">
        <f t="shared" si="8"/>
        <v>2216734.5499999998</v>
      </c>
      <c r="F188" s="423">
        <f>'B) D RI'!U189</f>
        <v>286273.03470547468</v>
      </c>
      <c r="G188" s="261">
        <f t="shared" si="9"/>
        <v>7.7434277115224468</v>
      </c>
      <c r="H188" s="55">
        <f t="shared" si="10"/>
        <v>1103213.575</v>
      </c>
      <c r="I188" s="395">
        <f t="shared" si="11"/>
        <v>3.8537111123128152</v>
      </c>
    </row>
    <row r="189" spans="1:9" x14ac:dyDescent="0.25">
      <c r="A189" s="49">
        <f>'A) Base RI'!A190</f>
        <v>5712</v>
      </c>
      <c r="B189" s="479" t="str">
        <f>'A) Base RI'!B190</f>
        <v>Coppet</v>
      </c>
      <c r="C189" s="10">
        <f>'B) D RI'!Y190</f>
        <v>2053575.65</v>
      </c>
      <c r="D189" s="423">
        <f>'B) D RI'!Z190</f>
        <v>136878.75</v>
      </c>
      <c r="E189" s="10">
        <f t="shared" si="8"/>
        <v>2190454.4</v>
      </c>
      <c r="F189" s="423">
        <f>'B) D RI'!U190</f>
        <v>333754.3945283019</v>
      </c>
      <c r="G189" s="261">
        <f t="shared" si="9"/>
        <v>6.5630728341293869</v>
      </c>
      <c r="H189" s="55">
        <f t="shared" si="10"/>
        <v>1067851.45</v>
      </c>
      <c r="I189" s="395">
        <f t="shared" si="11"/>
        <v>3.1995127779791606</v>
      </c>
    </row>
    <row r="190" spans="1:9" x14ac:dyDescent="0.25">
      <c r="A190" s="49">
        <f>'A) Base RI'!A191</f>
        <v>5713</v>
      </c>
      <c r="B190" s="479" t="str">
        <f>'A) Base RI'!B191</f>
        <v>Crans</v>
      </c>
      <c r="C190" s="10">
        <f>'B) D RI'!Y191</f>
        <v>3286153</v>
      </c>
      <c r="D190" s="423">
        <f>'B) D RI'!Z191</f>
        <v>40096.699999999997</v>
      </c>
      <c r="E190" s="10">
        <f t="shared" si="8"/>
        <v>3326249.7</v>
      </c>
      <c r="F190" s="423">
        <f>'B) D RI'!U191</f>
        <v>302504.79982142855</v>
      </c>
      <c r="G190" s="261">
        <f t="shared" si="9"/>
        <v>10.995692306249412</v>
      </c>
      <c r="H190" s="55">
        <f t="shared" si="10"/>
        <v>1655105.51</v>
      </c>
      <c r="I190" s="395">
        <f t="shared" si="11"/>
        <v>5.4713363588843036</v>
      </c>
    </row>
    <row r="191" spans="1:9" x14ac:dyDescent="0.25">
      <c r="A191" s="49">
        <f>'A) Base RI'!A192</f>
        <v>5714</v>
      </c>
      <c r="B191" s="479" t="str">
        <f>'A) Base RI'!B192</f>
        <v>Crassier</v>
      </c>
      <c r="C191" s="10">
        <f>'B) D RI'!Y192</f>
        <v>615564.55000000005</v>
      </c>
      <c r="D191" s="423">
        <f>'B) D RI'!Z192</f>
        <v>144109.9</v>
      </c>
      <c r="E191" s="10">
        <f t="shared" si="8"/>
        <v>759674.45000000007</v>
      </c>
      <c r="F191" s="423">
        <f>'B) D RI'!U192</f>
        <v>62136.029852941167</v>
      </c>
      <c r="G191" s="261">
        <f t="shared" si="9"/>
        <v>12.225989523275624</v>
      </c>
      <c r="H191" s="55">
        <f t="shared" si="10"/>
        <v>351015.245</v>
      </c>
      <c r="I191" s="395">
        <f t="shared" si="11"/>
        <v>5.6491418236851665</v>
      </c>
    </row>
    <row r="192" spans="1:9" x14ac:dyDescent="0.25">
      <c r="A192" s="49">
        <f>'A) Base RI'!A193</f>
        <v>5715</v>
      </c>
      <c r="B192" s="479" t="str">
        <f>'A) Base RI'!B193</f>
        <v>Duillier</v>
      </c>
      <c r="C192" s="10">
        <f>'B) D RI'!Y193</f>
        <v>856485.55</v>
      </c>
      <c r="D192" s="423">
        <f>'B) D RI'!Z193</f>
        <v>115813.65</v>
      </c>
      <c r="E192" s="10">
        <f t="shared" si="8"/>
        <v>972299.20000000007</v>
      </c>
      <c r="F192" s="423">
        <f>'B) D RI'!U193</f>
        <v>70395.129393939395</v>
      </c>
      <c r="G192" s="261">
        <f t="shared" si="9"/>
        <v>13.812023763162644</v>
      </c>
      <c r="H192" s="55">
        <f t="shared" si="10"/>
        <v>462986.87</v>
      </c>
      <c r="I192" s="395">
        <f t="shared" si="11"/>
        <v>6.5769730659783461</v>
      </c>
    </row>
    <row r="193" spans="1:9" x14ac:dyDescent="0.25">
      <c r="A193" s="49">
        <f>'A) Base RI'!A194</f>
        <v>5716</v>
      </c>
      <c r="B193" s="479" t="str">
        <f>'A) Base RI'!B194</f>
        <v>Eysins</v>
      </c>
      <c r="C193" s="10">
        <f>'B) D RI'!Y194</f>
        <v>198476.75</v>
      </c>
      <c r="D193" s="423">
        <f>'B) D RI'!Z194</f>
        <v>412218.95</v>
      </c>
      <c r="E193" s="10">
        <f t="shared" si="8"/>
        <v>610695.69999999995</v>
      </c>
      <c r="F193" s="423">
        <f>'B) D RI'!U194</f>
        <v>203854.36605042018</v>
      </c>
      <c r="G193" s="261">
        <f t="shared" si="9"/>
        <v>2.9957450106756798</v>
      </c>
      <c r="H193" s="55">
        <f t="shared" si="10"/>
        <v>222904.06</v>
      </c>
      <c r="I193" s="395">
        <f t="shared" si="11"/>
        <v>1.09344756415405</v>
      </c>
    </row>
    <row r="194" spans="1:9" x14ac:dyDescent="0.25">
      <c r="A194" s="49">
        <f>'A) Base RI'!A195</f>
        <v>5717</v>
      </c>
      <c r="B194" s="479" t="str">
        <f>'A) Base RI'!B195</f>
        <v>Founex</v>
      </c>
      <c r="C194" s="10">
        <f>'B) D RI'!Y195</f>
        <v>1665723.5499999998</v>
      </c>
      <c r="D194" s="423">
        <f>'B) D RI'!Z195</f>
        <v>202572.75</v>
      </c>
      <c r="E194" s="10">
        <f t="shared" si="8"/>
        <v>1868296.2999999998</v>
      </c>
      <c r="F194" s="423">
        <f>'B) D RI'!U195</f>
        <v>390728.72</v>
      </c>
      <c r="G194" s="261">
        <f t="shared" si="9"/>
        <v>4.781568910521858</v>
      </c>
      <c r="H194" s="55">
        <f t="shared" si="10"/>
        <v>893633.59999999986</v>
      </c>
      <c r="I194" s="395">
        <f t="shared" si="11"/>
        <v>2.2870947392861214</v>
      </c>
    </row>
    <row r="195" spans="1:9" x14ac:dyDescent="0.25">
      <c r="A195" s="49">
        <f>'A) Base RI'!A196</f>
        <v>5718</v>
      </c>
      <c r="B195" s="479" t="str">
        <f>'A) Base RI'!B196</f>
        <v>Genolier</v>
      </c>
      <c r="C195" s="10">
        <f>'B) D RI'!Y196</f>
        <v>1235147.8999999999</v>
      </c>
      <c r="D195" s="423">
        <f>'B) D RI'!Z196</f>
        <v>221075.95</v>
      </c>
      <c r="E195" s="10">
        <f t="shared" si="8"/>
        <v>1456223.8499999999</v>
      </c>
      <c r="F195" s="423">
        <f>'B) D RI'!U196</f>
        <v>192274.57272727272</v>
      </c>
      <c r="G195" s="261">
        <f t="shared" si="9"/>
        <v>7.5736683709371482</v>
      </c>
      <c r="H195" s="55">
        <f t="shared" si="10"/>
        <v>683896.73499999999</v>
      </c>
      <c r="I195" s="395">
        <f t="shared" si="11"/>
        <v>3.5568755935817733</v>
      </c>
    </row>
    <row r="196" spans="1:9" x14ac:dyDescent="0.25">
      <c r="A196" s="49">
        <f>'A) Base RI'!A197</f>
        <v>5719</v>
      </c>
      <c r="B196" s="479" t="str">
        <f>'A) Base RI'!B197</f>
        <v>Gingins</v>
      </c>
      <c r="C196" s="10">
        <f>'B) D RI'!Y197</f>
        <v>773289.35</v>
      </c>
      <c r="D196" s="423">
        <f>'B) D RI'!Z197</f>
        <v>49842.05</v>
      </c>
      <c r="E196" s="10">
        <f t="shared" si="8"/>
        <v>823131.4</v>
      </c>
      <c r="F196" s="423">
        <f>'B) D RI'!U197</f>
        <v>151294.23883333337</v>
      </c>
      <c r="G196" s="261">
        <f t="shared" si="9"/>
        <v>5.4405997633972465</v>
      </c>
      <c r="H196" s="55">
        <f t="shared" si="10"/>
        <v>401597.29</v>
      </c>
      <c r="I196" s="395">
        <f t="shared" si="11"/>
        <v>2.6544123100576349</v>
      </c>
    </row>
    <row r="197" spans="1:9" x14ac:dyDescent="0.25">
      <c r="A197" s="49">
        <f>'A) Base RI'!A198</f>
        <v>5720</v>
      </c>
      <c r="B197" s="479" t="str">
        <f>'A) Base RI'!B198</f>
        <v>Givrins</v>
      </c>
      <c r="C197" s="10">
        <f>'B) D RI'!Y198</f>
        <v>532676.10000000009</v>
      </c>
      <c r="D197" s="423">
        <f>'B) D RI'!Z198</f>
        <v>16468.349999999999</v>
      </c>
      <c r="E197" s="10">
        <f t="shared" si="8"/>
        <v>549144.45000000007</v>
      </c>
      <c r="F197" s="423">
        <f>'B) D RI'!U198</f>
        <v>74789.829883913771</v>
      </c>
      <c r="G197" s="261">
        <f t="shared" si="9"/>
        <v>7.3425016590138448</v>
      </c>
      <c r="H197" s="55">
        <f t="shared" si="10"/>
        <v>271278.55500000005</v>
      </c>
      <c r="I197" s="395">
        <f t="shared" si="11"/>
        <v>3.6272118203914809</v>
      </c>
    </row>
    <row r="198" spans="1:9" x14ac:dyDescent="0.25">
      <c r="A198" s="49">
        <f>'A) Base RI'!A199</f>
        <v>5721</v>
      </c>
      <c r="B198" s="479" t="str">
        <f>'A) Base RI'!B199</f>
        <v>Gland</v>
      </c>
      <c r="C198" s="10">
        <f>'B) D RI'!Y199</f>
        <v>3689138.3</v>
      </c>
      <c r="D198" s="423">
        <f>'B) D RI'!Z199</f>
        <v>2270512.4</v>
      </c>
      <c r="E198" s="10">
        <f t="shared" si="8"/>
        <v>5959650.6999999993</v>
      </c>
      <c r="F198" s="423">
        <f>'B) D RI'!U199</f>
        <v>723023.81196721317</v>
      </c>
      <c r="G198" s="261">
        <f t="shared" si="9"/>
        <v>8.2426755541908072</v>
      </c>
      <c r="H198" s="55">
        <f t="shared" si="10"/>
        <v>2525722.87</v>
      </c>
      <c r="I198" s="395">
        <f t="shared" si="11"/>
        <v>3.4932775770247155</v>
      </c>
    </row>
    <row r="199" spans="1:9" x14ac:dyDescent="0.25">
      <c r="A199" s="49">
        <f>'A) Base RI'!A200</f>
        <v>5722</v>
      </c>
      <c r="B199" s="479" t="str">
        <f>'A) Base RI'!B200</f>
        <v>Grens</v>
      </c>
      <c r="C199" s="10">
        <f>'B) D RI'!Y200</f>
        <v>16924</v>
      </c>
      <c r="D199" s="423">
        <f>'B) D RI'!Z200</f>
        <v>13044.45</v>
      </c>
      <c r="E199" s="10">
        <f t="shared" ref="E199:E262" si="12">C199+D199</f>
        <v>29968.45</v>
      </c>
      <c r="F199" s="423">
        <f>'B) D RI'!U200</f>
        <v>22316.761129032264</v>
      </c>
      <c r="G199" s="261">
        <f t="shared" ref="G199:G262" si="13">E199/F199</f>
        <v>1.3428673554700337</v>
      </c>
      <c r="H199" s="55">
        <f t="shared" ref="H199:H262" si="14">(C199*$C$5)+(D199*$D$5)</f>
        <v>12375.334999999999</v>
      </c>
      <c r="I199" s="395">
        <f t="shared" ref="I199:I262" si="15">H199/F199</f>
        <v>0.55453096121106527</v>
      </c>
    </row>
    <row r="200" spans="1:9" x14ac:dyDescent="0.25">
      <c r="A200" s="49">
        <f>'A) Base RI'!A201</f>
        <v>5723</v>
      </c>
      <c r="B200" s="479" t="str">
        <f>'A) Base RI'!B201</f>
        <v>Mies</v>
      </c>
      <c r="C200" s="10">
        <f>'B) D RI'!Y201</f>
        <v>3188837.0500000003</v>
      </c>
      <c r="D200" s="423">
        <f>'B) D RI'!Z201</f>
        <v>267148.3</v>
      </c>
      <c r="E200" s="10">
        <f t="shared" si="12"/>
        <v>3455985.35</v>
      </c>
      <c r="F200" s="423">
        <f>'B) D RI'!U201</f>
        <v>245974.84538461536</v>
      </c>
      <c r="G200" s="261">
        <f t="shared" si="13"/>
        <v>14.050157627281333</v>
      </c>
      <c r="H200" s="55">
        <f t="shared" si="14"/>
        <v>1674563.0150000001</v>
      </c>
      <c r="I200" s="395">
        <f t="shared" si="15"/>
        <v>6.8078628624873874</v>
      </c>
    </row>
    <row r="201" spans="1:9" x14ac:dyDescent="0.25">
      <c r="A201" s="49">
        <f>'A) Base RI'!A202</f>
        <v>5724</v>
      </c>
      <c r="B201" s="479" t="str">
        <f>'A) Base RI'!B202</f>
        <v>Nyon</v>
      </c>
      <c r="C201" s="10">
        <f>'B) D RI'!Y202</f>
        <v>10442523.600000001</v>
      </c>
      <c r="D201" s="423">
        <f>'B) D RI'!Z202</f>
        <v>5207617.95</v>
      </c>
      <c r="E201" s="10">
        <f t="shared" si="12"/>
        <v>15650141.550000001</v>
      </c>
      <c r="F201" s="423">
        <f>'B) D RI'!U202</f>
        <v>1461873.0345355188</v>
      </c>
      <c r="G201" s="261">
        <f t="shared" si="13"/>
        <v>10.705540891909619</v>
      </c>
      <c r="H201" s="55">
        <f t="shared" si="14"/>
        <v>6783547.1850000005</v>
      </c>
      <c r="I201" s="395">
        <f t="shared" si="15"/>
        <v>4.6403121370628044</v>
      </c>
    </row>
    <row r="202" spans="1:9" x14ac:dyDescent="0.25">
      <c r="A202" s="49">
        <f>'A) Base RI'!A203</f>
        <v>5725</v>
      </c>
      <c r="B202" s="479" t="str">
        <f>'A) Base RI'!B203</f>
        <v>Prangins</v>
      </c>
      <c r="C202" s="10">
        <f>'B) D RI'!Y203</f>
        <v>1310583.95</v>
      </c>
      <c r="D202" s="423">
        <f>'B) D RI'!Z203</f>
        <v>1315566.8999999999</v>
      </c>
      <c r="E202" s="10">
        <f t="shared" si="12"/>
        <v>2626150.8499999996</v>
      </c>
      <c r="F202" s="423">
        <f>'B) D RI'!U203</f>
        <v>355082.58820779232</v>
      </c>
      <c r="G202" s="261">
        <f t="shared" si="13"/>
        <v>7.3958874279219549</v>
      </c>
      <c r="H202" s="55">
        <f t="shared" si="14"/>
        <v>1049962.0449999999</v>
      </c>
      <c r="I202" s="395">
        <f t="shared" si="15"/>
        <v>2.9569516497541359</v>
      </c>
    </row>
    <row r="203" spans="1:9" x14ac:dyDescent="0.25">
      <c r="A203" s="49">
        <f>'A) Base RI'!A204</f>
        <v>5726</v>
      </c>
      <c r="B203" s="479" t="str">
        <f>'A) Base RI'!B204</f>
        <v>La Rippe</v>
      </c>
      <c r="C203" s="10">
        <f>'B) D RI'!Y204</f>
        <v>468258.95</v>
      </c>
      <c r="D203" s="423">
        <f>'B) D RI'!Z204</f>
        <v>42138.55</v>
      </c>
      <c r="E203" s="10">
        <f t="shared" si="12"/>
        <v>510397.5</v>
      </c>
      <c r="F203" s="423">
        <f>'B) D RI'!U204</f>
        <v>70366.469687500008</v>
      </c>
      <c r="G203" s="261">
        <f t="shared" si="13"/>
        <v>7.2534191677754114</v>
      </c>
      <c r="H203" s="55">
        <f t="shared" si="14"/>
        <v>246771.04</v>
      </c>
      <c r="I203" s="395">
        <f t="shared" si="15"/>
        <v>3.5069407502738019</v>
      </c>
    </row>
    <row r="204" spans="1:9" x14ac:dyDescent="0.25">
      <c r="A204" s="49">
        <f>'A) Base RI'!A205</f>
        <v>5727</v>
      </c>
      <c r="B204" s="479" t="str">
        <f>'A) Base RI'!B205</f>
        <v>Saint-Cergue</v>
      </c>
      <c r="C204" s="10">
        <f>'B) D RI'!Y205</f>
        <v>1363484.7000000002</v>
      </c>
      <c r="D204" s="423">
        <f>'B) D RI'!Z205</f>
        <v>182727.2</v>
      </c>
      <c r="E204" s="10">
        <f t="shared" si="12"/>
        <v>1546211.9000000001</v>
      </c>
      <c r="F204" s="423">
        <f>'B) D RI'!U205</f>
        <v>106173.30404040407</v>
      </c>
      <c r="G204" s="261">
        <f t="shared" si="13"/>
        <v>14.563094875634574</v>
      </c>
      <c r="H204" s="55">
        <f t="shared" si="14"/>
        <v>736560.51000000013</v>
      </c>
      <c r="I204" s="395">
        <f t="shared" si="15"/>
        <v>6.9373418926447208</v>
      </c>
    </row>
    <row r="205" spans="1:9" x14ac:dyDescent="0.25">
      <c r="A205" s="49">
        <f>'A) Base RI'!A206</f>
        <v>5728</v>
      </c>
      <c r="B205" s="479" t="str">
        <f>'A) Base RI'!B206</f>
        <v>Signy-Avenex</v>
      </c>
      <c r="C205" s="10">
        <f>'B) D RI'!Y206</f>
        <v>249845.65</v>
      </c>
      <c r="D205" s="423">
        <f>'B) D RI'!Z206</f>
        <v>172706.65</v>
      </c>
      <c r="E205" s="10">
        <f t="shared" si="12"/>
        <v>422552.3</v>
      </c>
      <c r="F205" s="423">
        <f>'B) D RI'!U206</f>
        <v>56477.02620689656</v>
      </c>
      <c r="G205" s="261">
        <f t="shared" si="13"/>
        <v>7.4818440059508831</v>
      </c>
      <c r="H205" s="55">
        <f t="shared" si="14"/>
        <v>176734.82</v>
      </c>
      <c r="I205" s="395">
        <f t="shared" si="15"/>
        <v>3.1293223434349038</v>
      </c>
    </row>
    <row r="206" spans="1:9" x14ac:dyDescent="0.25">
      <c r="A206" s="49">
        <f>'A) Base RI'!A207</f>
        <v>5729</v>
      </c>
      <c r="B206" s="479" t="str">
        <f>'A) Base RI'!B207</f>
        <v>Tannay</v>
      </c>
      <c r="C206" s="10">
        <f>'B) D RI'!Y207</f>
        <v>1253887.1000000001</v>
      </c>
      <c r="D206" s="423">
        <f>'B) D RI'!Z207</f>
        <v>17196.75</v>
      </c>
      <c r="E206" s="10">
        <f t="shared" si="12"/>
        <v>1271083.8500000001</v>
      </c>
      <c r="F206" s="423">
        <f>'B) D RI'!U207</f>
        <v>161688.04044077132</v>
      </c>
      <c r="G206" s="261">
        <f t="shared" si="13"/>
        <v>7.8613349913509314</v>
      </c>
      <c r="H206" s="55">
        <f t="shared" si="14"/>
        <v>632102.57500000007</v>
      </c>
      <c r="I206" s="395">
        <f t="shared" si="15"/>
        <v>3.9093959780627587</v>
      </c>
    </row>
    <row r="207" spans="1:9" x14ac:dyDescent="0.25">
      <c r="A207" s="49">
        <f>'A) Base RI'!A208</f>
        <v>5730</v>
      </c>
      <c r="B207" s="479" t="str">
        <f>'A) Base RI'!B208</f>
        <v>Trélex</v>
      </c>
      <c r="C207" s="10">
        <f>'B) D RI'!Y208</f>
        <v>1553705.6</v>
      </c>
      <c r="D207" s="423">
        <f>'B) D RI'!Z208</f>
        <v>18029.25</v>
      </c>
      <c r="E207" s="10">
        <f t="shared" si="12"/>
        <v>1571734.85</v>
      </c>
      <c r="F207" s="423">
        <f>'B) D RI'!U208</f>
        <v>125085.64878878882</v>
      </c>
      <c r="G207" s="261">
        <f t="shared" si="13"/>
        <v>12.565269199298198</v>
      </c>
      <c r="H207" s="55">
        <f t="shared" si="14"/>
        <v>782261.57500000007</v>
      </c>
      <c r="I207" s="395">
        <f t="shared" si="15"/>
        <v>6.253807551663054</v>
      </c>
    </row>
    <row r="208" spans="1:9" x14ac:dyDescent="0.25">
      <c r="A208" s="49">
        <f>'A) Base RI'!A209</f>
        <v>5731</v>
      </c>
      <c r="B208" s="479" t="str">
        <f>'A) Base RI'!B209</f>
        <v>Le Vaud</v>
      </c>
      <c r="C208" s="10">
        <f>'B) D RI'!Y209</f>
        <v>233518.40000000002</v>
      </c>
      <c r="D208" s="423">
        <f>'B) D RI'!Z209</f>
        <v>62795.199999999997</v>
      </c>
      <c r="E208" s="10">
        <f t="shared" si="12"/>
        <v>296313.60000000003</v>
      </c>
      <c r="F208" s="423">
        <f>'B) D RI'!U209</f>
        <v>69596.613288288281</v>
      </c>
      <c r="G208" s="261">
        <f t="shared" si="13"/>
        <v>4.2575864830173238</v>
      </c>
      <c r="H208" s="55">
        <f t="shared" si="14"/>
        <v>135597.76000000001</v>
      </c>
      <c r="I208" s="395">
        <f t="shared" si="15"/>
        <v>1.9483384836316224</v>
      </c>
    </row>
    <row r="209" spans="1:9" x14ac:dyDescent="0.25">
      <c r="A209" s="49">
        <f>'A) Base RI'!A210</f>
        <v>5732</v>
      </c>
      <c r="B209" s="479" t="str">
        <f>'A) Base RI'!B210</f>
        <v>Vich</v>
      </c>
      <c r="C209" s="10">
        <f>'B) D RI'!Y210</f>
        <v>186661.95</v>
      </c>
      <c r="D209" s="423">
        <f>'B) D RI'!Z210</f>
        <v>129498.6</v>
      </c>
      <c r="E209" s="10">
        <f t="shared" si="12"/>
        <v>316160.55000000005</v>
      </c>
      <c r="F209" s="423">
        <f>'B) D RI'!U210</f>
        <v>86538.031587301579</v>
      </c>
      <c r="G209" s="261">
        <f t="shared" si="13"/>
        <v>3.653428951420624</v>
      </c>
      <c r="H209" s="55">
        <f t="shared" si="14"/>
        <v>132180.55499999999</v>
      </c>
      <c r="I209" s="395">
        <f t="shared" si="15"/>
        <v>1.5274273354213421</v>
      </c>
    </row>
    <row r="210" spans="1:9" x14ac:dyDescent="0.25">
      <c r="A210" s="49">
        <f>'A) Base RI'!A211</f>
        <v>5741</v>
      </c>
      <c r="B210" s="479" t="str">
        <f>'A) Base RI'!B211</f>
        <v>L'Abergement</v>
      </c>
      <c r="C210" s="10">
        <f>'B) D RI'!Y211</f>
        <v>58872.6</v>
      </c>
      <c r="D210" s="423">
        <f>'B) D RI'!Z211</f>
        <v>6322.15</v>
      </c>
      <c r="E210" s="10">
        <f t="shared" si="12"/>
        <v>65194.75</v>
      </c>
      <c r="F210" s="423">
        <f>'B) D RI'!U211</f>
        <v>8987.3782921810707</v>
      </c>
      <c r="G210" s="261">
        <f t="shared" si="13"/>
        <v>7.254034255653707</v>
      </c>
      <c r="H210" s="55">
        <f t="shared" si="14"/>
        <v>31332.945</v>
      </c>
      <c r="I210" s="395">
        <f t="shared" si="15"/>
        <v>3.4863276009266628</v>
      </c>
    </row>
    <row r="211" spans="1:9" x14ac:dyDescent="0.25">
      <c r="A211" s="49">
        <f>'A) Base RI'!A212</f>
        <v>5742</v>
      </c>
      <c r="B211" s="479" t="str">
        <f>'A) Base RI'!B212</f>
        <v>Agiez</v>
      </c>
      <c r="C211" s="10">
        <f>'B) D RI'!Y212</f>
        <v>2805.2</v>
      </c>
      <c r="D211" s="423">
        <f>'B) D RI'!Z212</f>
        <v>2863.2</v>
      </c>
      <c r="E211" s="10">
        <f t="shared" si="12"/>
        <v>5668.4</v>
      </c>
      <c r="F211" s="423">
        <f>'B) D RI'!U212</f>
        <v>10160.069605263159</v>
      </c>
      <c r="G211" s="261">
        <f t="shared" si="13"/>
        <v>0.5579095636375988</v>
      </c>
      <c r="H211" s="55">
        <f t="shared" si="14"/>
        <v>2261.56</v>
      </c>
      <c r="I211" s="395">
        <f t="shared" si="15"/>
        <v>0.222592963224234</v>
      </c>
    </row>
    <row r="212" spans="1:9" x14ac:dyDescent="0.25">
      <c r="A212" s="49">
        <f>'A) Base RI'!A213</f>
        <v>5743</v>
      </c>
      <c r="B212" s="479" t="str">
        <f>'A) Base RI'!B213</f>
        <v>Arnex-sur-Orbe</v>
      </c>
      <c r="C212" s="10">
        <f>'B) D RI'!Y213</f>
        <v>81939</v>
      </c>
      <c r="D212" s="423">
        <f>'B) D RI'!Z213</f>
        <v>20766.900000000001</v>
      </c>
      <c r="E212" s="10">
        <f t="shared" si="12"/>
        <v>102705.9</v>
      </c>
      <c r="F212" s="423">
        <f>'B) D RI'!U213</f>
        <v>18533.117816901413</v>
      </c>
      <c r="G212" s="261">
        <f t="shared" si="13"/>
        <v>5.5417496945029185</v>
      </c>
      <c r="H212" s="55">
        <f t="shared" si="14"/>
        <v>47199.57</v>
      </c>
      <c r="I212" s="395">
        <f t="shared" si="15"/>
        <v>2.5467690038076598</v>
      </c>
    </row>
    <row r="213" spans="1:9" x14ac:dyDescent="0.25">
      <c r="A213" s="49">
        <f>'A) Base RI'!A214</f>
        <v>5744</v>
      </c>
      <c r="B213" s="479" t="str">
        <f>'A) Base RI'!B214</f>
        <v>Ballaigues</v>
      </c>
      <c r="C213" s="10">
        <f>'B) D RI'!Y214</f>
        <v>80337.850000000006</v>
      </c>
      <c r="D213" s="423">
        <f>'B) D RI'!Z214</f>
        <v>1852198.25</v>
      </c>
      <c r="E213" s="10">
        <f t="shared" si="12"/>
        <v>1932536.1</v>
      </c>
      <c r="F213" s="423">
        <f>'B) D RI'!U214</f>
        <v>49245.2596923077</v>
      </c>
      <c r="G213" s="261">
        <f t="shared" si="13"/>
        <v>39.243088818594856</v>
      </c>
      <c r="H213" s="55">
        <f t="shared" si="14"/>
        <v>595828.4</v>
      </c>
      <c r="I213" s="395">
        <f t="shared" si="15"/>
        <v>12.099203125799958</v>
      </c>
    </row>
    <row r="214" spans="1:9" x14ac:dyDescent="0.25">
      <c r="A214" s="49">
        <f>'A) Base RI'!A215</f>
        <v>5745</v>
      </c>
      <c r="B214" s="479" t="str">
        <f>'A) Base RI'!B215</f>
        <v>Baulmes</v>
      </c>
      <c r="C214" s="10">
        <f>'B) D RI'!Y215</f>
        <v>222541.75</v>
      </c>
      <c r="D214" s="423">
        <f>'B) D RI'!Z215</f>
        <v>195912.2</v>
      </c>
      <c r="E214" s="10">
        <f t="shared" si="12"/>
        <v>418453.95</v>
      </c>
      <c r="F214" s="423">
        <f>'B) D RI'!U215</f>
        <v>28471.572156862745</v>
      </c>
      <c r="G214" s="261">
        <f t="shared" si="13"/>
        <v>14.697254780823071</v>
      </c>
      <c r="H214" s="55">
        <f t="shared" si="14"/>
        <v>170044.535</v>
      </c>
      <c r="I214" s="395">
        <f t="shared" si="15"/>
        <v>5.9724322233822527</v>
      </c>
    </row>
    <row r="215" spans="1:9" x14ac:dyDescent="0.25">
      <c r="A215" s="49">
        <f>'A) Base RI'!A216</f>
        <v>5746</v>
      </c>
      <c r="B215" s="479" t="str">
        <f>'A) Base RI'!B216</f>
        <v>Bavois</v>
      </c>
      <c r="C215" s="10">
        <f>'B) D RI'!Y216</f>
        <v>335342.65000000002</v>
      </c>
      <c r="D215" s="423">
        <f>'B) D RI'!Z216</f>
        <v>7548.4</v>
      </c>
      <c r="E215" s="10">
        <f t="shared" si="12"/>
        <v>342891.05000000005</v>
      </c>
      <c r="F215" s="423">
        <f>'B) D RI'!U216</f>
        <v>27408.124908675796</v>
      </c>
      <c r="G215" s="261">
        <f t="shared" si="13"/>
        <v>12.510562146900497</v>
      </c>
      <c r="H215" s="55">
        <f t="shared" si="14"/>
        <v>169935.845</v>
      </c>
      <c r="I215" s="395">
        <f t="shared" si="15"/>
        <v>6.2001995965148398</v>
      </c>
    </row>
    <row r="216" spans="1:9" x14ac:dyDescent="0.25">
      <c r="A216" s="49">
        <f>'A) Base RI'!A217</f>
        <v>5747</v>
      </c>
      <c r="B216" s="479" t="str">
        <f>'A) Base RI'!B217</f>
        <v>Bofflens</v>
      </c>
      <c r="C216" s="10">
        <f>'B) D RI'!Y217</f>
        <v>0</v>
      </c>
      <c r="D216" s="423">
        <f>'B) D RI'!Z217</f>
        <v>602.6</v>
      </c>
      <c r="E216" s="10">
        <f t="shared" si="12"/>
        <v>602.6</v>
      </c>
      <c r="F216" s="423">
        <f>'B) D RI'!U217</f>
        <v>5808.1759420289845</v>
      </c>
      <c r="G216" s="261">
        <f t="shared" si="13"/>
        <v>0.10375030061322355</v>
      </c>
      <c r="H216" s="55">
        <f t="shared" si="14"/>
        <v>180.78</v>
      </c>
      <c r="I216" s="395">
        <f t="shared" si="15"/>
        <v>3.1125090183967065E-2</v>
      </c>
    </row>
    <row r="217" spans="1:9" x14ac:dyDescent="0.25">
      <c r="A217" s="49">
        <f>'A) Base RI'!A218</f>
        <v>5748</v>
      </c>
      <c r="B217" s="479" t="str">
        <f>'A) Base RI'!B218</f>
        <v>Bretonnières</v>
      </c>
      <c r="C217" s="10">
        <f>'B) D RI'!Y218</f>
        <v>33655.699999999997</v>
      </c>
      <c r="D217" s="423">
        <f>'B) D RI'!Z218</f>
        <v>197.7</v>
      </c>
      <c r="E217" s="10">
        <f t="shared" si="12"/>
        <v>33853.399999999994</v>
      </c>
      <c r="F217" s="423">
        <f>'B) D RI'!U218</f>
        <v>6643.6153664302601</v>
      </c>
      <c r="G217" s="261">
        <f t="shared" si="13"/>
        <v>5.0956291315507123</v>
      </c>
      <c r="H217" s="55">
        <f t="shared" si="14"/>
        <v>16887.16</v>
      </c>
      <c r="I217" s="395">
        <f t="shared" si="15"/>
        <v>2.5418629870310792</v>
      </c>
    </row>
    <row r="218" spans="1:9" x14ac:dyDescent="0.25">
      <c r="A218" s="49">
        <f>'A) Base RI'!A219</f>
        <v>5749</v>
      </c>
      <c r="B218" s="479" t="str">
        <f>'A) Base RI'!B219</f>
        <v>Chavornay</v>
      </c>
      <c r="C218" s="10">
        <f>'B) D RI'!Y219</f>
        <v>505163.15</v>
      </c>
      <c r="D218" s="423">
        <f>'B) D RI'!Z219</f>
        <v>744756.9</v>
      </c>
      <c r="E218" s="10">
        <f t="shared" si="12"/>
        <v>1249920.05</v>
      </c>
      <c r="F218" s="423">
        <f>'B) D RI'!U219</f>
        <v>153338.61687943264</v>
      </c>
      <c r="G218" s="261">
        <f t="shared" si="13"/>
        <v>8.1513716207756683</v>
      </c>
      <c r="H218" s="55">
        <f t="shared" si="14"/>
        <v>476008.64500000002</v>
      </c>
      <c r="I218" s="395">
        <f t="shared" si="15"/>
        <v>3.1042972389289059</v>
      </c>
    </row>
    <row r="219" spans="1:9" x14ac:dyDescent="0.25">
      <c r="A219" s="49">
        <f>'A) Base RI'!A220</f>
        <v>5750</v>
      </c>
      <c r="B219" s="479" t="str">
        <f>'A) Base RI'!B220</f>
        <v>Les Clées</v>
      </c>
      <c r="C219" s="10">
        <f>'B) D RI'!Y220</f>
        <v>42112.7</v>
      </c>
      <c r="D219" s="423">
        <f>'B) D RI'!Z220</f>
        <v>5002.05</v>
      </c>
      <c r="E219" s="10">
        <f t="shared" si="12"/>
        <v>47114.75</v>
      </c>
      <c r="F219" s="423">
        <f>'B) D RI'!U220</f>
        <v>4819.774166666667</v>
      </c>
      <c r="G219" s="261">
        <f t="shared" si="13"/>
        <v>9.7753024043830532</v>
      </c>
      <c r="H219" s="55">
        <f t="shared" si="14"/>
        <v>22556.965</v>
      </c>
      <c r="I219" s="395">
        <f t="shared" si="15"/>
        <v>4.6800875352216531</v>
      </c>
    </row>
    <row r="220" spans="1:9" x14ac:dyDescent="0.25">
      <c r="A220" s="49">
        <f>'A) Base RI'!A221</f>
        <v>5752</v>
      </c>
      <c r="B220" s="479" t="str">
        <f>'A) Base RI'!B221</f>
        <v>Croy</v>
      </c>
      <c r="C220" s="10">
        <f>'B) D RI'!Y221</f>
        <v>20358.599999999999</v>
      </c>
      <c r="D220" s="423">
        <f>'B) D RI'!Z221</f>
        <v>30061.4</v>
      </c>
      <c r="E220" s="10">
        <f t="shared" si="12"/>
        <v>50420</v>
      </c>
      <c r="F220" s="423">
        <f>'B) D RI'!U221</f>
        <v>9670.9952316602321</v>
      </c>
      <c r="G220" s="261">
        <f t="shared" si="13"/>
        <v>5.2135275421229146</v>
      </c>
      <c r="H220" s="55">
        <f t="shared" si="14"/>
        <v>19197.72</v>
      </c>
      <c r="I220" s="395">
        <f t="shared" si="15"/>
        <v>1.9850821492654489</v>
      </c>
    </row>
    <row r="221" spans="1:9" x14ac:dyDescent="0.25">
      <c r="A221" s="49">
        <f>'A) Base RI'!A222</f>
        <v>5754</v>
      </c>
      <c r="B221" s="479" t="str">
        <f>'A) Base RI'!B222</f>
        <v>Juriens</v>
      </c>
      <c r="C221" s="10">
        <f>'B) D RI'!Y222</f>
        <v>127024.15</v>
      </c>
      <c r="D221" s="423">
        <f>'B) D RI'!Z222</f>
        <v>5292.65</v>
      </c>
      <c r="E221" s="10">
        <f t="shared" si="12"/>
        <v>132316.79999999999</v>
      </c>
      <c r="F221" s="423">
        <f>'B) D RI'!U222</f>
        <v>9073.6935443037964</v>
      </c>
      <c r="G221" s="261">
        <f t="shared" si="13"/>
        <v>14.582462957773647</v>
      </c>
      <c r="H221" s="55">
        <f t="shared" si="14"/>
        <v>65099.869999999995</v>
      </c>
      <c r="I221" s="395">
        <f t="shared" si="15"/>
        <v>7.1745722601429289</v>
      </c>
    </row>
    <row r="222" spans="1:9" x14ac:dyDescent="0.25">
      <c r="A222" s="49">
        <f>'A) Base RI'!A223</f>
        <v>5755</v>
      </c>
      <c r="B222" s="479" t="str">
        <f>'A) Base RI'!B223</f>
        <v>Lignerolle</v>
      </c>
      <c r="C222" s="10">
        <f>'B) D RI'!Y223</f>
        <v>41362.700000000004</v>
      </c>
      <c r="D222" s="423">
        <f>'B) D RI'!Z223</f>
        <v>53250.85</v>
      </c>
      <c r="E222" s="10">
        <f t="shared" si="12"/>
        <v>94613.55</v>
      </c>
      <c r="F222" s="423">
        <f>'B) D RI'!U223</f>
        <v>10746.718034576888</v>
      </c>
      <c r="G222" s="261">
        <f t="shared" si="13"/>
        <v>8.8039483026898875</v>
      </c>
      <c r="H222" s="55">
        <f t="shared" si="14"/>
        <v>36656.605000000003</v>
      </c>
      <c r="I222" s="395">
        <f t="shared" si="15"/>
        <v>3.4109581066572776</v>
      </c>
    </row>
    <row r="223" spans="1:9" x14ac:dyDescent="0.25">
      <c r="A223" s="49">
        <f>'A) Base RI'!A224</f>
        <v>5756</v>
      </c>
      <c r="B223" s="479" t="str">
        <f>'A) Base RI'!B224</f>
        <v>Montcherand</v>
      </c>
      <c r="C223" s="10">
        <f>'B) D RI'!Y224</f>
        <v>47391.8</v>
      </c>
      <c r="D223" s="423">
        <f>'B) D RI'!Z224</f>
        <v>20910.599999999999</v>
      </c>
      <c r="E223" s="10">
        <f t="shared" si="12"/>
        <v>68302.399999999994</v>
      </c>
      <c r="F223" s="423">
        <f>'B) D RI'!U224</f>
        <v>17739.52444444444</v>
      </c>
      <c r="G223" s="261">
        <f t="shared" si="13"/>
        <v>3.850294871990807</v>
      </c>
      <c r="H223" s="55">
        <f t="shared" si="14"/>
        <v>29969.08</v>
      </c>
      <c r="I223" s="395">
        <f t="shared" si="15"/>
        <v>1.6893959076442742</v>
      </c>
    </row>
    <row r="224" spans="1:9" x14ac:dyDescent="0.25">
      <c r="A224" s="49">
        <f>'A) Base RI'!A225</f>
        <v>5757</v>
      </c>
      <c r="B224" s="479" t="str">
        <f>'A) Base RI'!B225</f>
        <v>Orbe</v>
      </c>
      <c r="C224" s="10">
        <f>'B) D RI'!Y225</f>
        <v>1371640.1</v>
      </c>
      <c r="D224" s="423">
        <f>'B) D RI'!Z225</f>
        <v>3266196.25</v>
      </c>
      <c r="E224" s="10">
        <f t="shared" si="12"/>
        <v>4637836.3499999996</v>
      </c>
      <c r="F224" s="423">
        <f>'B) D RI'!U225</f>
        <v>216184.82317880794</v>
      </c>
      <c r="G224" s="261">
        <f t="shared" si="13"/>
        <v>21.453107955520142</v>
      </c>
      <c r="H224" s="55">
        <f t="shared" si="14"/>
        <v>1665678.925</v>
      </c>
      <c r="I224" s="395">
        <f t="shared" si="15"/>
        <v>7.7048837217509281</v>
      </c>
    </row>
    <row r="225" spans="1:9" x14ac:dyDescent="0.25">
      <c r="A225" s="49">
        <f>'A) Base RI'!A226</f>
        <v>5758</v>
      </c>
      <c r="B225" s="479" t="str">
        <f>'A) Base RI'!B226</f>
        <v>La Praz</v>
      </c>
      <c r="C225" s="10">
        <f>'B) D RI'!Y226</f>
        <v>42657.05</v>
      </c>
      <c r="D225" s="423">
        <f>'B) D RI'!Z226</f>
        <v>1860.55</v>
      </c>
      <c r="E225" s="10">
        <f t="shared" si="12"/>
        <v>44517.600000000006</v>
      </c>
      <c r="F225" s="423">
        <f>'B) D RI'!U226</f>
        <v>4771.8661445783146</v>
      </c>
      <c r="G225" s="261">
        <f t="shared" si="13"/>
        <v>9.3291803774881412</v>
      </c>
      <c r="H225" s="55">
        <f t="shared" si="14"/>
        <v>21886.690000000002</v>
      </c>
      <c r="I225" s="395">
        <f t="shared" si="15"/>
        <v>4.5866102143009941</v>
      </c>
    </row>
    <row r="226" spans="1:9" x14ac:dyDescent="0.25">
      <c r="A226" s="49">
        <f>'A) Base RI'!A227</f>
        <v>5759</v>
      </c>
      <c r="B226" s="479" t="str">
        <f>'A) Base RI'!B227</f>
        <v>Premier</v>
      </c>
      <c r="C226" s="10">
        <f>'B) D RI'!Y227</f>
        <v>0</v>
      </c>
      <c r="D226" s="423">
        <f>'B) D RI'!Z227</f>
        <v>4410.6499999999996</v>
      </c>
      <c r="E226" s="10">
        <f t="shared" si="12"/>
        <v>4410.6499999999996</v>
      </c>
      <c r="F226" s="423">
        <f>'B) D RI'!U227</f>
        <v>5900.0572327044019</v>
      </c>
      <c r="G226" s="261">
        <f t="shared" si="13"/>
        <v>0.74756054493022184</v>
      </c>
      <c r="H226" s="55">
        <f t="shared" si="14"/>
        <v>1323.1949999999999</v>
      </c>
      <c r="I226" s="395">
        <f t="shared" si="15"/>
        <v>0.22426816347906658</v>
      </c>
    </row>
    <row r="227" spans="1:9" x14ac:dyDescent="0.25">
      <c r="A227" s="49">
        <f>'A) Base RI'!A228</f>
        <v>5760</v>
      </c>
      <c r="B227" s="479" t="str">
        <f>'A) Base RI'!B228</f>
        <v>Rances</v>
      </c>
      <c r="C227" s="10">
        <f>'B) D RI'!Y228</f>
        <v>91863.65</v>
      </c>
      <c r="D227" s="423">
        <f>'B) D RI'!Z228</f>
        <v>34603.35</v>
      </c>
      <c r="E227" s="10">
        <f t="shared" si="12"/>
        <v>126467</v>
      </c>
      <c r="F227" s="423">
        <f>'B) D RI'!U228</f>
        <v>14481.892461873636</v>
      </c>
      <c r="G227" s="261">
        <f t="shared" si="13"/>
        <v>8.732767511770211</v>
      </c>
      <c r="H227" s="55">
        <f t="shared" si="14"/>
        <v>56312.829999999994</v>
      </c>
      <c r="I227" s="395">
        <f t="shared" si="15"/>
        <v>3.8884993897209452</v>
      </c>
    </row>
    <row r="228" spans="1:9" x14ac:dyDescent="0.25">
      <c r="A228" s="49">
        <f>'A) Base RI'!A229</f>
        <v>5761</v>
      </c>
      <c r="B228" s="479" t="str">
        <f>'A) Base RI'!B229</f>
        <v>Romainmôtier-Envy</v>
      </c>
      <c r="C228" s="10">
        <f>'B) D RI'!Y229</f>
        <v>150529.29999999999</v>
      </c>
      <c r="D228" s="423">
        <f>'B) D RI'!Z229</f>
        <v>67027.600000000006</v>
      </c>
      <c r="E228" s="10">
        <f t="shared" si="12"/>
        <v>217556.9</v>
      </c>
      <c r="F228" s="423">
        <f>'B) D RI'!U229</f>
        <v>12913.984792368126</v>
      </c>
      <c r="G228" s="261">
        <f t="shared" si="13"/>
        <v>16.846612683683134</v>
      </c>
      <c r="H228" s="55">
        <f t="shared" si="14"/>
        <v>95372.93</v>
      </c>
      <c r="I228" s="395">
        <f t="shared" si="15"/>
        <v>7.3852441003618994</v>
      </c>
    </row>
    <row r="229" spans="1:9" x14ac:dyDescent="0.25">
      <c r="A229" s="49">
        <f>'A) Base RI'!A230</f>
        <v>5762</v>
      </c>
      <c r="B229" s="479" t="str">
        <f>'A) Base RI'!B230</f>
        <v>Sergey</v>
      </c>
      <c r="C229" s="10">
        <f>'B) D RI'!Y230</f>
        <v>0</v>
      </c>
      <c r="D229" s="423">
        <f>'B) D RI'!Z230</f>
        <v>12165.4</v>
      </c>
      <c r="E229" s="10">
        <f t="shared" si="12"/>
        <v>12165.4</v>
      </c>
      <c r="F229" s="423">
        <f>'B) D RI'!U230</f>
        <v>3849.6283333333336</v>
      </c>
      <c r="G229" s="261">
        <f t="shared" si="13"/>
        <v>3.1601492265270625</v>
      </c>
      <c r="H229" s="55">
        <f t="shared" si="14"/>
        <v>3649.62</v>
      </c>
      <c r="I229" s="395">
        <f t="shared" si="15"/>
        <v>0.94804476795811887</v>
      </c>
    </row>
    <row r="230" spans="1:9" x14ac:dyDescent="0.25">
      <c r="A230" s="49">
        <f>'A) Base RI'!A231</f>
        <v>5763</v>
      </c>
      <c r="B230" s="479" t="str">
        <f>'A) Base RI'!B231</f>
        <v>Valeyres-sous-Rances</v>
      </c>
      <c r="C230" s="10">
        <f>'B) D RI'!Y231</f>
        <v>26867.85</v>
      </c>
      <c r="D230" s="423">
        <f>'B) D RI'!Z231</f>
        <v>33568.9</v>
      </c>
      <c r="E230" s="10">
        <f t="shared" si="12"/>
        <v>60436.75</v>
      </c>
      <c r="F230" s="423">
        <f>'B) D RI'!U231</f>
        <v>22663.97352941176</v>
      </c>
      <c r="G230" s="261">
        <f t="shared" si="13"/>
        <v>2.6666440428713574</v>
      </c>
      <c r="H230" s="55">
        <f t="shared" si="14"/>
        <v>23504.595000000001</v>
      </c>
      <c r="I230" s="395">
        <f t="shared" si="15"/>
        <v>1.0370906482703635</v>
      </c>
    </row>
    <row r="231" spans="1:9" x14ac:dyDescent="0.25">
      <c r="A231" s="49">
        <f>'A) Base RI'!A232</f>
        <v>5764</v>
      </c>
      <c r="B231" s="479" t="str">
        <f>'A) Base RI'!B232</f>
        <v>Vallorbe</v>
      </c>
      <c r="C231" s="10">
        <f>'B) D RI'!Y232</f>
        <v>459229.35000000003</v>
      </c>
      <c r="D231" s="423">
        <f>'B) D RI'!Z232</f>
        <v>2206248.75</v>
      </c>
      <c r="E231" s="10">
        <f t="shared" si="12"/>
        <v>2665478.1</v>
      </c>
      <c r="F231" s="423">
        <f>'B) D RI'!U232</f>
        <v>83682.382797202779</v>
      </c>
      <c r="G231" s="261">
        <f t="shared" si="13"/>
        <v>31.85232077412951</v>
      </c>
      <c r="H231" s="55">
        <f t="shared" si="14"/>
        <v>891489.3</v>
      </c>
      <c r="I231" s="395">
        <f t="shared" si="15"/>
        <v>10.65324946781749</v>
      </c>
    </row>
    <row r="232" spans="1:9" x14ac:dyDescent="0.25">
      <c r="A232" s="49">
        <f>'A) Base RI'!A233</f>
        <v>5765</v>
      </c>
      <c r="B232" s="479" t="str">
        <f>'A) Base RI'!B233</f>
        <v>Vaulion</v>
      </c>
      <c r="C232" s="10">
        <f>'B) D RI'!Y233</f>
        <v>69089.25</v>
      </c>
      <c r="D232" s="423">
        <f>'B) D RI'!Z233</f>
        <v>51234.400000000001</v>
      </c>
      <c r="E232" s="10">
        <f t="shared" si="12"/>
        <v>120323.65</v>
      </c>
      <c r="F232" s="423">
        <f>'B) D RI'!U233</f>
        <v>10279.479012345679</v>
      </c>
      <c r="G232" s="261">
        <f t="shared" si="13"/>
        <v>11.705228431858366</v>
      </c>
      <c r="H232" s="55">
        <f t="shared" si="14"/>
        <v>49914.945</v>
      </c>
      <c r="I232" s="395">
        <f t="shared" si="15"/>
        <v>4.8557854867987018</v>
      </c>
    </row>
    <row r="233" spans="1:9" x14ac:dyDescent="0.25">
      <c r="A233" s="49">
        <f>'A) Base RI'!A234</f>
        <v>5766</v>
      </c>
      <c r="B233" s="479" t="str">
        <f>'A) Base RI'!B234</f>
        <v>Vuiteboeuf</v>
      </c>
      <c r="C233" s="10">
        <f>'B) D RI'!Y234</f>
        <v>86157.7</v>
      </c>
      <c r="D233" s="423">
        <f>'B) D RI'!Z234</f>
        <v>29394.75</v>
      </c>
      <c r="E233" s="10">
        <f t="shared" si="12"/>
        <v>115552.45</v>
      </c>
      <c r="F233" s="423">
        <f>'B) D RI'!U234</f>
        <v>15554.101904761903</v>
      </c>
      <c r="G233" s="261">
        <f t="shared" si="13"/>
        <v>7.4290660243535829</v>
      </c>
      <c r="H233" s="55">
        <f t="shared" si="14"/>
        <v>51897.274999999994</v>
      </c>
      <c r="I233" s="395">
        <f t="shared" si="15"/>
        <v>3.3365651914696275</v>
      </c>
    </row>
    <row r="234" spans="1:9" x14ac:dyDescent="0.25">
      <c r="A234" s="49">
        <f>'A) Base RI'!A235</f>
        <v>5785</v>
      </c>
      <c r="B234" s="479" t="str">
        <f>'A) Base RI'!B235</f>
        <v>Corcelles-le-Jorat</v>
      </c>
      <c r="C234" s="10">
        <f>'B) D RI'!Y235</f>
        <v>75904.799999999988</v>
      </c>
      <c r="D234" s="423">
        <f>'B) D RI'!Z235</f>
        <v>0</v>
      </c>
      <c r="E234" s="10">
        <f t="shared" si="12"/>
        <v>75904.799999999988</v>
      </c>
      <c r="F234" s="423">
        <f>'B) D RI'!U235</f>
        <v>14579.940909090908</v>
      </c>
      <c r="G234" s="261">
        <f t="shared" si="13"/>
        <v>5.2061116346961125</v>
      </c>
      <c r="H234" s="55">
        <f t="shared" si="14"/>
        <v>37952.399999999994</v>
      </c>
      <c r="I234" s="395">
        <f t="shared" si="15"/>
        <v>2.6030558173480562</v>
      </c>
    </row>
    <row r="235" spans="1:9" x14ac:dyDescent="0.25">
      <c r="A235" s="49">
        <f>'A) Base RI'!A236</f>
        <v>5788</v>
      </c>
      <c r="B235" s="479" t="str">
        <f>'A) Base RI'!B236</f>
        <v>Essertes</v>
      </c>
      <c r="C235" s="10">
        <f>'B) D RI'!Y236</f>
        <v>29167.1</v>
      </c>
      <c r="D235" s="423">
        <f>'B) D RI'!Z236</f>
        <v>0</v>
      </c>
      <c r="E235" s="10">
        <f t="shared" si="12"/>
        <v>29167.1</v>
      </c>
      <c r="F235" s="423">
        <f>'B) D RI'!U236</f>
        <v>13314.951048951047</v>
      </c>
      <c r="G235" s="261">
        <f t="shared" si="13"/>
        <v>2.1905525519973867</v>
      </c>
      <c r="H235" s="55">
        <f t="shared" si="14"/>
        <v>14583.55</v>
      </c>
      <c r="I235" s="395">
        <f t="shared" si="15"/>
        <v>1.0952762759986934</v>
      </c>
    </row>
    <row r="236" spans="1:9" x14ac:dyDescent="0.25">
      <c r="A236" s="49">
        <f>'A) Base RI'!A237</f>
        <v>5790</v>
      </c>
      <c r="B236" s="479" t="str">
        <f>'A) Base RI'!B237</f>
        <v>Maracon</v>
      </c>
      <c r="C236" s="10">
        <f>'B) D RI'!Y237</f>
        <v>62894.35</v>
      </c>
      <c r="D236" s="423">
        <f>'B) D RI'!Z237</f>
        <v>5741.85</v>
      </c>
      <c r="E236" s="10">
        <f t="shared" si="12"/>
        <v>68636.2</v>
      </c>
      <c r="F236" s="423">
        <f>'B) D RI'!U237</f>
        <v>15172.050604026846</v>
      </c>
      <c r="G236" s="261">
        <f t="shared" si="13"/>
        <v>4.5238578351289647</v>
      </c>
      <c r="H236" s="55">
        <f t="shared" si="14"/>
        <v>33169.729999999996</v>
      </c>
      <c r="I236" s="395">
        <f t="shared" si="15"/>
        <v>2.1862390830146814</v>
      </c>
    </row>
    <row r="237" spans="1:9" x14ac:dyDescent="0.25">
      <c r="A237" s="49">
        <f>'A) Base RI'!A238</f>
        <v>5792</v>
      </c>
      <c r="B237" s="479" t="str">
        <f>'A) Base RI'!B238</f>
        <v>Montpreveyres</v>
      </c>
      <c r="C237" s="10">
        <f>'B) D RI'!Y238</f>
        <v>174614.95</v>
      </c>
      <c r="D237" s="423">
        <f>'B) D RI'!Z238</f>
        <v>681.3</v>
      </c>
      <c r="E237" s="10">
        <f t="shared" si="12"/>
        <v>175296.25</v>
      </c>
      <c r="F237" s="423">
        <f>'B) D RI'!U238</f>
        <v>20145.836291390729</v>
      </c>
      <c r="G237" s="261">
        <f t="shared" si="13"/>
        <v>8.7013637688951331</v>
      </c>
      <c r="H237" s="55">
        <f t="shared" si="14"/>
        <v>87511.865000000005</v>
      </c>
      <c r="I237" s="395">
        <f t="shared" si="15"/>
        <v>4.343918203951552</v>
      </c>
    </row>
    <row r="238" spans="1:9" x14ac:dyDescent="0.25">
      <c r="A238" s="49">
        <f>'A) Base RI'!A239</f>
        <v>5798</v>
      </c>
      <c r="B238" s="479" t="str">
        <f>'A) Base RI'!B239</f>
        <v>Ropraz</v>
      </c>
      <c r="C238" s="10">
        <f>'B) D RI'!Y239</f>
        <v>126497</v>
      </c>
      <c r="D238" s="423">
        <f>'B) D RI'!Z239</f>
        <v>19232.099999999999</v>
      </c>
      <c r="E238" s="10">
        <f t="shared" si="12"/>
        <v>145729.1</v>
      </c>
      <c r="F238" s="423">
        <f>'B) D RI'!U239</f>
        <v>17444.805161290325</v>
      </c>
      <c r="G238" s="261">
        <f t="shared" si="13"/>
        <v>8.3537247136110171</v>
      </c>
      <c r="H238" s="55">
        <f t="shared" si="14"/>
        <v>69018.13</v>
      </c>
      <c r="I238" s="395">
        <f t="shared" si="15"/>
        <v>3.9563715021105454</v>
      </c>
    </row>
    <row r="239" spans="1:9" x14ac:dyDescent="0.25">
      <c r="A239" s="49">
        <f>'A) Base RI'!A240</f>
        <v>5799</v>
      </c>
      <c r="B239" s="479" t="str">
        <f>'A) Base RI'!B240</f>
        <v>Servion</v>
      </c>
      <c r="C239" s="10">
        <f>'B) D RI'!Y240</f>
        <v>478159.2</v>
      </c>
      <c r="D239" s="423">
        <f>'B) D RI'!Z240</f>
        <v>33537.599999999999</v>
      </c>
      <c r="E239" s="10">
        <f t="shared" si="12"/>
        <v>511696.8</v>
      </c>
      <c r="F239" s="423">
        <f>'B) D RI'!U240</f>
        <v>71744.263478260895</v>
      </c>
      <c r="G239" s="261">
        <f t="shared" si="13"/>
        <v>7.1322329506532371</v>
      </c>
      <c r="H239" s="55">
        <f t="shared" si="14"/>
        <v>249140.88</v>
      </c>
      <c r="I239" s="395">
        <f t="shared" si="15"/>
        <v>3.4726244011898144</v>
      </c>
    </row>
    <row r="240" spans="1:9" x14ac:dyDescent="0.25">
      <c r="A240" s="49">
        <f>'A) Base RI'!A241</f>
        <v>5803</v>
      </c>
      <c r="B240" s="479" t="str">
        <f>'A) Base RI'!B241</f>
        <v>Vulliens</v>
      </c>
      <c r="C240" s="10">
        <f>'B) D RI'!Y241</f>
        <v>107532</v>
      </c>
      <c r="D240" s="423">
        <f>'B) D RI'!Z241</f>
        <v>898.7</v>
      </c>
      <c r="E240" s="10">
        <f t="shared" si="12"/>
        <v>108430.7</v>
      </c>
      <c r="F240" s="423">
        <f>'B) D RI'!U241</f>
        <v>17996.188026315795</v>
      </c>
      <c r="G240" s="261">
        <f t="shared" si="13"/>
        <v>6.0252037732347521</v>
      </c>
      <c r="H240" s="55">
        <f t="shared" si="14"/>
        <v>54035.61</v>
      </c>
      <c r="I240" s="395">
        <f t="shared" si="15"/>
        <v>3.0026142159097149</v>
      </c>
    </row>
    <row r="241" spans="1:9" x14ac:dyDescent="0.25">
      <c r="A241" s="49">
        <f>'A) Base RI'!A242</f>
        <v>5804</v>
      </c>
      <c r="B241" s="479" t="str">
        <f>'A) Base RI'!B242</f>
        <v>Jorat-Menthue</v>
      </c>
      <c r="C241" s="10">
        <f>'B) D RI'!Y242</f>
        <v>162112.04999999999</v>
      </c>
      <c r="D241" s="423">
        <f>'B) D RI'!Z242</f>
        <v>15774.9</v>
      </c>
      <c r="E241" s="10">
        <f t="shared" si="12"/>
        <v>177886.94999999998</v>
      </c>
      <c r="F241" s="423">
        <f>'B) D RI'!U242</f>
        <v>46854.424539007086</v>
      </c>
      <c r="G241" s="261">
        <f t="shared" si="13"/>
        <v>3.7965880864016617</v>
      </c>
      <c r="H241" s="55">
        <f t="shared" si="14"/>
        <v>85788.494999999995</v>
      </c>
      <c r="I241" s="395">
        <f t="shared" si="15"/>
        <v>1.830958246612967</v>
      </c>
    </row>
    <row r="242" spans="1:9" x14ac:dyDescent="0.25">
      <c r="A242" s="49">
        <f>'A) Base RI'!A243</f>
        <v>5805</v>
      </c>
      <c r="B242" s="479" t="str">
        <f>'A) Base RI'!B243</f>
        <v>Oron</v>
      </c>
      <c r="C242" s="10">
        <f>'B) D RI'!Y243</f>
        <v>578877.4</v>
      </c>
      <c r="D242" s="423">
        <f>'B) D RI'!Z243</f>
        <v>100890.6</v>
      </c>
      <c r="E242" s="10">
        <f t="shared" si="12"/>
        <v>679768</v>
      </c>
      <c r="F242" s="423">
        <f>'B) D RI'!U243</f>
        <v>162115.58504611329</v>
      </c>
      <c r="G242" s="261">
        <f t="shared" si="13"/>
        <v>4.1931070341364283</v>
      </c>
      <c r="H242" s="55">
        <f t="shared" si="14"/>
        <v>319705.88</v>
      </c>
      <c r="I242" s="395">
        <f t="shared" si="15"/>
        <v>1.9720860268250002</v>
      </c>
    </row>
    <row r="243" spans="1:9" x14ac:dyDescent="0.25">
      <c r="A243" s="49">
        <f>'A) Base RI'!A244</f>
        <v>5806</v>
      </c>
      <c r="B243" s="479" t="str">
        <f>'A) Base RI'!B244</f>
        <v>Jorat-Mézières</v>
      </c>
      <c r="C243" s="10">
        <f>'B) D RI'!Y244</f>
        <v>971531.65</v>
      </c>
      <c r="D243" s="423">
        <f>'B) D RI'!Z244</f>
        <v>31196.15</v>
      </c>
      <c r="E243" s="10">
        <f t="shared" si="12"/>
        <v>1002727.8</v>
      </c>
      <c r="F243" s="423">
        <f>'B) D RI'!U244</f>
        <v>102077.74465753423</v>
      </c>
      <c r="G243" s="261">
        <f t="shared" si="13"/>
        <v>9.823177455223977</v>
      </c>
      <c r="H243" s="55">
        <f t="shared" si="14"/>
        <v>495124.67</v>
      </c>
      <c r="I243" s="395">
        <f t="shared" si="15"/>
        <v>4.8504663936406383</v>
      </c>
    </row>
    <row r="244" spans="1:9" x14ac:dyDescent="0.25">
      <c r="A244" s="49">
        <f>'A) Base RI'!A245</f>
        <v>5812</v>
      </c>
      <c r="B244" s="479" t="str">
        <f>'A) Base RI'!B245</f>
        <v>Champtauroz</v>
      </c>
      <c r="C244" s="10">
        <f>'B) D RI'!Y245</f>
        <v>14211.3</v>
      </c>
      <c r="D244" s="423">
        <f>'B) D RI'!Z245</f>
        <v>0</v>
      </c>
      <c r="E244" s="10">
        <f t="shared" si="12"/>
        <v>14211.3</v>
      </c>
      <c r="F244" s="423">
        <f>'B) D RI'!U245</f>
        <v>3349.1505194805191</v>
      </c>
      <c r="G244" s="261">
        <f t="shared" si="13"/>
        <v>4.2432550932958035</v>
      </c>
      <c r="H244" s="55">
        <f t="shared" si="14"/>
        <v>7105.65</v>
      </c>
      <c r="I244" s="395">
        <f t="shared" si="15"/>
        <v>2.1216275466479018</v>
      </c>
    </row>
    <row r="245" spans="1:9" x14ac:dyDescent="0.25">
      <c r="A245" s="49">
        <f>'A) Base RI'!A246</f>
        <v>5813</v>
      </c>
      <c r="B245" s="479" t="str">
        <f>'A) Base RI'!B246</f>
        <v>Chevroux</v>
      </c>
      <c r="C245" s="10">
        <f>'B) D RI'!Y246</f>
        <v>152329.59999999998</v>
      </c>
      <c r="D245" s="423">
        <f>'B) D RI'!Z246</f>
        <v>0</v>
      </c>
      <c r="E245" s="10">
        <f t="shared" si="12"/>
        <v>152329.59999999998</v>
      </c>
      <c r="F245" s="423">
        <f>'B) D RI'!U246</f>
        <v>15276.905328467155</v>
      </c>
      <c r="G245" s="261">
        <f t="shared" si="13"/>
        <v>9.9712341423067734</v>
      </c>
      <c r="H245" s="55">
        <f t="shared" si="14"/>
        <v>76164.799999999988</v>
      </c>
      <c r="I245" s="395">
        <f t="shared" si="15"/>
        <v>4.9856170711533867</v>
      </c>
    </row>
    <row r="246" spans="1:9" x14ac:dyDescent="0.25">
      <c r="A246" s="49">
        <f>'A) Base RI'!A247</f>
        <v>5816</v>
      </c>
      <c r="B246" s="479" t="str">
        <f>'A) Base RI'!B247</f>
        <v>Corcelles-près-Payerne</v>
      </c>
      <c r="C246" s="10">
        <f>'B) D RI'!Y247</f>
        <v>256003.45</v>
      </c>
      <c r="D246" s="423">
        <f>'B) D RI'!Z247</f>
        <v>25265.5</v>
      </c>
      <c r="E246" s="10">
        <f t="shared" si="12"/>
        <v>281268.95</v>
      </c>
      <c r="F246" s="423">
        <f>'B) D RI'!U247</f>
        <v>65651.255161626686</v>
      </c>
      <c r="G246" s="261">
        <f t="shared" si="13"/>
        <v>4.2842889950473086</v>
      </c>
      <c r="H246" s="55">
        <f t="shared" si="14"/>
        <v>135581.375</v>
      </c>
      <c r="I246" s="395">
        <f t="shared" si="15"/>
        <v>2.0651756720600773</v>
      </c>
    </row>
    <row r="247" spans="1:9" x14ac:dyDescent="0.25">
      <c r="A247" s="49">
        <f>'A) Base RI'!A248</f>
        <v>5817</v>
      </c>
      <c r="B247" s="479" t="str">
        <f>'A) Base RI'!B248</f>
        <v>Grandcour</v>
      </c>
      <c r="C247" s="10">
        <f>'B) D RI'!Y248</f>
        <v>41155.800000000003</v>
      </c>
      <c r="D247" s="423">
        <f>'B) D RI'!Z248</f>
        <v>7672.05</v>
      </c>
      <c r="E247" s="10">
        <f t="shared" si="12"/>
        <v>48827.850000000006</v>
      </c>
      <c r="F247" s="423">
        <f>'B) D RI'!U248</f>
        <v>24623.103809523807</v>
      </c>
      <c r="G247" s="261">
        <f t="shared" si="13"/>
        <v>1.9830095497998999</v>
      </c>
      <c r="H247" s="55">
        <f t="shared" si="14"/>
        <v>22879.514999999999</v>
      </c>
      <c r="I247" s="395">
        <f t="shared" si="15"/>
        <v>0.92918891042284379</v>
      </c>
    </row>
    <row r="248" spans="1:9" x14ac:dyDescent="0.25">
      <c r="A248" s="49">
        <f>'A) Base RI'!A249</f>
        <v>5819</v>
      </c>
      <c r="B248" s="479" t="str">
        <f>'A) Base RI'!B249</f>
        <v>Henniez</v>
      </c>
      <c r="C248" s="10">
        <f>'B) D RI'!Y249</f>
        <v>63229.95</v>
      </c>
      <c r="D248" s="423">
        <f>'B) D RI'!Z249</f>
        <v>5222.3500000000004</v>
      </c>
      <c r="E248" s="10">
        <f t="shared" si="12"/>
        <v>68452.3</v>
      </c>
      <c r="F248" s="423">
        <f>'B) D RI'!U249</f>
        <v>10062.980434782607</v>
      </c>
      <c r="G248" s="261">
        <f t="shared" si="13"/>
        <v>6.8023882629638441</v>
      </c>
      <c r="H248" s="55">
        <f t="shared" si="14"/>
        <v>33181.68</v>
      </c>
      <c r="I248" s="395">
        <f t="shared" si="15"/>
        <v>3.2974008262311436</v>
      </c>
    </row>
    <row r="249" spans="1:9" x14ac:dyDescent="0.25">
      <c r="A249" s="49">
        <f>'A) Base RI'!A250</f>
        <v>5821</v>
      </c>
      <c r="B249" s="479" t="str">
        <f>'A) Base RI'!B250</f>
        <v>Missy</v>
      </c>
      <c r="C249" s="10">
        <f>'B) D RI'!Y250</f>
        <v>24585.75</v>
      </c>
      <c r="D249" s="423">
        <f>'B) D RI'!Z250</f>
        <v>0</v>
      </c>
      <c r="E249" s="10">
        <f t="shared" si="12"/>
        <v>24585.75</v>
      </c>
      <c r="F249" s="423">
        <f>'B) D RI'!U250</f>
        <v>8044.6855555555558</v>
      </c>
      <c r="G249" s="261">
        <f t="shared" si="13"/>
        <v>3.0561480408667308</v>
      </c>
      <c r="H249" s="55">
        <f t="shared" si="14"/>
        <v>12292.875</v>
      </c>
      <c r="I249" s="395">
        <f t="shared" si="15"/>
        <v>1.5280740204333654</v>
      </c>
    </row>
    <row r="250" spans="1:9" x14ac:dyDescent="0.25">
      <c r="A250" s="49">
        <f>'A) Base RI'!A251</f>
        <v>5822</v>
      </c>
      <c r="B250" s="479" t="str">
        <f>'A) Base RI'!B251</f>
        <v>Payerne</v>
      </c>
      <c r="C250" s="10">
        <f>'B) D RI'!Y251</f>
        <v>2264737.9500000002</v>
      </c>
      <c r="D250" s="423">
        <f>'B) D RI'!Z251</f>
        <v>26658.9</v>
      </c>
      <c r="E250" s="10">
        <f t="shared" si="12"/>
        <v>2291396.85</v>
      </c>
      <c r="F250" s="423">
        <f>'B) D RI'!U251</f>
        <v>239984.44424657538</v>
      </c>
      <c r="G250" s="261">
        <f t="shared" si="13"/>
        <v>9.5481057415774515</v>
      </c>
      <c r="H250" s="55">
        <f t="shared" si="14"/>
        <v>1140366.645</v>
      </c>
      <c r="I250" s="395">
        <f t="shared" si="15"/>
        <v>4.7518356807673516</v>
      </c>
    </row>
    <row r="251" spans="1:9" x14ac:dyDescent="0.25">
      <c r="A251" s="49">
        <f>'A) Base RI'!A252</f>
        <v>5827</v>
      </c>
      <c r="B251" s="479" t="str">
        <f>'A) Base RI'!B252</f>
        <v>Trey</v>
      </c>
      <c r="C251" s="10">
        <f>'B) D RI'!Y252</f>
        <v>115382.75</v>
      </c>
      <c r="D251" s="423">
        <f>'B) D RI'!Z252</f>
        <v>0</v>
      </c>
      <c r="E251" s="10">
        <f t="shared" si="12"/>
        <v>115382.75</v>
      </c>
      <c r="F251" s="423">
        <f>'B) D RI'!U252</f>
        <v>7747.4438461538457</v>
      </c>
      <c r="G251" s="261">
        <f t="shared" si="13"/>
        <v>14.89300888024904</v>
      </c>
      <c r="H251" s="55">
        <f t="shared" si="14"/>
        <v>57691.375</v>
      </c>
      <c r="I251" s="395">
        <f t="shared" si="15"/>
        <v>7.44650444012452</v>
      </c>
    </row>
    <row r="252" spans="1:9" x14ac:dyDescent="0.25">
      <c r="A252" s="49">
        <f>'A) Base RI'!A253</f>
        <v>5828</v>
      </c>
      <c r="B252" s="479" t="str">
        <f>'A) Base RI'!B253</f>
        <v>Treytorrens (Payerne)</v>
      </c>
      <c r="C252" s="10">
        <f>'B) D RI'!Y253</f>
        <v>13674.05</v>
      </c>
      <c r="D252" s="423">
        <f>'B) D RI'!Z253</f>
        <v>0</v>
      </c>
      <c r="E252" s="10">
        <f t="shared" si="12"/>
        <v>13674.05</v>
      </c>
      <c r="F252" s="423">
        <f>'B) D RI'!U253</f>
        <v>2899.2203232323236</v>
      </c>
      <c r="G252" s="261">
        <f t="shared" si="13"/>
        <v>4.7164576939619689</v>
      </c>
      <c r="H252" s="55">
        <f t="shared" si="14"/>
        <v>6837.0249999999996</v>
      </c>
      <c r="I252" s="395">
        <f t="shared" si="15"/>
        <v>2.3582288469809844</v>
      </c>
    </row>
    <row r="253" spans="1:9" x14ac:dyDescent="0.25">
      <c r="A253" s="49">
        <f>'A) Base RI'!A254</f>
        <v>5830</v>
      </c>
      <c r="B253" s="479" t="str">
        <f>'A) Base RI'!B254</f>
        <v>Villarzel</v>
      </c>
      <c r="C253" s="10">
        <f>'B) D RI'!Y254</f>
        <v>124493.95</v>
      </c>
      <c r="D253" s="423">
        <f>'B) D RI'!Z254</f>
        <v>8196.65</v>
      </c>
      <c r="E253" s="10">
        <f t="shared" si="12"/>
        <v>132690.6</v>
      </c>
      <c r="F253" s="423">
        <f>'B) D RI'!U254</f>
        <v>12409.986933333334</v>
      </c>
      <c r="G253" s="261">
        <f t="shared" si="13"/>
        <v>10.692243328926631</v>
      </c>
      <c r="H253" s="55">
        <f t="shared" si="14"/>
        <v>64705.97</v>
      </c>
      <c r="I253" s="395">
        <f t="shared" si="15"/>
        <v>5.214024023361314</v>
      </c>
    </row>
    <row r="254" spans="1:9" x14ac:dyDescent="0.25">
      <c r="A254" s="49">
        <f>'A) Base RI'!A255</f>
        <v>5831</v>
      </c>
      <c r="B254" s="479" t="str">
        <f>'A) Base RI'!B255</f>
        <v>Valbroye</v>
      </c>
      <c r="C254" s="10">
        <f>'B) D RI'!Y255</f>
        <v>851787.60000000009</v>
      </c>
      <c r="D254" s="423">
        <f>'B) D RI'!Z255</f>
        <v>21377.35</v>
      </c>
      <c r="E254" s="10">
        <f t="shared" si="12"/>
        <v>873164.95000000007</v>
      </c>
      <c r="F254" s="423">
        <f>'B) D RI'!U255</f>
        <v>81068.822458628842</v>
      </c>
      <c r="G254" s="261">
        <f t="shared" si="13"/>
        <v>10.770662796361632</v>
      </c>
      <c r="H254" s="55">
        <f t="shared" si="14"/>
        <v>432307.00500000006</v>
      </c>
      <c r="I254" s="395">
        <f t="shared" si="15"/>
        <v>5.3325926279565197</v>
      </c>
    </row>
    <row r="255" spans="1:9" x14ac:dyDescent="0.25">
      <c r="A255" s="49">
        <f>'A) Base RI'!A256</f>
        <v>5841</v>
      </c>
      <c r="B255" s="479" t="str">
        <f>'A) Base RI'!B256</f>
        <v>Château-d'Oex</v>
      </c>
      <c r="C255" s="10">
        <f>'B) D RI'!Y256</f>
        <v>1786351.9</v>
      </c>
      <c r="D255" s="423">
        <f>'B) D RI'!Z256</f>
        <v>4103.45</v>
      </c>
      <c r="E255" s="10">
        <f t="shared" si="12"/>
        <v>1790455.3499999999</v>
      </c>
      <c r="F255" s="423">
        <f>'B) D RI'!U256</f>
        <v>110857.63779141105</v>
      </c>
      <c r="G255" s="261">
        <f t="shared" si="13"/>
        <v>16.150942647442189</v>
      </c>
      <c r="H255" s="55">
        <f t="shared" si="14"/>
        <v>894406.98499999999</v>
      </c>
      <c r="I255" s="395">
        <f t="shared" si="15"/>
        <v>8.0680682253297675</v>
      </c>
    </row>
    <row r="256" spans="1:9" x14ac:dyDescent="0.25">
      <c r="A256" s="49">
        <f>'A) Base RI'!A257</f>
        <v>5842</v>
      </c>
      <c r="B256" s="479" t="str">
        <f>'A) Base RI'!B257</f>
        <v>Rossinière</v>
      </c>
      <c r="C256" s="10">
        <f>'B) D RI'!Y257</f>
        <v>87162.35</v>
      </c>
      <c r="D256" s="423">
        <f>'B) D RI'!Z257</f>
        <v>0</v>
      </c>
      <c r="E256" s="10">
        <f t="shared" si="12"/>
        <v>87162.35</v>
      </c>
      <c r="F256" s="423">
        <f>'B) D RI'!U257</f>
        <v>14944.680411522633</v>
      </c>
      <c r="G256" s="261">
        <f t="shared" si="13"/>
        <v>5.8323328167523858</v>
      </c>
      <c r="H256" s="55">
        <f t="shared" si="14"/>
        <v>43581.175000000003</v>
      </c>
      <c r="I256" s="395">
        <f t="shared" si="15"/>
        <v>2.9161664083761929</v>
      </c>
    </row>
    <row r="257" spans="1:9" x14ac:dyDescent="0.25">
      <c r="A257" s="49">
        <f>'A) Base RI'!A258</f>
        <v>5843</v>
      </c>
      <c r="B257" s="479" t="str">
        <f>'A) Base RI'!B258</f>
        <v>Rougemont</v>
      </c>
      <c r="C257" s="10">
        <f>'B) D RI'!Y258</f>
        <v>2316734.1</v>
      </c>
      <c r="D257" s="423">
        <f>'B) D RI'!Z258</f>
        <v>10483.35</v>
      </c>
      <c r="E257" s="10">
        <f t="shared" si="12"/>
        <v>2327217.4500000002</v>
      </c>
      <c r="F257" s="423">
        <f>'B) D RI'!U258</f>
        <v>97088.109459459462</v>
      </c>
      <c r="G257" s="261">
        <f t="shared" si="13"/>
        <v>23.970159301245467</v>
      </c>
      <c r="H257" s="55">
        <f t="shared" si="14"/>
        <v>1161512.0549999999</v>
      </c>
      <c r="I257" s="395">
        <f t="shared" si="15"/>
        <v>11.963484112181687</v>
      </c>
    </row>
    <row r="258" spans="1:9" x14ac:dyDescent="0.25">
      <c r="A258" s="49">
        <f>'A) Base RI'!A259</f>
        <v>5851</v>
      </c>
      <c r="B258" s="479" t="str">
        <f>'A) Base RI'!B259</f>
        <v>Allaman</v>
      </c>
      <c r="C258" s="10">
        <f>'B) D RI'!Y259</f>
        <v>71953.25</v>
      </c>
      <c r="D258" s="423">
        <f>'B) D RI'!Z259</f>
        <v>59074.75</v>
      </c>
      <c r="E258" s="10">
        <f t="shared" si="12"/>
        <v>131028</v>
      </c>
      <c r="F258" s="423">
        <f>'B) D RI'!U259</f>
        <v>24875.935818181821</v>
      </c>
      <c r="G258" s="261">
        <f t="shared" si="13"/>
        <v>5.267259127764417</v>
      </c>
      <c r="H258" s="55">
        <f t="shared" si="14"/>
        <v>53699.05</v>
      </c>
      <c r="I258" s="395">
        <f t="shared" si="15"/>
        <v>2.1586745677624464</v>
      </c>
    </row>
    <row r="259" spans="1:9" x14ac:dyDescent="0.25">
      <c r="A259" s="49">
        <f>'A) Base RI'!A260</f>
        <v>5852</v>
      </c>
      <c r="B259" s="479" t="str">
        <f>'A) Base RI'!B260</f>
        <v>Bursinel</v>
      </c>
      <c r="C259" s="10">
        <f>'B) D RI'!Y260</f>
        <v>335558.30000000005</v>
      </c>
      <c r="D259" s="423">
        <f>'B) D RI'!Z260</f>
        <v>9375.5499999999993</v>
      </c>
      <c r="E259" s="10">
        <f t="shared" si="12"/>
        <v>344933.85000000003</v>
      </c>
      <c r="F259" s="423">
        <f>'B) D RI'!U260</f>
        <v>34636.657688172039</v>
      </c>
      <c r="G259" s="261">
        <f t="shared" si="13"/>
        <v>9.9586355330638732</v>
      </c>
      <c r="H259" s="55">
        <f t="shared" si="14"/>
        <v>170591.81500000003</v>
      </c>
      <c r="I259" s="395">
        <f t="shared" si="15"/>
        <v>4.9251811920136532</v>
      </c>
    </row>
    <row r="260" spans="1:9" x14ac:dyDescent="0.25">
      <c r="A260" s="49">
        <f>'A) Base RI'!A261</f>
        <v>5853</v>
      </c>
      <c r="B260" s="479" t="str">
        <f>'A) Base RI'!B261</f>
        <v>Bursins</v>
      </c>
      <c r="C260" s="10">
        <f>'B) D RI'!Y261</f>
        <v>522025.4</v>
      </c>
      <c r="D260" s="423">
        <f>'B) D RI'!Z261</f>
        <v>82707.899999999994</v>
      </c>
      <c r="E260" s="10">
        <f t="shared" si="12"/>
        <v>604733.30000000005</v>
      </c>
      <c r="F260" s="423">
        <f>'B) D RI'!U261</f>
        <v>44486.311690140843</v>
      </c>
      <c r="G260" s="261">
        <f t="shared" si="13"/>
        <v>13.593693813326908</v>
      </c>
      <c r="H260" s="55">
        <f t="shared" si="14"/>
        <v>285825.07</v>
      </c>
      <c r="I260" s="395">
        <f t="shared" si="15"/>
        <v>6.4250116303380844</v>
      </c>
    </row>
    <row r="261" spans="1:9" x14ac:dyDescent="0.25">
      <c r="A261" s="49">
        <f>'A) Base RI'!A262</f>
        <v>5854</v>
      </c>
      <c r="B261" s="479" t="str">
        <f>'A) Base RI'!B262</f>
        <v>Burtigny</v>
      </c>
      <c r="C261" s="10">
        <f>'B) D RI'!Y262</f>
        <v>45382.55</v>
      </c>
      <c r="D261" s="423">
        <f>'B) D RI'!Z262</f>
        <v>42212.55</v>
      </c>
      <c r="E261" s="10">
        <f t="shared" si="12"/>
        <v>87595.1</v>
      </c>
      <c r="F261" s="423">
        <f>'B) D RI'!U262</f>
        <v>15255.967208333332</v>
      </c>
      <c r="G261" s="261">
        <f t="shared" si="13"/>
        <v>5.7416943025515002</v>
      </c>
      <c r="H261" s="55">
        <f t="shared" si="14"/>
        <v>35355.040000000001</v>
      </c>
      <c r="I261" s="395">
        <f t="shared" si="15"/>
        <v>2.317456475698759</v>
      </c>
    </row>
    <row r="262" spans="1:9" x14ac:dyDescent="0.25">
      <c r="A262" s="49">
        <f>'A) Base RI'!A263</f>
        <v>5855</v>
      </c>
      <c r="B262" s="479" t="str">
        <f>'A) Base RI'!B263</f>
        <v>Dully</v>
      </c>
      <c r="C262" s="10">
        <f>'B) D RI'!Y263</f>
        <v>667542.65</v>
      </c>
      <c r="D262" s="423">
        <f>'B) D RI'!Z263</f>
        <v>1358.65</v>
      </c>
      <c r="E262" s="10">
        <f t="shared" si="12"/>
        <v>668901.30000000005</v>
      </c>
      <c r="F262" s="423">
        <f>'B) D RI'!U263</f>
        <v>93684.152857142864</v>
      </c>
      <c r="G262" s="261">
        <f t="shared" si="13"/>
        <v>7.139962091774418</v>
      </c>
      <c r="H262" s="55">
        <f t="shared" si="14"/>
        <v>334178.92</v>
      </c>
      <c r="I262" s="395">
        <f t="shared" si="15"/>
        <v>3.567080555337709</v>
      </c>
    </row>
    <row r="263" spans="1:9" x14ac:dyDescent="0.25">
      <c r="A263" s="49">
        <f>'A) Base RI'!A264</f>
        <v>5856</v>
      </c>
      <c r="B263" s="479" t="str">
        <f>'A) Base RI'!B264</f>
        <v>Essertines-sur-Rolle</v>
      </c>
      <c r="C263" s="10">
        <f>'B) D RI'!Y264</f>
        <v>465760.95</v>
      </c>
      <c r="D263" s="423">
        <f>'B) D RI'!Z264</f>
        <v>6571.75</v>
      </c>
      <c r="E263" s="10">
        <f t="shared" ref="E263:E313" si="16">C263+D263</f>
        <v>472332.7</v>
      </c>
      <c r="F263" s="423">
        <f>'B) D RI'!U264</f>
        <v>42060.670213996527</v>
      </c>
      <c r="G263" s="261">
        <f t="shared" ref="G263:G313" si="17">E263/F263</f>
        <v>11.229794903335179</v>
      </c>
      <c r="H263" s="55">
        <f t="shared" ref="H263:H313" si="18">(C263*$C$5)+(D263*$D$5)</f>
        <v>234852</v>
      </c>
      <c r="I263" s="395">
        <f t="shared" ref="I263:I313" si="19">H263/F263</f>
        <v>5.5836485439989092</v>
      </c>
    </row>
    <row r="264" spans="1:9" x14ac:dyDescent="0.25">
      <c r="A264" s="49">
        <f>'A) Base RI'!A265</f>
        <v>5857</v>
      </c>
      <c r="B264" s="479" t="str">
        <f>'A) Base RI'!B265</f>
        <v>Gilly</v>
      </c>
      <c r="C264" s="10">
        <f>'B) D RI'!Y265</f>
        <v>439852.94999999995</v>
      </c>
      <c r="D264" s="423">
        <f>'B) D RI'!Z265</f>
        <v>86130.95</v>
      </c>
      <c r="E264" s="10">
        <f t="shared" si="16"/>
        <v>525983.89999999991</v>
      </c>
      <c r="F264" s="423">
        <f>'B) D RI'!U265</f>
        <v>88866.553953488372</v>
      </c>
      <c r="G264" s="261">
        <f t="shared" si="17"/>
        <v>5.918806081704183</v>
      </c>
      <c r="H264" s="55">
        <f t="shared" si="18"/>
        <v>245765.75999999998</v>
      </c>
      <c r="I264" s="395">
        <f t="shared" si="19"/>
        <v>2.7655596967181899</v>
      </c>
    </row>
    <row r="265" spans="1:9" x14ac:dyDescent="0.25">
      <c r="A265" s="49">
        <f>'A) Base RI'!A266</f>
        <v>5858</v>
      </c>
      <c r="B265" s="479" t="str">
        <f>'A) Base RI'!B266</f>
        <v>Luins</v>
      </c>
      <c r="C265" s="10">
        <f>'B) D RI'!Y266</f>
        <v>105985.65</v>
      </c>
      <c r="D265" s="423">
        <f>'B) D RI'!Z266</f>
        <v>3971.45</v>
      </c>
      <c r="E265" s="10">
        <f t="shared" si="16"/>
        <v>109957.09999999999</v>
      </c>
      <c r="F265" s="423">
        <f>'B) D RI'!U266</f>
        <v>38253.397207977199</v>
      </c>
      <c r="G265" s="261">
        <f t="shared" si="17"/>
        <v>2.8744401288644243</v>
      </c>
      <c r="H265" s="55">
        <f t="shared" si="18"/>
        <v>54184.259999999995</v>
      </c>
      <c r="I265" s="395">
        <f t="shared" si="19"/>
        <v>1.4164561569632472</v>
      </c>
    </row>
    <row r="266" spans="1:9" x14ac:dyDescent="0.25">
      <c r="A266" s="49">
        <f>'A) Base RI'!A267</f>
        <v>5859</v>
      </c>
      <c r="B266" s="479" t="str">
        <f>'A) Base RI'!B267</f>
        <v>Mont-sur-Rolle</v>
      </c>
      <c r="C266" s="10">
        <f>'B) D RI'!Y267</f>
        <v>1671072.7000000002</v>
      </c>
      <c r="D266" s="423">
        <f>'B) D RI'!Z267</f>
        <v>120212.6</v>
      </c>
      <c r="E266" s="10">
        <f t="shared" si="16"/>
        <v>1791285.3000000003</v>
      </c>
      <c r="F266" s="423">
        <f>'B) D RI'!U267</f>
        <v>160910.93779527559</v>
      </c>
      <c r="G266" s="261">
        <f t="shared" si="17"/>
        <v>11.132153752525038</v>
      </c>
      <c r="H266" s="55">
        <f t="shared" si="18"/>
        <v>871600.13000000012</v>
      </c>
      <c r="I266" s="395">
        <f t="shared" si="19"/>
        <v>5.4166618002619744</v>
      </c>
    </row>
    <row r="267" spans="1:9" x14ac:dyDescent="0.25">
      <c r="A267" s="49">
        <f>'A) Base RI'!A268</f>
        <v>5860</v>
      </c>
      <c r="B267" s="479" t="str">
        <f>'A) Base RI'!B268</f>
        <v>Perroy</v>
      </c>
      <c r="C267" s="10">
        <f>'B) D RI'!Y268</f>
        <v>1012997.4500000001</v>
      </c>
      <c r="D267" s="423">
        <f>'B) D RI'!Z268</f>
        <v>19166.650000000001</v>
      </c>
      <c r="E267" s="10">
        <f t="shared" si="16"/>
        <v>1032164.1000000001</v>
      </c>
      <c r="F267" s="423">
        <f>'B) D RI'!U268</f>
        <v>124242.10120973046</v>
      </c>
      <c r="G267" s="261">
        <f t="shared" si="17"/>
        <v>8.3076838684306029</v>
      </c>
      <c r="H267" s="55">
        <f t="shared" si="18"/>
        <v>512248.72000000003</v>
      </c>
      <c r="I267" s="395">
        <f t="shared" si="19"/>
        <v>4.1229882222877396</v>
      </c>
    </row>
    <row r="268" spans="1:9" x14ac:dyDescent="0.25">
      <c r="A268" s="49">
        <f>'A) Base RI'!A269</f>
        <v>5861</v>
      </c>
      <c r="B268" s="479" t="str">
        <f>'A) Base RI'!B269</f>
        <v>Rolle</v>
      </c>
      <c r="C268" s="10">
        <f>'B) D RI'!Y269</f>
        <v>3491758.55</v>
      </c>
      <c r="D268" s="423">
        <f>'B) D RI'!Z269</f>
        <v>223079.3</v>
      </c>
      <c r="E268" s="10">
        <f t="shared" si="16"/>
        <v>3714837.8499999996</v>
      </c>
      <c r="F268" s="423">
        <f>'B) D RI'!U269</f>
        <v>638128.58403361356</v>
      </c>
      <c r="G268" s="261">
        <f t="shared" si="17"/>
        <v>5.821456588762242</v>
      </c>
      <c r="H268" s="55">
        <f t="shared" si="18"/>
        <v>1812803.0649999999</v>
      </c>
      <c r="I268" s="395">
        <f t="shared" si="19"/>
        <v>2.8408115705164998</v>
      </c>
    </row>
    <row r="269" spans="1:9" x14ac:dyDescent="0.25">
      <c r="A269" s="49">
        <f>'A) Base RI'!A270</f>
        <v>5862</v>
      </c>
      <c r="B269" s="479" t="str">
        <f>'A) Base RI'!B270</f>
        <v>Tartegnin</v>
      </c>
      <c r="C269" s="10">
        <f>'B) D RI'!Y270</f>
        <v>32752.3</v>
      </c>
      <c r="D269" s="423">
        <f>'B) D RI'!Z270</f>
        <v>5530.15</v>
      </c>
      <c r="E269" s="10">
        <f t="shared" si="16"/>
        <v>38282.449999999997</v>
      </c>
      <c r="F269" s="423">
        <f>'B) D RI'!U270</f>
        <v>7891.022278481013</v>
      </c>
      <c r="G269" s="261">
        <f t="shared" si="17"/>
        <v>4.8513929689942783</v>
      </c>
      <c r="H269" s="55">
        <f t="shared" si="18"/>
        <v>18035.195</v>
      </c>
      <c r="I269" s="395">
        <f t="shared" si="19"/>
        <v>2.2855334028370904</v>
      </c>
    </row>
    <row r="270" spans="1:9" x14ac:dyDescent="0.25">
      <c r="A270" s="49">
        <f>'A) Base RI'!A271</f>
        <v>5863</v>
      </c>
      <c r="B270" s="479" t="str">
        <f>'A) Base RI'!B271</f>
        <v>Vinzel</v>
      </c>
      <c r="C270" s="10">
        <f>'B) D RI'!Y271</f>
        <v>198082.65</v>
      </c>
      <c r="D270" s="423">
        <f>'B) D RI'!Z271</f>
        <v>18683.7</v>
      </c>
      <c r="E270" s="10">
        <f t="shared" si="16"/>
        <v>216766.35</v>
      </c>
      <c r="F270" s="423">
        <f>'B) D RI'!U271</f>
        <v>21424.128507462683</v>
      </c>
      <c r="G270" s="261">
        <f t="shared" si="17"/>
        <v>10.11786080000844</v>
      </c>
      <c r="H270" s="55">
        <f t="shared" si="18"/>
        <v>104646.435</v>
      </c>
      <c r="I270" s="395">
        <f t="shared" si="19"/>
        <v>4.884513036950298</v>
      </c>
    </row>
    <row r="271" spans="1:9" x14ac:dyDescent="0.25">
      <c r="A271" s="49">
        <f>'A) Base RI'!A272</f>
        <v>5871</v>
      </c>
      <c r="B271" s="479" t="str">
        <f>'A) Base RI'!B272</f>
        <v>L'Abbaye</v>
      </c>
      <c r="C271" s="10">
        <f>'B) D RI'!Y272</f>
        <v>506973.05</v>
      </c>
      <c r="D271" s="423">
        <f>'B) D RI'!Z272</f>
        <v>774954</v>
      </c>
      <c r="E271" s="10">
        <f t="shared" si="16"/>
        <v>1281927.05</v>
      </c>
      <c r="F271" s="423">
        <f>'B) D RI'!U272</f>
        <v>52137.53921442369</v>
      </c>
      <c r="G271" s="261">
        <f t="shared" si="17"/>
        <v>24.587409941383633</v>
      </c>
      <c r="H271" s="55">
        <f t="shared" si="18"/>
        <v>485972.72499999998</v>
      </c>
      <c r="I271" s="395">
        <f t="shared" si="19"/>
        <v>9.3209754875726301</v>
      </c>
    </row>
    <row r="272" spans="1:9" x14ac:dyDescent="0.25">
      <c r="A272" s="49">
        <f>'A) Base RI'!A273</f>
        <v>5872</v>
      </c>
      <c r="B272" s="479" t="str">
        <f>'A) Base RI'!B273</f>
        <v>Le Chenit</v>
      </c>
      <c r="C272" s="10">
        <f>'B) D RI'!Y273</f>
        <v>1733392.55</v>
      </c>
      <c r="D272" s="423">
        <f>'B) D RI'!Z273</f>
        <v>6657622.0499999998</v>
      </c>
      <c r="E272" s="10">
        <f t="shared" si="16"/>
        <v>8391014.5999999996</v>
      </c>
      <c r="F272" s="423">
        <f>'B) D RI'!U273</f>
        <v>199146.55575459031</v>
      </c>
      <c r="G272" s="261">
        <f t="shared" si="17"/>
        <v>42.13487181942682</v>
      </c>
      <c r="H272" s="55">
        <f t="shared" si="18"/>
        <v>2863982.8899999997</v>
      </c>
      <c r="I272" s="395">
        <f t="shared" si="19"/>
        <v>14.381282564230263</v>
      </c>
    </row>
    <row r="273" spans="1:9" x14ac:dyDescent="0.25">
      <c r="A273" s="49">
        <f>'A) Base RI'!A274</f>
        <v>5873</v>
      </c>
      <c r="B273" s="479" t="str">
        <f>'A) Base RI'!B274</f>
        <v>Le Lieu</v>
      </c>
      <c r="C273" s="10">
        <f>'B) D RI'!Y274</f>
        <v>206344.95</v>
      </c>
      <c r="D273" s="423">
        <f>'B) D RI'!Z274</f>
        <v>899203.4</v>
      </c>
      <c r="E273" s="10">
        <f t="shared" si="16"/>
        <v>1105548.3500000001</v>
      </c>
      <c r="F273" s="423">
        <f>'B) D RI'!U274</f>
        <v>31475.129392857143</v>
      </c>
      <c r="G273" s="261">
        <f t="shared" si="17"/>
        <v>35.124505326128677</v>
      </c>
      <c r="H273" s="55">
        <f t="shared" si="18"/>
        <v>372933.495</v>
      </c>
      <c r="I273" s="395">
        <f t="shared" si="19"/>
        <v>11.848513483303812</v>
      </c>
    </row>
    <row r="274" spans="1:9" x14ac:dyDescent="0.25">
      <c r="A274" s="49">
        <f>'A) Base RI'!A275</f>
        <v>5881</v>
      </c>
      <c r="B274" s="479" t="str">
        <f>'A) Base RI'!B275</f>
        <v>Blonay</v>
      </c>
      <c r="C274" s="10">
        <f>'B) D RI'!Y275</f>
        <v>4833084.43</v>
      </c>
      <c r="D274" s="423">
        <f>'B) D RI'!Z275</f>
        <v>69243.399999999994</v>
      </c>
      <c r="E274" s="10">
        <f t="shared" si="16"/>
        <v>4902327.83</v>
      </c>
      <c r="F274" s="423">
        <f>'B) D RI'!U275</f>
        <v>371401.9382481752</v>
      </c>
      <c r="G274" s="261">
        <f t="shared" si="17"/>
        <v>13.199521394861989</v>
      </c>
      <c r="H274" s="55">
        <f t="shared" si="18"/>
        <v>2437315.2349999999</v>
      </c>
      <c r="I274" s="395">
        <f t="shared" si="19"/>
        <v>6.5624731160432361</v>
      </c>
    </row>
    <row r="275" spans="1:9" x14ac:dyDescent="0.25">
      <c r="A275" s="49">
        <f>'A) Base RI'!A276</f>
        <v>5882</v>
      </c>
      <c r="B275" s="479" t="str">
        <f>'A) Base RI'!B276</f>
        <v>Chardonne</v>
      </c>
      <c r="C275" s="10">
        <f>'B) D RI'!Y276</f>
        <v>1463855.4</v>
      </c>
      <c r="D275" s="423">
        <f>'B) D RI'!Z276</f>
        <v>7632.95</v>
      </c>
      <c r="E275" s="10">
        <f t="shared" si="16"/>
        <v>1471488.3499999999</v>
      </c>
      <c r="F275" s="423">
        <f>'B) D RI'!U276</f>
        <v>186949.52411764706</v>
      </c>
      <c r="G275" s="261">
        <f t="shared" si="17"/>
        <v>7.8710462460123427</v>
      </c>
      <c r="H275" s="55">
        <f t="shared" si="18"/>
        <v>734217.58499999996</v>
      </c>
      <c r="I275" s="395">
        <f t="shared" si="19"/>
        <v>3.9273573359724518</v>
      </c>
    </row>
    <row r="276" spans="1:9" x14ac:dyDescent="0.25">
      <c r="A276" s="49">
        <f>'A) Base RI'!A277</f>
        <v>5883</v>
      </c>
      <c r="B276" s="479" t="str">
        <f>'A) Base RI'!B277</f>
        <v>Corseaux</v>
      </c>
      <c r="C276" s="10">
        <f>'B) D RI'!Y277</f>
        <v>3104956.75</v>
      </c>
      <c r="D276" s="423">
        <f>'B) D RI'!Z277</f>
        <v>0</v>
      </c>
      <c r="E276" s="10">
        <f t="shared" si="16"/>
        <v>3104956.75</v>
      </c>
      <c r="F276" s="423">
        <f>'B) D RI'!U277</f>
        <v>193095.30118518518</v>
      </c>
      <c r="G276" s="261">
        <f t="shared" si="17"/>
        <v>16.079918728950517</v>
      </c>
      <c r="H276" s="55">
        <f t="shared" si="18"/>
        <v>1552478.375</v>
      </c>
      <c r="I276" s="395">
        <f t="shared" si="19"/>
        <v>8.0399593644752585</v>
      </c>
    </row>
    <row r="277" spans="1:9" x14ac:dyDescent="0.25">
      <c r="A277" s="49">
        <f>'A) Base RI'!A278</f>
        <v>5884</v>
      </c>
      <c r="B277" s="479" t="str">
        <f>'A) Base RI'!B278</f>
        <v>Corsier-sur-Vevey</v>
      </c>
      <c r="C277" s="10">
        <f>'B) D RI'!Y278</f>
        <v>783265.45</v>
      </c>
      <c r="D277" s="423">
        <f>'B) D RI'!Z278</f>
        <v>551964.19999999995</v>
      </c>
      <c r="E277" s="10">
        <f t="shared" si="16"/>
        <v>1335229.6499999999</v>
      </c>
      <c r="F277" s="423">
        <f>'B) D RI'!U278</f>
        <v>148896.79012919901</v>
      </c>
      <c r="G277" s="261">
        <f t="shared" si="17"/>
        <v>8.9674844490697865</v>
      </c>
      <c r="H277" s="55">
        <f t="shared" si="18"/>
        <v>557221.98499999999</v>
      </c>
      <c r="I277" s="395">
        <f t="shared" si="19"/>
        <v>3.7423371216833736</v>
      </c>
    </row>
    <row r="278" spans="1:9" x14ac:dyDescent="0.25">
      <c r="A278" s="49">
        <f>'A) Base RI'!A279</f>
        <v>5885</v>
      </c>
      <c r="B278" s="479" t="str">
        <f>'A) Base RI'!B279</f>
        <v>Jongny</v>
      </c>
      <c r="C278" s="10">
        <f>'B) D RI'!Y279</f>
        <v>1161154.8500000001</v>
      </c>
      <c r="D278" s="423">
        <f>'B) D RI'!Z279</f>
        <v>2403.85</v>
      </c>
      <c r="E278" s="10">
        <f t="shared" si="16"/>
        <v>1163558.7000000002</v>
      </c>
      <c r="F278" s="423">
        <f>'B) D RI'!U279</f>
        <v>97076.940527577928</v>
      </c>
      <c r="G278" s="261">
        <f t="shared" si="17"/>
        <v>11.985943249514056</v>
      </c>
      <c r="H278" s="55">
        <f t="shared" si="18"/>
        <v>581298.58000000007</v>
      </c>
      <c r="I278" s="395">
        <f t="shared" si="19"/>
        <v>5.9880191613049742</v>
      </c>
    </row>
    <row r="279" spans="1:9" x14ac:dyDescent="0.25">
      <c r="A279" s="49">
        <f>'A) Base RI'!A280</f>
        <v>5886</v>
      </c>
      <c r="B279" s="479" t="str">
        <f>'A) Base RI'!B280</f>
        <v>Montreux</v>
      </c>
      <c r="C279" s="10">
        <f>'B) D RI'!Y280</f>
        <v>30312889.099999998</v>
      </c>
      <c r="D279" s="423">
        <f>'B) D RI'!Z280</f>
        <v>1254691.7</v>
      </c>
      <c r="E279" s="10">
        <f t="shared" si="16"/>
        <v>31567580.799999997</v>
      </c>
      <c r="F279" s="423">
        <f>'B) D RI'!U280</f>
        <v>1223405.0430769229</v>
      </c>
      <c r="G279" s="261">
        <f t="shared" si="17"/>
        <v>25.803049430469898</v>
      </c>
      <c r="H279" s="55">
        <f t="shared" si="18"/>
        <v>15532852.059999999</v>
      </c>
      <c r="I279" s="395">
        <f t="shared" si="19"/>
        <v>12.69641003026612</v>
      </c>
    </row>
    <row r="280" spans="1:9" x14ac:dyDescent="0.25">
      <c r="A280" s="49">
        <f>'A) Base RI'!A281</f>
        <v>5888</v>
      </c>
      <c r="B280" s="479" t="str">
        <f>'A) Base RI'!B281</f>
        <v>Saint-Légier-La Chiésaz</v>
      </c>
      <c r="C280" s="10">
        <f>'B) D RI'!Y281</f>
        <v>2662594.15</v>
      </c>
      <c r="D280" s="423">
        <f>'B) D RI'!Z281</f>
        <v>210894</v>
      </c>
      <c r="E280" s="10">
        <f t="shared" si="16"/>
        <v>2873488.15</v>
      </c>
      <c r="F280" s="423">
        <f>'B) D RI'!U281</f>
        <v>334017.18953771284</v>
      </c>
      <c r="G280" s="261">
        <f t="shared" si="17"/>
        <v>8.602815184383088</v>
      </c>
      <c r="H280" s="55">
        <f t="shared" si="18"/>
        <v>1394565.2749999999</v>
      </c>
      <c r="I280" s="395">
        <f t="shared" si="19"/>
        <v>4.1751302588052699</v>
      </c>
    </row>
    <row r="281" spans="1:9" x14ac:dyDescent="0.25">
      <c r="A281" s="49">
        <f>'A) Base RI'!A282</f>
        <v>5889</v>
      </c>
      <c r="B281" s="479" t="str">
        <f>'A) Base RI'!B282</f>
        <v>La Tour-de-Peilz</v>
      </c>
      <c r="C281" s="10">
        <f>'B) D RI'!Y282</f>
        <v>3820761.5</v>
      </c>
      <c r="D281" s="423">
        <f>'B) D RI'!Z282</f>
        <v>259436.3</v>
      </c>
      <c r="E281" s="10">
        <f t="shared" si="16"/>
        <v>4080197.8</v>
      </c>
      <c r="F281" s="423">
        <f>'B) D RI'!U282</f>
        <v>740535.59942708339</v>
      </c>
      <c r="G281" s="261">
        <f t="shared" si="17"/>
        <v>5.5097929163117234</v>
      </c>
      <c r="H281" s="55">
        <f t="shared" si="18"/>
        <v>1988211.64</v>
      </c>
      <c r="I281" s="395">
        <f t="shared" si="19"/>
        <v>2.684829252689787</v>
      </c>
    </row>
    <row r="282" spans="1:9" x14ac:dyDescent="0.25">
      <c r="A282" s="49">
        <f>'A) Base RI'!A283</f>
        <v>5890</v>
      </c>
      <c r="B282" s="479" t="str">
        <f>'A) Base RI'!B283</f>
        <v>Vevey</v>
      </c>
      <c r="C282" s="10">
        <f>'B) D RI'!Y283</f>
        <v>5933416.4499999993</v>
      </c>
      <c r="D282" s="423">
        <f>'B) D RI'!Z283</f>
        <v>1260005.1000000001</v>
      </c>
      <c r="E282" s="10">
        <f t="shared" si="16"/>
        <v>7193421.5499999989</v>
      </c>
      <c r="F282" s="423">
        <f>'B) D RI'!U283</f>
        <v>969776.79771812086</v>
      </c>
      <c r="G282" s="261">
        <f t="shared" si="17"/>
        <v>7.417605336533188</v>
      </c>
      <c r="H282" s="55">
        <f t="shared" si="18"/>
        <v>3344709.7549999999</v>
      </c>
      <c r="I282" s="395">
        <f t="shared" si="19"/>
        <v>3.4489480083149879</v>
      </c>
    </row>
    <row r="283" spans="1:9" x14ac:dyDescent="0.25">
      <c r="A283" s="49">
        <f>'A) Base RI'!A284</f>
        <v>5891</v>
      </c>
      <c r="B283" s="479" t="str">
        <f>'A) Base RI'!B284</f>
        <v>Veytaux</v>
      </c>
      <c r="C283" s="10">
        <f>'B) D RI'!Y284</f>
        <v>260197.90000000002</v>
      </c>
      <c r="D283" s="423">
        <f>'B) D RI'!Z284</f>
        <v>2689.3</v>
      </c>
      <c r="E283" s="10">
        <f t="shared" si="16"/>
        <v>262887.2</v>
      </c>
      <c r="F283" s="423">
        <f>'B) D RI'!U284</f>
        <v>39123.353381294961</v>
      </c>
      <c r="G283" s="261">
        <f t="shared" si="17"/>
        <v>6.7194444565605025</v>
      </c>
      <c r="H283" s="55">
        <f t="shared" si="18"/>
        <v>130905.74</v>
      </c>
      <c r="I283" s="395">
        <f t="shared" si="19"/>
        <v>3.3459744292417066</v>
      </c>
    </row>
    <row r="284" spans="1:9" x14ac:dyDescent="0.25">
      <c r="A284" s="49">
        <f>'A) Base RI'!A285</f>
        <v>5902</v>
      </c>
      <c r="B284" s="479" t="str">
        <f>'A) Base RI'!B285</f>
        <v>Belmont-sur-Yverdon</v>
      </c>
      <c r="C284" s="10">
        <f>'B) D RI'!Y285</f>
        <v>62776.549999999996</v>
      </c>
      <c r="D284" s="423">
        <f>'B) D RI'!Z285</f>
        <v>0</v>
      </c>
      <c r="E284" s="10">
        <f t="shared" si="16"/>
        <v>62776.549999999996</v>
      </c>
      <c r="F284" s="423">
        <f>'B) D RI'!U285</f>
        <v>12109.15</v>
      </c>
      <c r="G284" s="261">
        <f t="shared" si="17"/>
        <v>5.1842243262326422</v>
      </c>
      <c r="H284" s="55">
        <f t="shared" si="18"/>
        <v>31388.274999999998</v>
      </c>
      <c r="I284" s="395">
        <f t="shared" si="19"/>
        <v>2.5921121631163211</v>
      </c>
    </row>
    <row r="285" spans="1:9" x14ac:dyDescent="0.25">
      <c r="A285" s="49">
        <f>'A) Base RI'!A286</f>
        <v>5903</v>
      </c>
      <c r="B285" s="479" t="str">
        <f>'A) Base RI'!B286</f>
        <v>Bioley-Magnoux</v>
      </c>
      <c r="C285" s="10">
        <f>'B) D RI'!Y286</f>
        <v>0</v>
      </c>
      <c r="D285" s="423">
        <f>'B) D RI'!Z286</f>
        <v>35867.85</v>
      </c>
      <c r="E285" s="10">
        <f t="shared" si="16"/>
        <v>35867.85</v>
      </c>
      <c r="F285" s="423">
        <f>'B) D RI'!U286</f>
        <v>6059.1993849206356</v>
      </c>
      <c r="G285" s="261">
        <f t="shared" si="17"/>
        <v>5.9195691908180708</v>
      </c>
      <c r="H285" s="55">
        <f t="shared" si="18"/>
        <v>10760.355</v>
      </c>
      <c r="I285" s="395">
        <f t="shared" si="19"/>
        <v>1.7758707572454213</v>
      </c>
    </row>
    <row r="286" spans="1:9" x14ac:dyDescent="0.25">
      <c r="A286" s="49">
        <f>'A) Base RI'!A287</f>
        <v>5904</v>
      </c>
      <c r="B286" s="479" t="str">
        <f>'A) Base RI'!B287</f>
        <v>Chamblon</v>
      </c>
      <c r="C286" s="10">
        <f>'B) D RI'!Y287</f>
        <v>46645.1</v>
      </c>
      <c r="D286" s="423">
        <f>'B) D RI'!Z287</f>
        <v>32442.95</v>
      </c>
      <c r="E286" s="10">
        <f t="shared" si="16"/>
        <v>79088.05</v>
      </c>
      <c r="F286" s="423">
        <f>'B) D RI'!U287</f>
        <v>22178.215151515149</v>
      </c>
      <c r="G286" s="261">
        <f t="shared" si="17"/>
        <v>3.5660241123865615</v>
      </c>
      <c r="H286" s="55">
        <f t="shared" si="18"/>
        <v>33055.434999999998</v>
      </c>
      <c r="I286" s="395">
        <f t="shared" si="19"/>
        <v>1.4904461325753597</v>
      </c>
    </row>
    <row r="287" spans="1:9" x14ac:dyDescent="0.25">
      <c r="A287" s="49">
        <f>'A) Base RI'!A288</f>
        <v>5905</v>
      </c>
      <c r="B287" s="479" t="str">
        <f>'A) Base RI'!B288</f>
        <v>Champvent</v>
      </c>
      <c r="C287" s="10">
        <f>'B) D RI'!Y288</f>
        <v>185557.34999999998</v>
      </c>
      <c r="D287" s="423">
        <f>'B) D RI'!Z288</f>
        <v>273258</v>
      </c>
      <c r="E287" s="10">
        <f t="shared" si="16"/>
        <v>458815.35</v>
      </c>
      <c r="F287" s="423">
        <f>'B) D RI'!U288</f>
        <v>23298.236142857142</v>
      </c>
      <c r="G287" s="261">
        <f t="shared" si="17"/>
        <v>19.693136733042568</v>
      </c>
      <c r="H287" s="55">
        <f t="shared" si="18"/>
        <v>174756.07499999998</v>
      </c>
      <c r="I287" s="395">
        <f t="shared" si="19"/>
        <v>7.5008285575119533</v>
      </c>
    </row>
    <row r="288" spans="1:9" x14ac:dyDescent="0.25">
      <c r="A288" s="49">
        <f>'A) Base RI'!A289</f>
        <v>5907</v>
      </c>
      <c r="B288" s="479" t="str">
        <f>'A) Base RI'!B289</f>
        <v>Chavannes-le-Chêne</v>
      </c>
      <c r="C288" s="10">
        <f>'B) D RI'!Y289</f>
        <v>20205.349999999999</v>
      </c>
      <c r="D288" s="423">
        <f>'B) D RI'!Z289</f>
        <v>8695.1</v>
      </c>
      <c r="E288" s="10">
        <f t="shared" si="16"/>
        <v>28900.449999999997</v>
      </c>
      <c r="F288" s="423">
        <f>'B) D RI'!U289</f>
        <v>7818.3477333333331</v>
      </c>
      <c r="G288" s="261">
        <f t="shared" si="17"/>
        <v>3.6964907402089113</v>
      </c>
      <c r="H288" s="55">
        <f t="shared" si="18"/>
        <v>12711.205</v>
      </c>
      <c r="I288" s="395">
        <f t="shared" si="19"/>
        <v>1.62581729970977</v>
      </c>
    </row>
    <row r="289" spans="1:9" x14ac:dyDescent="0.25">
      <c r="A289" s="49">
        <f>'A) Base RI'!A290</f>
        <v>5908</v>
      </c>
      <c r="B289" s="479" t="str">
        <f>'A) Base RI'!B290</f>
        <v>Chêne-Pâquier</v>
      </c>
      <c r="C289" s="10">
        <f>'B) D RI'!Y290</f>
        <v>14606.45</v>
      </c>
      <c r="D289" s="423">
        <f>'B) D RI'!Z290</f>
        <v>436.2</v>
      </c>
      <c r="E289" s="10">
        <f t="shared" si="16"/>
        <v>15042.650000000001</v>
      </c>
      <c r="F289" s="423">
        <f>'B) D RI'!U290</f>
        <v>4413.8781012658228</v>
      </c>
      <c r="G289" s="261">
        <f t="shared" si="17"/>
        <v>3.4080347610157231</v>
      </c>
      <c r="H289" s="55">
        <f t="shared" si="18"/>
        <v>7434.085</v>
      </c>
      <c r="I289" s="395">
        <f t="shared" si="19"/>
        <v>1.6842524486274406</v>
      </c>
    </row>
    <row r="290" spans="1:9" x14ac:dyDescent="0.25">
      <c r="A290" s="49">
        <f>'A) Base RI'!A291</f>
        <v>5909</v>
      </c>
      <c r="B290" s="479" t="str">
        <f>'A) Base RI'!B291</f>
        <v>Cheseaux-Noréaz</v>
      </c>
      <c r="C290" s="10">
        <f>'B) D RI'!Y291</f>
        <v>265390.09999999998</v>
      </c>
      <c r="D290" s="423">
        <f>'B) D RI'!Z291</f>
        <v>7393.8</v>
      </c>
      <c r="E290" s="10">
        <f t="shared" si="16"/>
        <v>272783.89999999997</v>
      </c>
      <c r="F290" s="423">
        <f>'B) D RI'!U291</f>
        <v>36898.573134328355</v>
      </c>
      <c r="G290" s="261">
        <f t="shared" si="17"/>
        <v>7.3928034834012912</v>
      </c>
      <c r="H290" s="55">
        <f t="shared" si="18"/>
        <v>134913.19</v>
      </c>
      <c r="I290" s="395">
        <f t="shared" si="19"/>
        <v>3.6563253952626251</v>
      </c>
    </row>
    <row r="291" spans="1:9" x14ac:dyDescent="0.25">
      <c r="A291" s="49">
        <f>'A) Base RI'!A292</f>
        <v>5910</v>
      </c>
      <c r="B291" s="479" t="str">
        <f>'A) Base RI'!B292</f>
        <v>Cronay</v>
      </c>
      <c r="C291" s="10">
        <f>'B) D RI'!Y292</f>
        <v>57762.5</v>
      </c>
      <c r="D291" s="423">
        <f>'B) D RI'!Z292</f>
        <v>0</v>
      </c>
      <c r="E291" s="10">
        <f t="shared" si="16"/>
        <v>57762.5</v>
      </c>
      <c r="F291" s="423">
        <f>'B) D RI'!U292</f>
        <v>10600.416103896103</v>
      </c>
      <c r="G291" s="261">
        <f t="shared" si="17"/>
        <v>5.4490785487911015</v>
      </c>
      <c r="H291" s="55">
        <f t="shared" si="18"/>
        <v>28881.25</v>
      </c>
      <c r="I291" s="395">
        <f t="shared" si="19"/>
        <v>2.7245392743955508</v>
      </c>
    </row>
    <row r="292" spans="1:9" x14ac:dyDescent="0.25">
      <c r="A292" s="49">
        <f>'A) Base RI'!A293</f>
        <v>5911</v>
      </c>
      <c r="B292" s="479" t="str">
        <f>'A) Base RI'!B293</f>
        <v>Cuarny</v>
      </c>
      <c r="C292" s="10">
        <f>'B) D RI'!Y293</f>
        <v>47895.9</v>
      </c>
      <c r="D292" s="423">
        <f>'B) D RI'!Z293</f>
        <v>1009.45</v>
      </c>
      <c r="E292" s="10">
        <f t="shared" si="16"/>
        <v>48905.35</v>
      </c>
      <c r="F292" s="423">
        <f>'B) D RI'!U293</f>
        <v>7503.9646753246761</v>
      </c>
      <c r="G292" s="261">
        <f t="shared" si="17"/>
        <v>6.5172681530359142</v>
      </c>
      <c r="H292" s="55">
        <f t="shared" si="18"/>
        <v>24250.785</v>
      </c>
      <c r="I292" s="395">
        <f t="shared" si="19"/>
        <v>3.2317296321695084</v>
      </c>
    </row>
    <row r="293" spans="1:9" x14ac:dyDescent="0.25">
      <c r="A293" s="49">
        <f>'A) Base RI'!A294</f>
        <v>5912</v>
      </c>
      <c r="B293" s="479" t="str">
        <f>'A) Base RI'!B294</f>
        <v>Démoret</v>
      </c>
      <c r="C293" s="10">
        <f>'B) D RI'!Y294</f>
        <v>31576.5</v>
      </c>
      <c r="D293" s="423">
        <f>'B) D RI'!Z294</f>
        <v>3569.75</v>
      </c>
      <c r="E293" s="10">
        <f t="shared" si="16"/>
        <v>35146.25</v>
      </c>
      <c r="F293" s="423">
        <f>'B) D RI'!U294</f>
        <v>4722.5551851851851</v>
      </c>
      <c r="G293" s="261">
        <f t="shared" si="17"/>
        <v>7.4422105453113545</v>
      </c>
      <c r="H293" s="55">
        <f t="shared" si="18"/>
        <v>16859.174999999999</v>
      </c>
      <c r="I293" s="395">
        <f t="shared" si="19"/>
        <v>3.5699265204751445</v>
      </c>
    </row>
    <row r="294" spans="1:9" x14ac:dyDescent="0.25">
      <c r="A294" s="49">
        <f>'A) Base RI'!A295</f>
        <v>5913</v>
      </c>
      <c r="B294" s="479" t="str">
        <f>'A) Base RI'!B295</f>
        <v>Donneloye</v>
      </c>
      <c r="C294" s="10">
        <f>'B) D RI'!Y295</f>
        <v>143251.70000000001</v>
      </c>
      <c r="D294" s="423">
        <f>'B) D RI'!Z295</f>
        <v>29277.45</v>
      </c>
      <c r="E294" s="10">
        <f t="shared" si="16"/>
        <v>172529.15000000002</v>
      </c>
      <c r="F294" s="423">
        <f>'B) D RI'!U295</f>
        <v>23893.322465753423</v>
      </c>
      <c r="G294" s="261">
        <f t="shared" si="17"/>
        <v>7.2208103434458755</v>
      </c>
      <c r="H294" s="55">
        <f t="shared" si="18"/>
        <v>80409.085000000006</v>
      </c>
      <c r="I294" s="395">
        <f t="shared" si="19"/>
        <v>3.365337119408625</v>
      </c>
    </row>
    <row r="295" spans="1:9" x14ac:dyDescent="0.25">
      <c r="A295" s="49">
        <f>'A) Base RI'!A296</f>
        <v>5914</v>
      </c>
      <c r="B295" s="479" t="str">
        <f>'A) Base RI'!B296</f>
        <v>Ependes</v>
      </c>
      <c r="C295" s="10">
        <f>'B) D RI'!Y296</f>
        <v>120945.29999999999</v>
      </c>
      <c r="D295" s="423">
        <f>'B) D RI'!Z296</f>
        <v>11708.55</v>
      </c>
      <c r="E295" s="10">
        <f t="shared" si="16"/>
        <v>132653.84999999998</v>
      </c>
      <c r="F295" s="423">
        <f>'B) D RI'!U296</f>
        <v>9829.5133333333324</v>
      </c>
      <c r="G295" s="261">
        <f t="shared" si="17"/>
        <v>13.495464678820992</v>
      </c>
      <c r="H295" s="55">
        <f t="shared" si="18"/>
        <v>63985.214999999997</v>
      </c>
      <c r="I295" s="395">
        <f t="shared" si="19"/>
        <v>6.509499792122635</v>
      </c>
    </row>
    <row r="296" spans="1:9" x14ac:dyDescent="0.25">
      <c r="A296" s="49">
        <f>'A) Base RI'!A297</f>
        <v>5919</v>
      </c>
      <c r="B296" s="479" t="str">
        <f>'A) Base RI'!B297</f>
        <v>Mathod</v>
      </c>
      <c r="C296" s="10">
        <f>'B) D RI'!Y297</f>
        <v>88899</v>
      </c>
      <c r="D296" s="423">
        <f>'B) D RI'!Z297</f>
        <v>11130.05</v>
      </c>
      <c r="E296" s="10">
        <f t="shared" si="16"/>
        <v>100029.05</v>
      </c>
      <c r="F296" s="423">
        <f>'B) D RI'!U297</f>
        <v>18684.885972222222</v>
      </c>
      <c r="G296" s="261">
        <f t="shared" si="17"/>
        <v>5.3534739333548842</v>
      </c>
      <c r="H296" s="55">
        <f t="shared" si="18"/>
        <v>47788.514999999999</v>
      </c>
      <c r="I296" s="395">
        <f t="shared" si="19"/>
        <v>2.5576027100751122</v>
      </c>
    </row>
    <row r="297" spans="1:9" x14ac:dyDescent="0.25">
      <c r="A297" s="49">
        <f>'A) Base RI'!A298</f>
        <v>5921</v>
      </c>
      <c r="B297" s="479" t="str">
        <f>'A) Base RI'!B298</f>
        <v>Molondin</v>
      </c>
      <c r="C297" s="10">
        <f>'B) D RI'!Y298</f>
        <v>4271.8500000000004</v>
      </c>
      <c r="D297" s="423">
        <f>'B) D RI'!Z298</f>
        <v>8046.65</v>
      </c>
      <c r="E297" s="10">
        <f t="shared" si="16"/>
        <v>12318.5</v>
      </c>
      <c r="F297" s="423">
        <f>'B) D RI'!U298</f>
        <v>5874.9966666666678</v>
      </c>
      <c r="G297" s="261">
        <f t="shared" si="17"/>
        <v>2.0967671471019269</v>
      </c>
      <c r="H297" s="55">
        <f t="shared" si="18"/>
        <v>4549.92</v>
      </c>
      <c r="I297" s="395">
        <f t="shared" si="19"/>
        <v>0.77445490749214596</v>
      </c>
    </row>
    <row r="298" spans="1:9" x14ac:dyDescent="0.25">
      <c r="A298" s="49">
        <f>'A) Base RI'!A299</f>
        <v>5922</v>
      </c>
      <c r="B298" s="479" t="str">
        <f>'A) Base RI'!B299</f>
        <v>Montagny-près-Yverdon</v>
      </c>
      <c r="C298" s="10">
        <f>'B) D RI'!Y299</f>
        <v>328666.40000000002</v>
      </c>
      <c r="D298" s="423">
        <f>'B) D RI'!Z299</f>
        <v>373184.55</v>
      </c>
      <c r="E298" s="10">
        <f t="shared" si="16"/>
        <v>701850.95</v>
      </c>
      <c r="F298" s="423">
        <f>'B) D RI'!U299</f>
        <v>39614.024961240313</v>
      </c>
      <c r="G298" s="261">
        <f t="shared" si="17"/>
        <v>17.717234002016063</v>
      </c>
      <c r="H298" s="55">
        <f t="shared" si="18"/>
        <v>276288.565</v>
      </c>
      <c r="I298" s="395">
        <f t="shared" si="19"/>
        <v>6.9745138311577772</v>
      </c>
    </row>
    <row r="299" spans="1:9" x14ac:dyDescent="0.25">
      <c r="A299" s="49">
        <f>'A) Base RI'!A300</f>
        <v>5923</v>
      </c>
      <c r="B299" s="479" t="str">
        <f>'A) Base RI'!B300</f>
        <v>Oppens</v>
      </c>
      <c r="C299" s="10">
        <f>'B) D RI'!Y300</f>
        <v>62066.65</v>
      </c>
      <c r="D299" s="423">
        <f>'B) D RI'!Z300</f>
        <v>12323.55</v>
      </c>
      <c r="E299" s="10">
        <f t="shared" si="16"/>
        <v>74390.2</v>
      </c>
      <c r="F299" s="423">
        <f>'B) D RI'!U300</f>
        <v>5094.8359259259259</v>
      </c>
      <c r="G299" s="261">
        <f t="shared" si="17"/>
        <v>14.601098265295061</v>
      </c>
      <c r="H299" s="55">
        <f t="shared" si="18"/>
        <v>34730.39</v>
      </c>
      <c r="I299" s="395">
        <f t="shared" si="19"/>
        <v>6.8167828179252234</v>
      </c>
    </row>
    <row r="300" spans="1:9" x14ac:dyDescent="0.25">
      <c r="A300" s="49">
        <f>'A) Base RI'!A301</f>
        <v>5924</v>
      </c>
      <c r="B300" s="479" t="str">
        <f>'A) Base RI'!B301</f>
        <v>Orges</v>
      </c>
      <c r="C300" s="10">
        <f>'B) D RI'!Y301</f>
        <v>82057.100000000006</v>
      </c>
      <c r="D300" s="423">
        <f>'B) D RI'!Z301</f>
        <v>18896.3</v>
      </c>
      <c r="E300" s="10">
        <f t="shared" si="16"/>
        <v>100953.40000000001</v>
      </c>
      <c r="F300" s="423">
        <f>'B) D RI'!U301</f>
        <v>13110.169864864867</v>
      </c>
      <c r="G300" s="261">
        <f t="shared" si="17"/>
        <v>7.7003884038569312</v>
      </c>
      <c r="H300" s="55">
        <f t="shared" si="18"/>
        <v>46697.440000000002</v>
      </c>
      <c r="I300" s="395">
        <f t="shared" si="19"/>
        <v>3.5619248630140716</v>
      </c>
    </row>
    <row r="301" spans="1:9" x14ac:dyDescent="0.25">
      <c r="A301" s="49">
        <f>'A) Base RI'!A302</f>
        <v>5925</v>
      </c>
      <c r="B301" s="479" t="str">
        <f>'A) Base RI'!B302</f>
        <v>Orzens</v>
      </c>
      <c r="C301" s="10">
        <f>'B) D RI'!Y302</f>
        <v>137016.1</v>
      </c>
      <c r="D301" s="423">
        <f>'B) D RI'!Z302</f>
        <v>514.25</v>
      </c>
      <c r="E301" s="10">
        <f t="shared" si="16"/>
        <v>137530.35</v>
      </c>
      <c r="F301" s="423">
        <f>'B) D RI'!U302</f>
        <v>5230.5868354430377</v>
      </c>
      <c r="G301" s="261">
        <f t="shared" si="17"/>
        <v>26.293483757516285</v>
      </c>
      <c r="H301" s="55">
        <f t="shared" si="18"/>
        <v>68662.324999999997</v>
      </c>
      <c r="I301" s="395">
        <f t="shared" si="19"/>
        <v>13.12707869310886</v>
      </c>
    </row>
    <row r="302" spans="1:9" x14ac:dyDescent="0.25">
      <c r="A302" s="49">
        <f>'A) Base RI'!A303</f>
        <v>5926</v>
      </c>
      <c r="B302" s="479" t="str">
        <f>'A) Base RI'!B303</f>
        <v>Pomy</v>
      </c>
      <c r="C302" s="10">
        <f>'B) D RI'!Y303</f>
        <v>194771.34999999998</v>
      </c>
      <c r="D302" s="423">
        <f>'B) D RI'!Z303</f>
        <v>30239.599999999999</v>
      </c>
      <c r="E302" s="10">
        <f t="shared" si="16"/>
        <v>225010.94999999998</v>
      </c>
      <c r="F302" s="423">
        <f>'B) D RI'!U303</f>
        <v>27875.103943661972</v>
      </c>
      <c r="G302" s="261">
        <f t="shared" si="17"/>
        <v>8.0721116037725569</v>
      </c>
      <c r="H302" s="55">
        <f t="shared" si="18"/>
        <v>106457.55499999999</v>
      </c>
      <c r="I302" s="395">
        <f t="shared" si="19"/>
        <v>3.819090871020967</v>
      </c>
    </row>
    <row r="303" spans="1:9" x14ac:dyDescent="0.25">
      <c r="A303" s="49">
        <f>'A) Base RI'!A304</f>
        <v>5928</v>
      </c>
      <c r="B303" s="479" t="str">
        <f>'A) Base RI'!B304</f>
        <v>Rovray</v>
      </c>
      <c r="C303" s="10">
        <f>'B) D RI'!Y304</f>
        <v>19441.55</v>
      </c>
      <c r="D303" s="423">
        <f>'B) D RI'!Z304</f>
        <v>10979.85</v>
      </c>
      <c r="E303" s="10">
        <f t="shared" si="16"/>
        <v>30421.4</v>
      </c>
      <c r="F303" s="423">
        <f>'B) D RI'!U304</f>
        <v>5459.4606993006983</v>
      </c>
      <c r="G303" s="261">
        <f t="shared" si="17"/>
        <v>5.5722353682107606</v>
      </c>
      <c r="H303" s="55">
        <f t="shared" si="18"/>
        <v>13014.73</v>
      </c>
      <c r="I303" s="395">
        <f t="shared" si="19"/>
        <v>2.3838856467392566</v>
      </c>
    </row>
    <row r="304" spans="1:9" x14ac:dyDescent="0.25">
      <c r="A304" s="49">
        <f>'A) Base RI'!A305</f>
        <v>5929</v>
      </c>
      <c r="B304" s="479" t="str">
        <f>'A) Base RI'!B305</f>
        <v>Suchy</v>
      </c>
      <c r="C304" s="10">
        <f>'B) D RI'!Y305</f>
        <v>143441.1</v>
      </c>
      <c r="D304" s="423">
        <f>'B) D RI'!Z305</f>
        <v>6048.3</v>
      </c>
      <c r="E304" s="10">
        <f t="shared" si="16"/>
        <v>149489.4</v>
      </c>
      <c r="F304" s="423">
        <f>'B) D RI'!U305</f>
        <v>20266.988392857143</v>
      </c>
      <c r="G304" s="261">
        <f t="shared" si="17"/>
        <v>7.3760046190526136</v>
      </c>
      <c r="H304" s="55">
        <f t="shared" si="18"/>
        <v>73535.040000000008</v>
      </c>
      <c r="I304" s="395">
        <f t="shared" si="19"/>
        <v>3.6283160859714387</v>
      </c>
    </row>
    <row r="305" spans="1:9" x14ac:dyDescent="0.25">
      <c r="A305" s="49">
        <f>'A) Base RI'!A306</f>
        <v>5930</v>
      </c>
      <c r="B305" s="479" t="str">
        <f>'A) Base RI'!B306</f>
        <v>Suscévaz</v>
      </c>
      <c r="C305" s="10">
        <f>'B) D RI'!Y306</f>
        <v>79841.8</v>
      </c>
      <c r="D305" s="423">
        <f>'B) D RI'!Z306</f>
        <v>0</v>
      </c>
      <c r="E305" s="10">
        <f t="shared" si="16"/>
        <v>79841.8</v>
      </c>
      <c r="F305" s="423">
        <f>'B) D RI'!U306</f>
        <v>6661.8138888888889</v>
      </c>
      <c r="G305" s="261">
        <f t="shared" si="17"/>
        <v>11.984994076938506</v>
      </c>
      <c r="H305" s="55">
        <f t="shared" si="18"/>
        <v>39920.9</v>
      </c>
      <c r="I305" s="395">
        <f t="shared" si="19"/>
        <v>5.9924970384692529</v>
      </c>
    </row>
    <row r="306" spans="1:9" x14ac:dyDescent="0.25">
      <c r="A306" s="49">
        <f>'A) Base RI'!A307</f>
        <v>5931</v>
      </c>
      <c r="B306" s="479" t="str">
        <f>'A) Base RI'!B307</f>
        <v>Treycovagnes</v>
      </c>
      <c r="C306" s="10">
        <f>'B) D RI'!Y307</f>
        <v>155078.15000000002</v>
      </c>
      <c r="D306" s="423">
        <f>'B) D RI'!Z307</f>
        <v>12375.15</v>
      </c>
      <c r="E306" s="10">
        <f t="shared" si="16"/>
        <v>167453.30000000002</v>
      </c>
      <c r="F306" s="423">
        <f>'B) D RI'!U307</f>
        <v>15271.093466666664</v>
      </c>
      <c r="G306" s="261">
        <f t="shared" si="17"/>
        <v>10.96537719224315</v>
      </c>
      <c r="H306" s="55">
        <f t="shared" si="18"/>
        <v>81251.62000000001</v>
      </c>
      <c r="I306" s="395">
        <f t="shared" si="19"/>
        <v>5.3206157225973296</v>
      </c>
    </row>
    <row r="307" spans="1:9" x14ac:dyDescent="0.25">
      <c r="A307" s="49">
        <f>'A) Base RI'!A308</f>
        <v>5932</v>
      </c>
      <c r="B307" s="479" t="str">
        <f>'A) Base RI'!B308</f>
        <v>Ursins</v>
      </c>
      <c r="C307" s="10">
        <f>'B) D RI'!Y308</f>
        <v>9848.7000000000007</v>
      </c>
      <c r="D307" s="423">
        <f>'B) D RI'!Z308</f>
        <v>0</v>
      </c>
      <c r="E307" s="10">
        <f t="shared" si="16"/>
        <v>9848.7000000000007</v>
      </c>
      <c r="F307" s="423">
        <f>'B) D RI'!U308</f>
        <v>7703.3244000000022</v>
      </c>
      <c r="G307" s="261">
        <f t="shared" si="17"/>
        <v>1.2784999681436235</v>
      </c>
      <c r="H307" s="55">
        <f t="shared" si="18"/>
        <v>4924.3500000000004</v>
      </c>
      <c r="I307" s="395">
        <f t="shared" si="19"/>
        <v>0.63924998407181177</v>
      </c>
    </row>
    <row r="308" spans="1:9" x14ac:dyDescent="0.25">
      <c r="A308" s="49">
        <f>'A) Base RI'!A309</f>
        <v>5933</v>
      </c>
      <c r="B308" s="479" t="str">
        <f>'A) Base RI'!B309</f>
        <v>Valeyres-sous-Montagny</v>
      </c>
      <c r="C308" s="10">
        <f>'B) D RI'!Y309</f>
        <v>132448.65</v>
      </c>
      <c r="D308" s="423">
        <f>'B) D RI'!Z309</f>
        <v>17443.900000000001</v>
      </c>
      <c r="E308" s="10">
        <f t="shared" si="16"/>
        <v>149892.54999999999</v>
      </c>
      <c r="F308" s="423">
        <f>'B) D RI'!U309</f>
        <v>19607.073049645387</v>
      </c>
      <c r="G308" s="261">
        <f t="shared" si="17"/>
        <v>7.6448202962507423</v>
      </c>
      <c r="H308" s="55">
        <f t="shared" si="18"/>
        <v>71457.494999999995</v>
      </c>
      <c r="I308" s="395">
        <f t="shared" si="19"/>
        <v>3.6444753798319924</v>
      </c>
    </row>
    <row r="309" spans="1:9" x14ac:dyDescent="0.25">
      <c r="A309" s="49">
        <f>'A) Base RI'!A310</f>
        <v>5934</v>
      </c>
      <c r="B309" s="479" t="str">
        <f>'A) Base RI'!B310</f>
        <v>Valeyres-sous-Ursins</v>
      </c>
      <c r="C309" s="10">
        <f>'B) D RI'!Y310</f>
        <v>2211.6</v>
      </c>
      <c r="D309" s="423">
        <f>'B) D RI'!Z310</f>
        <v>16396.150000000001</v>
      </c>
      <c r="E309" s="10">
        <f t="shared" si="16"/>
        <v>18607.75</v>
      </c>
      <c r="F309" s="423">
        <f>'B) D RI'!U310</f>
        <v>7018.283636363637</v>
      </c>
      <c r="G309" s="261">
        <f t="shared" si="17"/>
        <v>2.651324877152041</v>
      </c>
      <c r="H309" s="55">
        <f t="shared" si="18"/>
        <v>6024.6450000000004</v>
      </c>
      <c r="I309" s="395">
        <f t="shared" si="19"/>
        <v>0.85842141927474624</v>
      </c>
    </row>
    <row r="310" spans="1:9" x14ac:dyDescent="0.25">
      <c r="A310" s="49">
        <f>'A) Base RI'!A311</f>
        <v>5935</v>
      </c>
      <c r="B310" s="479" t="str">
        <f>'A) Base RI'!B311</f>
        <v>Villars-Epeney</v>
      </c>
      <c r="C310" s="10">
        <f>'B) D RI'!Y311</f>
        <v>10120</v>
      </c>
      <c r="D310" s="423">
        <f>'B) D RI'!Z311</f>
        <v>0</v>
      </c>
      <c r="E310" s="10">
        <f t="shared" si="16"/>
        <v>10120</v>
      </c>
      <c r="F310" s="423">
        <f>'B) D RI'!U311</f>
        <v>3448.2304999999997</v>
      </c>
      <c r="G310" s="261">
        <f t="shared" si="17"/>
        <v>2.9348386078018858</v>
      </c>
      <c r="H310" s="55">
        <f t="shared" si="18"/>
        <v>5060</v>
      </c>
      <c r="I310" s="395">
        <f t="shared" si="19"/>
        <v>1.4674193039009429</v>
      </c>
    </row>
    <row r="311" spans="1:9" x14ac:dyDescent="0.25">
      <c r="A311" s="49">
        <f>'A) Base RI'!A312</f>
        <v>5937</v>
      </c>
      <c r="B311" s="479" t="str">
        <f>'A) Base RI'!B312</f>
        <v>Vugelles-La Mothe</v>
      </c>
      <c r="C311" s="10">
        <f>'B) D RI'!Y312</f>
        <v>10230</v>
      </c>
      <c r="D311" s="423">
        <f>'B) D RI'!Z312</f>
        <v>0</v>
      </c>
      <c r="E311" s="10">
        <f t="shared" si="16"/>
        <v>10230</v>
      </c>
      <c r="F311" s="423">
        <f>'B) D RI'!U312</f>
        <v>3479.7743061224487</v>
      </c>
      <c r="G311" s="261">
        <f t="shared" si="17"/>
        <v>2.9398458348292715</v>
      </c>
      <c r="H311" s="55">
        <f t="shared" si="18"/>
        <v>5115</v>
      </c>
      <c r="I311" s="395">
        <f t="shared" si="19"/>
        <v>1.4699229174146358</v>
      </c>
    </row>
    <row r="312" spans="1:9" x14ac:dyDescent="0.25">
      <c r="A312" s="49">
        <f>'A) Base RI'!A313</f>
        <v>5938</v>
      </c>
      <c r="B312" s="479" t="str">
        <f>'A) Base RI'!B313</f>
        <v>Yverdon-les-Bains</v>
      </c>
      <c r="C312" s="10">
        <f>'B) D RI'!Y313</f>
        <v>6273689.7999999998</v>
      </c>
      <c r="D312" s="423">
        <f>'B) D RI'!Z313</f>
        <v>4824763.5999999996</v>
      </c>
      <c r="E312" s="10">
        <f t="shared" si="16"/>
        <v>11098453.399999999</v>
      </c>
      <c r="F312" s="423">
        <f>'B) D RI'!U313</f>
        <v>762770.29813333345</v>
      </c>
      <c r="G312" s="261">
        <f t="shared" si="17"/>
        <v>14.550190833544978</v>
      </c>
      <c r="H312" s="55">
        <f t="shared" si="18"/>
        <v>4584273.9799999995</v>
      </c>
      <c r="I312" s="395">
        <f t="shared" si="19"/>
        <v>6.0100321043159726</v>
      </c>
    </row>
    <row r="313" spans="1:9" x14ac:dyDescent="0.25">
      <c r="A313" s="49">
        <f>'A) Base RI'!A314</f>
        <v>5939</v>
      </c>
      <c r="B313" s="479" t="str">
        <f>'A) Base RI'!B314</f>
        <v>Yvonand</v>
      </c>
      <c r="C313" s="405">
        <f>'B) D RI'!Y314</f>
        <v>606423.5</v>
      </c>
      <c r="D313" s="423">
        <f>'B) D RI'!Z314</f>
        <v>167773.55</v>
      </c>
      <c r="E313" s="10">
        <f t="shared" si="16"/>
        <v>774197.05</v>
      </c>
      <c r="F313" s="423">
        <f>'B) D RI'!U314</f>
        <v>105336.86867132869</v>
      </c>
      <c r="G313" s="261">
        <f t="shared" si="17"/>
        <v>7.3497253123751376</v>
      </c>
      <c r="H313" s="55">
        <f t="shared" si="18"/>
        <v>353543.815</v>
      </c>
      <c r="I313" s="395">
        <f t="shared" si="19"/>
        <v>3.3563159742589725</v>
      </c>
    </row>
    <row r="314" spans="1:9" x14ac:dyDescent="0.25">
      <c r="A314" s="360"/>
      <c r="B314" s="117">
        <f>COUNTA(B6:B313)</f>
        <v>308</v>
      </c>
      <c r="C314" s="386">
        <f>SUM(C6:C313)</f>
        <v>323157845.18000007</v>
      </c>
      <c r="D314" s="11">
        <f>SUM(D6:D313)</f>
        <v>82182598.849999994</v>
      </c>
      <c r="E314" s="11">
        <f>SUM(E6:E313)</f>
        <v>405340444.03000039</v>
      </c>
      <c r="F314" s="11">
        <f>SUM(F6:F313)</f>
        <v>39865815.115802124</v>
      </c>
      <c r="G314" s="59">
        <f t="shared" ref="G314" si="20">E314/F314</f>
        <v>10.167619622289635</v>
      </c>
      <c r="H314" s="263">
        <f>(C314*$C$5)+(D314*$D$5)</f>
        <v>186233702.24500003</v>
      </c>
      <c r="I314" s="396">
        <f t="shared" ref="I314" si="21">H314/F314</f>
        <v>4.6715137193113652</v>
      </c>
    </row>
    <row r="316" spans="1:9" x14ac:dyDescent="0.25">
      <c r="G316" s="13"/>
    </row>
    <row r="317" spans="1:9" x14ac:dyDescent="0.25">
      <c r="G317" s="13"/>
    </row>
    <row r="318" spans="1:9" x14ac:dyDescent="0.25">
      <c r="G318" s="13"/>
    </row>
    <row r="319" spans="1:9" x14ac:dyDescent="0.25">
      <c r="G319" s="13"/>
    </row>
    <row r="320" spans="1:9" x14ac:dyDescent="0.25">
      <c r="G320" s="13"/>
    </row>
    <row r="321" spans="7:7" x14ac:dyDescent="0.25">
      <c r="G321" s="13"/>
    </row>
    <row r="322" spans="7:7" x14ac:dyDescent="0.25">
      <c r="G322" s="13"/>
    </row>
    <row r="323" spans="7:7" x14ac:dyDescent="0.25">
      <c r="G323" s="13"/>
    </row>
    <row r="324" spans="7:7" x14ac:dyDescent="0.25">
      <c r="G324" s="13"/>
    </row>
    <row r="325" spans="7:7" x14ac:dyDescent="0.25">
      <c r="G325" s="13"/>
    </row>
    <row r="326" spans="7:7" x14ac:dyDescent="0.25">
      <c r="G326" s="13"/>
    </row>
    <row r="327" spans="7:7" x14ac:dyDescent="0.25">
      <c r="G327" s="13"/>
    </row>
    <row r="328" spans="7:7" x14ac:dyDescent="0.25">
      <c r="G328" s="13"/>
    </row>
    <row r="329" spans="7:7" x14ac:dyDescent="0.25">
      <c r="G329" s="13"/>
    </row>
    <row r="330" spans="7:7" x14ac:dyDescent="0.25">
      <c r="G330" s="13"/>
    </row>
    <row r="331" spans="7:7" x14ac:dyDescent="0.25">
      <c r="G331" s="13"/>
    </row>
    <row r="332" spans="7:7" x14ac:dyDescent="0.25">
      <c r="G332" s="13"/>
    </row>
  </sheetData>
  <mergeCells count="7">
    <mergeCell ref="A4:A5"/>
    <mergeCell ref="B4:B5"/>
    <mergeCell ref="I4:I5"/>
    <mergeCell ref="H4:H5"/>
    <mergeCell ref="G4:G5"/>
    <mergeCell ref="F4:F5"/>
    <mergeCell ref="E4:E5"/>
  </mergeCells>
  <phoneticPr fontId="21" type="noConversion"/>
  <printOptions horizontalCentered="1" verticalCentered="1"/>
  <pageMargins left="0" right="0" top="0" bottom="0" header="0.51181102362204722" footer="0.51181102362204722"/>
  <pageSetup paperSize="8"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rgb="FF00B050"/>
  </sheetPr>
  <dimension ref="A1:V320"/>
  <sheetViews>
    <sheetView workbookViewId="0"/>
  </sheetViews>
  <sheetFormatPr baseColWidth="10" defaultColWidth="11" defaultRowHeight="15" x14ac:dyDescent="0.25"/>
  <cols>
    <col min="1" max="1" width="7.25" style="13" customWidth="1"/>
    <col min="2" max="2" width="18" style="13" customWidth="1"/>
    <col min="3" max="3" width="10.875" style="13" bestFit="1" customWidth="1"/>
    <col min="4" max="4" width="10" style="13" customWidth="1"/>
    <col min="5" max="5" width="10.125" style="13" customWidth="1"/>
    <col min="6" max="6" width="8.75" style="58" bestFit="1" customWidth="1"/>
    <col min="7" max="7" width="5.75" style="13" bestFit="1" customWidth="1"/>
    <col min="8" max="8" width="5.75" style="13" customWidth="1"/>
    <col min="9" max="10" width="5.75" style="13" bestFit="1" customWidth="1"/>
    <col min="11" max="11" width="6.5" style="13" bestFit="1" customWidth="1"/>
    <col min="12" max="12" width="7.625" style="13" bestFit="1" customWidth="1"/>
    <col min="13" max="13" width="13" style="12" bestFit="1" customWidth="1"/>
    <col min="14" max="17" width="11" style="359"/>
    <col min="18" max="18" width="11.25" style="359" bestFit="1" customWidth="1"/>
    <col min="19" max="21" width="11" style="13"/>
    <col min="22" max="22" width="11.25" style="13" bestFit="1" customWidth="1"/>
    <col min="23" max="16384" width="11" style="13"/>
  </cols>
  <sheetData>
    <row r="1" spans="1:22" ht="21" x14ac:dyDescent="0.25">
      <c r="A1" s="51" t="s">
        <v>455</v>
      </c>
      <c r="B1" s="42"/>
      <c r="C1" s="56"/>
      <c r="D1" s="43"/>
      <c r="E1" s="43"/>
      <c r="F1" s="57"/>
    </row>
    <row r="2" spans="1:22" s="393" customFormat="1" ht="21" x14ac:dyDescent="0.25">
      <c r="A2" s="199">
        <f>Paramètres!B5</f>
        <v>2021</v>
      </c>
      <c r="B2" s="42"/>
      <c r="C2" s="56"/>
      <c r="D2" s="43"/>
      <c r="E2" s="43"/>
      <c r="F2" s="57"/>
      <c r="M2" s="12"/>
      <c r="N2" s="427"/>
      <c r="O2" s="427"/>
      <c r="P2" s="427"/>
      <c r="Q2" s="427"/>
      <c r="R2" s="427"/>
    </row>
    <row r="3" spans="1:22" x14ac:dyDescent="0.25">
      <c r="G3" s="66">
        <f>$E$314*G5</f>
        <v>48.387949099081446</v>
      </c>
      <c r="H3" s="66">
        <f>$E$314*H5</f>
        <v>58.06553891889773</v>
      </c>
      <c r="I3" s="66">
        <f>$E$314*I5</f>
        <v>72.581923648622166</v>
      </c>
      <c r="J3" s="66">
        <f>$E$314*J5</f>
        <v>96.775898198162892</v>
      </c>
      <c r="K3" s="66">
        <f>$E$314*K5</f>
        <v>145.16384729724433</v>
      </c>
    </row>
    <row r="4" spans="1:22" ht="60" customHeight="1" x14ac:dyDescent="0.25">
      <c r="A4" s="592" t="s">
        <v>46</v>
      </c>
      <c r="B4" s="592" t="s">
        <v>94</v>
      </c>
      <c r="C4" s="599" t="s">
        <v>297</v>
      </c>
      <c r="D4" s="600"/>
      <c r="E4" s="601"/>
      <c r="F4" s="598" t="s">
        <v>283</v>
      </c>
      <c r="G4" s="63">
        <f>Paramètres!B16</f>
        <v>0.2</v>
      </c>
      <c r="H4" s="63">
        <f>Paramètres!C16</f>
        <v>0.3</v>
      </c>
      <c r="I4" s="63">
        <f>Paramètres!D16</f>
        <v>0.4</v>
      </c>
      <c r="J4" s="63">
        <f>Paramètres!E16</f>
        <v>0.5</v>
      </c>
      <c r="K4" s="63">
        <f>Paramètres!F16</f>
        <v>0.6</v>
      </c>
      <c r="L4" s="598" t="s">
        <v>286</v>
      </c>
      <c r="M4" s="598" t="s">
        <v>298</v>
      </c>
    </row>
    <row r="5" spans="1:22" ht="30" x14ac:dyDescent="0.25">
      <c r="A5" s="593"/>
      <c r="B5" s="593"/>
      <c r="C5" s="64" t="s">
        <v>357</v>
      </c>
      <c r="D5" s="64" t="s">
        <v>296</v>
      </c>
      <c r="E5" s="64" t="s">
        <v>67</v>
      </c>
      <c r="F5" s="598"/>
      <c r="G5" s="65">
        <f>Paramètres!B17</f>
        <v>1</v>
      </c>
      <c r="H5" s="65">
        <f>Paramètres!C17</f>
        <v>1.2</v>
      </c>
      <c r="I5" s="65">
        <f>Paramètres!D17</f>
        <v>1.5</v>
      </c>
      <c r="J5" s="65">
        <f>Paramètres!E17</f>
        <v>2</v>
      </c>
      <c r="K5" s="65">
        <f>Paramètres!F17</f>
        <v>3</v>
      </c>
      <c r="L5" s="602"/>
      <c r="M5" s="598"/>
    </row>
    <row r="6" spans="1:22" x14ac:dyDescent="0.25">
      <c r="A6" s="104">
        <f>'A) Base RI'!A7</f>
        <v>5401</v>
      </c>
      <c r="B6" s="289" t="str">
        <f>'A) Base RI'!B7</f>
        <v>Aigle</v>
      </c>
      <c r="C6" s="286">
        <f>'B) D RI'!U7</f>
        <v>280991.46517676767</v>
      </c>
      <c r="D6" s="32">
        <f>'B) D RI'!AA7</f>
        <v>10828</v>
      </c>
      <c r="E6" s="198">
        <f>C6/D6</f>
        <v>25.950449314441048</v>
      </c>
      <c r="F6" s="354">
        <f t="shared" ref="F6" si="0">E6/$E$314</f>
        <v>0.53629983906331069</v>
      </c>
      <c r="G6" s="364">
        <f>IF(E6-$G$3&lt;0,0,E6-$G$3)</f>
        <v>0</v>
      </c>
      <c r="H6" s="356">
        <f>IF(E6-$H$3&lt;0,0,E6-$H$3)</f>
        <v>0</v>
      </c>
      <c r="I6" s="364">
        <f>IF(E6-$I$3&lt;0,0,E6-$I$3)</f>
        <v>0</v>
      </c>
      <c r="J6" s="356">
        <f>IF(E6-$J$3&lt;0,0,E6-$J$3)</f>
        <v>0</v>
      </c>
      <c r="K6" s="355">
        <f>IF(E6-$K$3&lt;0,0,E6-$K$3)</f>
        <v>0</v>
      </c>
      <c r="L6" s="363">
        <f>(G6-H6)*$G$4+(H6-I6)*$H$4+(I6-J6)*$I$4+(J6-K6)*$J$4+(K6*$K$4)</f>
        <v>0</v>
      </c>
      <c r="M6" s="112">
        <f>L6*D6*'B) D RI'!S7</f>
        <v>0</v>
      </c>
    </row>
    <row r="7" spans="1:22" x14ac:dyDescent="0.25">
      <c r="A7" s="288">
        <f>'A) Base RI'!A8</f>
        <v>5402</v>
      </c>
      <c r="B7" s="32" t="str">
        <f>'A) Base RI'!B8</f>
        <v>Bex</v>
      </c>
      <c r="C7" s="286">
        <f>'B) D RI'!U8</f>
        <v>192706.98084507044</v>
      </c>
      <c r="D7" s="32">
        <f>'B) D RI'!AA8</f>
        <v>8063</v>
      </c>
      <c r="E7" s="198">
        <f t="shared" ref="E7:E70" si="1">C7/D7</f>
        <v>23.900158854653409</v>
      </c>
      <c r="F7" s="354">
        <f t="shared" ref="F7:F70" si="2">E7/$E$314</f>
        <v>0.49392791593035523</v>
      </c>
      <c r="G7" s="365">
        <f t="shared" ref="G7:G70" si="3">IF(E7-$G$3&lt;0,0,E7-$G$3)</f>
        <v>0</v>
      </c>
      <c r="H7" s="362">
        <f t="shared" ref="H7:H70" si="4">IF(E7-$H$3&lt;0,0,E7-$H$3)</f>
        <v>0</v>
      </c>
      <c r="I7" s="365">
        <f t="shared" ref="I7:I70" si="5">IF(E7-$I$3&lt;0,0,E7-$I$3)</f>
        <v>0</v>
      </c>
      <c r="J7" s="362">
        <f t="shared" ref="J7:J70" si="6">IF(E7-$J$3&lt;0,0,E7-$J$3)</f>
        <v>0</v>
      </c>
      <c r="K7" s="357">
        <f t="shared" ref="K7:K70" si="7">IF(E7-$K$3&lt;0,0,E7-$K$3)</f>
        <v>0</v>
      </c>
      <c r="L7" s="361">
        <f t="shared" ref="L7:L70" si="8">(G7-H7)*$G$4+(H7-I7)*$H$4+(I7-J7)*$I$4+(J7-K7)*$J$4+(K7*$K$4)</f>
        <v>0</v>
      </c>
      <c r="M7" s="112">
        <f>L7*D7*'B) D RI'!S8</f>
        <v>0</v>
      </c>
    </row>
    <row r="8" spans="1:22" x14ac:dyDescent="0.25">
      <c r="A8" s="288">
        <f>'A) Base RI'!A9</f>
        <v>5403</v>
      </c>
      <c r="B8" s="32" t="str">
        <f>'A) Base RI'!B9</f>
        <v>Chessel</v>
      </c>
      <c r="C8" s="286">
        <f>'B) D RI'!U9</f>
        <v>12090.332702702703</v>
      </c>
      <c r="D8" s="32">
        <f>'B) D RI'!AA9</f>
        <v>497</v>
      </c>
      <c r="E8" s="198">
        <f t="shared" si="1"/>
        <v>24.326625156343464</v>
      </c>
      <c r="F8" s="354">
        <f t="shared" si="2"/>
        <v>0.50274139758498793</v>
      </c>
      <c r="G8" s="365">
        <f t="shared" si="3"/>
        <v>0</v>
      </c>
      <c r="H8" s="362">
        <f t="shared" si="4"/>
        <v>0</v>
      </c>
      <c r="I8" s="365">
        <f t="shared" si="5"/>
        <v>0</v>
      </c>
      <c r="J8" s="362">
        <f t="shared" si="6"/>
        <v>0</v>
      </c>
      <c r="K8" s="357">
        <f t="shared" si="7"/>
        <v>0</v>
      </c>
      <c r="L8" s="361">
        <f t="shared" si="8"/>
        <v>0</v>
      </c>
      <c r="M8" s="112">
        <f>L8*D8*'B) D RI'!S9</f>
        <v>0</v>
      </c>
    </row>
    <row r="9" spans="1:22" x14ac:dyDescent="0.25">
      <c r="A9" s="288">
        <f>'A) Base RI'!A10</f>
        <v>5404</v>
      </c>
      <c r="B9" s="32" t="str">
        <f>'A) Base RI'!B10</f>
        <v>Corbeyrier</v>
      </c>
      <c r="C9" s="286">
        <f>'B) D RI'!U10</f>
        <v>11581.118783783784</v>
      </c>
      <c r="D9" s="32">
        <f>'B) D RI'!AA10</f>
        <v>439</v>
      </c>
      <c r="E9" s="198">
        <f t="shared" si="1"/>
        <v>26.380680600874225</v>
      </c>
      <c r="F9" s="354">
        <f t="shared" si="2"/>
        <v>0.54519112903206335</v>
      </c>
      <c r="G9" s="365">
        <f t="shared" si="3"/>
        <v>0</v>
      </c>
      <c r="H9" s="362">
        <f t="shared" si="4"/>
        <v>0</v>
      </c>
      <c r="I9" s="365">
        <f t="shared" si="5"/>
        <v>0</v>
      </c>
      <c r="J9" s="362">
        <f t="shared" si="6"/>
        <v>0</v>
      </c>
      <c r="K9" s="357">
        <f t="shared" si="7"/>
        <v>0</v>
      </c>
      <c r="L9" s="361">
        <f t="shared" si="8"/>
        <v>0</v>
      </c>
      <c r="M9" s="112">
        <f>L9*D9*'B) D RI'!S10</f>
        <v>0</v>
      </c>
    </row>
    <row r="10" spans="1:22" x14ac:dyDescent="0.25">
      <c r="A10" s="288">
        <f>'A) Base RI'!A11</f>
        <v>5405</v>
      </c>
      <c r="B10" s="32" t="str">
        <f>'A) Base RI'!B11</f>
        <v>Gryon</v>
      </c>
      <c r="C10" s="286">
        <f>'B) D RI'!U11</f>
        <v>78111.135102040818</v>
      </c>
      <c r="D10" s="32">
        <f>'B) D RI'!AA11</f>
        <v>1382</v>
      </c>
      <c r="E10" s="198">
        <f t="shared" si="1"/>
        <v>56.520358250391332</v>
      </c>
      <c r="F10" s="354">
        <f t="shared" si="2"/>
        <v>1.1680668286778921</v>
      </c>
      <c r="G10" s="365">
        <f t="shared" si="3"/>
        <v>8.1324091513098864</v>
      </c>
      <c r="H10" s="362">
        <f t="shared" si="4"/>
        <v>0</v>
      </c>
      <c r="I10" s="365">
        <f t="shared" si="5"/>
        <v>0</v>
      </c>
      <c r="J10" s="362">
        <f t="shared" si="6"/>
        <v>0</v>
      </c>
      <c r="K10" s="357">
        <f t="shared" si="7"/>
        <v>0</v>
      </c>
      <c r="L10" s="361">
        <f t="shared" si="8"/>
        <v>1.6264818302619775</v>
      </c>
      <c r="M10" s="112">
        <f>L10*D10*'B) D RI'!S11</f>
        <v>165213.14487252088</v>
      </c>
    </row>
    <row r="11" spans="1:22" x14ac:dyDescent="0.25">
      <c r="A11" s="288">
        <f>'A) Base RI'!A12</f>
        <v>5406</v>
      </c>
      <c r="B11" s="32" t="str">
        <f>'A) Base RI'!B12</f>
        <v>Lavey-Morcles</v>
      </c>
      <c r="C11" s="286">
        <f>'B) D RI'!U12</f>
        <v>21513.822183969878</v>
      </c>
      <c r="D11" s="32">
        <f>'B) D RI'!AA12</f>
        <v>966</v>
      </c>
      <c r="E11" s="198">
        <f t="shared" si="1"/>
        <v>22.271037457525754</v>
      </c>
      <c r="F11" s="354">
        <f t="shared" si="2"/>
        <v>0.46026000010710366</v>
      </c>
      <c r="G11" s="365">
        <f t="shared" si="3"/>
        <v>0</v>
      </c>
      <c r="H11" s="362">
        <f t="shared" si="4"/>
        <v>0</v>
      </c>
      <c r="I11" s="365">
        <f t="shared" si="5"/>
        <v>0</v>
      </c>
      <c r="J11" s="362">
        <f t="shared" si="6"/>
        <v>0</v>
      </c>
      <c r="K11" s="357">
        <f t="shared" si="7"/>
        <v>0</v>
      </c>
      <c r="L11" s="361">
        <f t="shared" si="8"/>
        <v>0</v>
      </c>
      <c r="M11" s="112">
        <f>L11*D11*'B) D RI'!S12</f>
        <v>0</v>
      </c>
    </row>
    <row r="12" spans="1:22" x14ac:dyDescent="0.25">
      <c r="A12" s="288">
        <f>'A) Base RI'!A13</f>
        <v>5407</v>
      </c>
      <c r="B12" s="32" t="str">
        <f>'A) Base RI'!B13</f>
        <v>Leysin</v>
      </c>
      <c r="C12" s="286">
        <f>'B) D RI'!U13</f>
        <v>90687.443803418792</v>
      </c>
      <c r="D12" s="32">
        <f>'B) D RI'!AA13</f>
        <v>3637</v>
      </c>
      <c r="E12" s="198">
        <f t="shared" si="1"/>
        <v>24.934683476331809</v>
      </c>
      <c r="F12" s="354">
        <f t="shared" si="2"/>
        <v>0.51530771484599147</v>
      </c>
      <c r="G12" s="365">
        <f t="shared" si="3"/>
        <v>0</v>
      </c>
      <c r="H12" s="362">
        <f t="shared" si="4"/>
        <v>0</v>
      </c>
      <c r="I12" s="365">
        <f t="shared" si="5"/>
        <v>0</v>
      </c>
      <c r="J12" s="362">
        <f t="shared" si="6"/>
        <v>0</v>
      </c>
      <c r="K12" s="357">
        <f t="shared" si="7"/>
        <v>0</v>
      </c>
      <c r="L12" s="361">
        <f t="shared" si="8"/>
        <v>0</v>
      </c>
      <c r="M12" s="112">
        <f>L12*D12*'B) D RI'!S13</f>
        <v>0</v>
      </c>
    </row>
    <row r="13" spans="1:22" x14ac:dyDescent="0.25">
      <c r="A13" s="288">
        <f>'A) Base RI'!A14</f>
        <v>5408</v>
      </c>
      <c r="B13" s="32" t="str">
        <f>'A) Base RI'!B14</f>
        <v>Noville</v>
      </c>
      <c r="C13" s="286">
        <f>'B) D RI'!U14</f>
        <v>41389.442632696395</v>
      </c>
      <c r="D13" s="32">
        <f>'B) D RI'!AA14</f>
        <v>1169</v>
      </c>
      <c r="E13" s="198">
        <f t="shared" si="1"/>
        <v>35.405853406925914</v>
      </c>
      <c r="F13" s="354">
        <f t="shared" si="2"/>
        <v>0.73170808158095768</v>
      </c>
      <c r="G13" s="365">
        <f t="shared" si="3"/>
        <v>0</v>
      </c>
      <c r="H13" s="362">
        <f t="shared" si="4"/>
        <v>0</v>
      </c>
      <c r="I13" s="365">
        <f t="shared" si="5"/>
        <v>0</v>
      </c>
      <c r="J13" s="362">
        <f t="shared" si="6"/>
        <v>0</v>
      </c>
      <c r="K13" s="357">
        <f t="shared" si="7"/>
        <v>0</v>
      </c>
      <c r="L13" s="361">
        <f t="shared" si="8"/>
        <v>0</v>
      </c>
      <c r="M13" s="112">
        <f>L13*D13*'B) D RI'!S14</f>
        <v>0</v>
      </c>
    </row>
    <row r="14" spans="1:22" x14ac:dyDescent="0.25">
      <c r="A14" s="288">
        <f>'A) Base RI'!A15</f>
        <v>5409</v>
      </c>
      <c r="B14" s="32" t="str">
        <f>'A) Base RI'!B15</f>
        <v>Ollon</v>
      </c>
      <c r="C14" s="286">
        <f>'B) D RI'!U15</f>
        <v>428262.96074660635</v>
      </c>
      <c r="D14" s="32">
        <f>'B) D RI'!AA15</f>
        <v>7904</v>
      </c>
      <c r="E14" s="198">
        <f t="shared" si="1"/>
        <v>54.183066896078735</v>
      </c>
      <c r="F14" s="354">
        <f t="shared" si="2"/>
        <v>1.1197636582019819</v>
      </c>
      <c r="G14" s="365">
        <f t="shared" si="3"/>
        <v>5.7951177969972889</v>
      </c>
      <c r="H14" s="362">
        <f t="shared" si="4"/>
        <v>0</v>
      </c>
      <c r="I14" s="365">
        <f t="shared" si="5"/>
        <v>0</v>
      </c>
      <c r="J14" s="362">
        <f t="shared" si="6"/>
        <v>0</v>
      </c>
      <c r="K14" s="357">
        <f t="shared" si="7"/>
        <v>0</v>
      </c>
      <c r="L14" s="361">
        <f t="shared" si="8"/>
        <v>1.1590235593994578</v>
      </c>
      <c r="M14" s="112">
        <f>L14*D14*'B) D RI'!S15</f>
        <v>622942.71051754546</v>
      </c>
    </row>
    <row r="15" spans="1:22" x14ac:dyDescent="0.25">
      <c r="A15" s="288">
        <f>'A) Base RI'!A16</f>
        <v>5410</v>
      </c>
      <c r="B15" s="32" t="str">
        <f>'A) Base RI'!B16</f>
        <v>Ormont-Dessous</v>
      </c>
      <c r="C15" s="286">
        <f>'B) D RI'!U16</f>
        <v>38614.348051948051</v>
      </c>
      <c r="D15" s="32">
        <f>'B) D RI'!AA16</f>
        <v>1162</v>
      </c>
      <c r="E15" s="198">
        <f t="shared" si="1"/>
        <v>33.230936361401078</v>
      </c>
      <c r="F15" s="354">
        <f t="shared" si="2"/>
        <v>0.68676058771070969</v>
      </c>
      <c r="G15" s="365">
        <f t="shared" si="3"/>
        <v>0</v>
      </c>
      <c r="H15" s="362">
        <f t="shared" si="4"/>
        <v>0</v>
      </c>
      <c r="I15" s="365">
        <f t="shared" si="5"/>
        <v>0</v>
      </c>
      <c r="J15" s="362">
        <f t="shared" si="6"/>
        <v>0</v>
      </c>
      <c r="K15" s="357">
        <f t="shared" si="7"/>
        <v>0</v>
      </c>
      <c r="L15" s="361">
        <f t="shared" si="8"/>
        <v>0</v>
      </c>
      <c r="M15" s="112">
        <f>L15*D15*'B) D RI'!S16</f>
        <v>0</v>
      </c>
      <c r="V15" s="15"/>
    </row>
    <row r="16" spans="1:22" x14ac:dyDescent="0.25">
      <c r="A16" s="288">
        <f>'A) Base RI'!A17</f>
        <v>5411</v>
      </c>
      <c r="B16" s="32" t="str">
        <f>'A) Base RI'!B17</f>
        <v>Ormont-Dessus</v>
      </c>
      <c r="C16" s="286">
        <f>'B) D RI'!U17</f>
        <v>77411.411228070181</v>
      </c>
      <c r="D16" s="32">
        <f>'B) D RI'!AA17</f>
        <v>1451</v>
      </c>
      <c r="E16" s="198">
        <f t="shared" si="1"/>
        <v>53.350386787091786</v>
      </c>
      <c r="F16" s="354">
        <f t="shared" si="2"/>
        <v>1.1025552390709723</v>
      </c>
      <c r="G16" s="365">
        <f t="shared" si="3"/>
        <v>4.9624376880103398</v>
      </c>
      <c r="H16" s="362">
        <f t="shared" si="4"/>
        <v>0</v>
      </c>
      <c r="I16" s="365">
        <f t="shared" si="5"/>
        <v>0</v>
      </c>
      <c r="J16" s="362">
        <f t="shared" si="6"/>
        <v>0</v>
      </c>
      <c r="K16" s="357">
        <f t="shared" si="7"/>
        <v>0</v>
      </c>
      <c r="L16" s="361">
        <f t="shared" si="8"/>
        <v>0.99248753760206798</v>
      </c>
      <c r="M16" s="112">
        <f>L16*D16*'B) D RI'!S17</f>
        <v>109447.55569660565</v>
      </c>
      <c r="V16" s="15"/>
    </row>
    <row r="17" spans="1:22" x14ac:dyDescent="0.25">
      <c r="A17" s="288">
        <f>'A) Base RI'!A18</f>
        <v>5412</v>
      </c>
      <c r="B17" s="32" t="str">
        <f>'A) Base RI'!B18</f>
        <v>Rennaz</v>
      </c>
      <c r="C17" s="286">
        <f>'B) D RI'!U18</f>
        <v>28875.999420289856</v>
      </c>
      <c r="D17" s="32">
        <f>'B) D RI'!AA18</f>
        <v>883</v>
      </c>
      <c r="E17" s="198">
        <f t="shared" si="1"/>
        <v>32.702151098856007</v>
      </c>
      <c r="F17" s="354">
        <f t="shared" si="2"/>
        <v>0.67583255144568211</v>
      </c>
      <c r="G17" s="365">
        <f t="shared" si="3"/>
        <v>0</v>
      </c>
      <c r="H17" s="362">
        <f t="shared" si="4"/>
        <v>0</v>
      </c>
      <c r="I17" s="365">
        <f t="shared" si="5"/>
        <v>0</v>
      </c>
      <c r="J17" s="362">
        <f t="shared" si="6"/>
        <v>0</v>
      </c>
      <c r="K17" s="357">
        <f t="shared" si="7"/>
        <v>0</v>
      </c>
      <c r="L17" s="361">
        <f t="shared" si="8"/>
        <v>0</v>
      </c>
      <c r="M17" s="112">
        <f>L17*D17*'B) D RI'!S18</f>
        <v>0</v>
      </c>
      <c r="V17" s="15"/>
    </row>
    <row r="18" spans="1:22" x14ac:dyDescent="0.25">
      <c r="A18" s="288">
        <f>'A) Base RI'!A19</f>
        <v>5413</v>
      </c>
      <c r="B18" s="32" t="str">
        <f>'A) Base RI'!B19</f>
        <v>Roche</v>
      </c>
      <c r="C18" s="286">
        <f>'B) D RI'!U19</f>
        <v>43148.541249999987</v>
      </c>
      <c r="D18" s="32">
        <f>'B) D RI'!AA19</f>
        <v>1874</v>
      </c>
      <c r="E18" s="198">
        <f t="shared" si="1"/>
        <v>23.024835245464242</v>
      </c>
      <c r="F18" s="354">
        <f t="shared" si="2"/>
        <v>0.47583821331872328</v>
      </c>
      <c r="G18" s="365">
        <f t="shared" si="3"/>
        <v>0</v>
      </c>
      <c r="H18" s="362">
        <f t="shared" si="4"/>
        <v>0</v>
      </c>
      <c r="I18" s="365">
        <f t="shared" si="5"/>
        <v>0</v>
      </c>
      <c r="J18" s="362">
        <f t="shared" si="6"/>
        <v>0</v>
      </c>
      <c r="K18" s="357">
        <f t="shared" si="7"/>
        <v>0</v>
      </c>
      <c r="L18" s="361">
        <f t="shared" si="8"/>
        <v>0</v>
      </c>
      <c r="M18" s="112">
        <f>L18*D18*'B) D RI'!S19</f>
        <v>0</v>
      </c>
      <c r="V18" s="15"/>
    </row>
    <row r="19" spans="1:22" x14ac:dyDescent="0.25">
      <c r="A19" s="288">
        <f>'A) Base RI'!A20</f>
        <v>5414</v>
      </c>
      <c r="B19" s="32" t="str">
        <f>'A) Base RI'!B20</f>
        <v>Villeneuve</v>
      </c>
      <c r="C19" s="286">
        <f>'B) D RI'!U20</f>
        <v>185712.20711111111</v>
      </c>
      <c r="D19" s="32">
        <f>'B) D RI'!AA20</f>
        <v>5921</v>
      </c>
      <c r="E19" s="198">
        <f t="shared" si="1"/>
        <v>31.365007112161987</v>
      </c>
      <c r="F19" s="354">
        <f t="shared" si="2"/>
        <v>0.64819872914922516</v>
      </c>
      <c r="G19" s="365">
        <f t="shared" si="3"/>
        <v>0</v>
      </c>
      <c r="H19" s="362">
        <f t="shared" si="4"/>
        <v>0</v>
      </c>
      <c r="I19" s="365">
        <f t="shared" si="5"/>
        <v>0</v>
      </c>
      <c r="J19" s="362">
        <f t="shared" si="6"/>
        <v>0</v>
      </c>
      <c r="K19" s="357">
        <f t="shared" si="7"/>
        <v>0</v>
      </c>
      <c r="L19" s="361">
        <f t="shared" si="8"/>
        <v>0</v>
      </c>
      <c r="M19" s="112">
        <f>L19*D19*'B) D RI'!S20</f>
        <v>0</v>
      </c>
      <c r="V19" s="15"/>
    </row>
    <row r="20" spans="1:22" x14ac:dyDescent="0.25">
      <c r="A20" s="288">
        <f>'A) Base RI'!A21</f>
        <v>5415</v>
      </c>
      <c r="B20" s="32" t="str">
        <f>'A) Base RI'!B21</f>
        <v>Yvorne</v>
      </c>
      <c r="C20" s="286">
        <f>'B) D RI'!U21</f>
        <v>35910.274638694631</v>
      </c>
      <c r="D20" s="32">
        <f>'B) D RI'!AA21</f>
        <v>1038</v>
      </c>
      <c r="E20" s="198">
        <f t="shared" si="1"/>
        <v>34.59564030702758</v>
      </c>
      <c r="F20" s="354">
        <f t="shared" si="2"/>
        <v>0.71496397245909127</v>
      </c>
      <c r="G20" s="365">
        <f t="shared" si="3"/>
        <v>0</v>
      </c>
      <c r="H20" s="362">
        <f t="shared" si="4"/>
        <v>0</v>
      </c>
      <c r="I20" s="365">
        <f t="shared" si="5"/>
        <v>0</v>
      </c>
      <c r="J20" s="362">
        <f t="shared" si="6"/>
        <v>0</v>
      </c>
      <c r="K20" s="357">
        <f t="shared" si="7"/>
        <v>0</v>
      </c>
      <c r="L20" s="361">
        <f t="shared" si="8"/>
        <v>0</v>
      </c>
      <c r="M20" s="112">
        <f>L20*D20*'B) D RI'!S21</f>
        <v>0</v>
      </c>
      <c r="V20" s="15"/>
    </row>
    <row r="21" spans="1:22" x14ac:dyDescent="0.25">
      <c r="A21" s="288">
        <f>'A) Base RI'!A22</f>
        <v>5421</v>
      </c>
      <c r="B21" s="32" t="str">
        <f>'A) Base RI'!B22</f>
        <v>Apples</v>
      </c>
      <c r="C21" s="286">
        <f>'B) D RI'!U22</f>
        <v>68531.648243243253</v>
      </c>
      <c r="D21" s="32">
        <f>'B) D RI'!AA22</f>
        <v>1469</v>
      </c>
      <c r="E21" s="198">
        <f t="shared" si="1"/>
        <v>46.651904862657084</v>
      </c>
      <c r="F21" s="354">
        <f t="shared" si="2"/>
        <v>0.96412238442117981</v>
      </c>
      <c r="G21" s="365">
        <f t="shared" si="3"/>
        <v>0</v>
      </c>
      <c r="H21" s="362">
        <f t="shared" si="4"/>
        <v>0</v>
      </c>
      <c r="I21" s="365">
        <f t="shared" si="5"/>
        <v>0</v>
      </c>
      <c r="J21" s="362">
        <f t="shared" si="6"/>
        <v>0</v>
      </c>
      <c r="K21" s="357">
        <f t="shared" si="7"/>
        <v>0</v>
      </c>
      <c r="L21" s="361">
        <f t="shared" si="8"/>
        <v>0</v>
      </c>
      <c r="M21" s="112">
        <f>L21*D21*'B) D RI'!S22</f>
        <v>0</v>
      </c>
      <c r="V21" s="15"/>
    </row>
    <row r="22" spans="1:22" x14ac:dyDescent="0.25">
      <c r="A22" s="288">
        <f>'A) Base RI'!A23</f>
        <v>5422</v>
      </c>
      <c r="B22" s="32" t="str">
        <f>'A) Base RI'!B23</f>
        <v>Aubonne</v>
      </c>
      <c r="C22" s="286">
        <f>'B) D RI'!U23</f>
        <v>364706.48499999999</v>
      </c>
      <c r="D22" s="32">
        <f>'B) D RI'!AA23</f>
        <v>3781</v>
      </c>
      <c r="E22" s="198">
        <f t="shared" si="1"/>
        <v>96.457679185400679</v>
      </c>
      <c r="F22" s="354">
        <f t="shared" si="2"/>
        <v>1.9934235895778387</v>
      </c>
      <c r="G22" s="365">
        <f t="shared" si="3"/>
        <v>48.069730086319232</v>
      </c>
      <c r="H22" s="362">
        <f t="shared" si="4"/>
        <v>38.392140266502949</v>
      </c>
      <c r="I22" s="365">
        <f t="shared" si="5"/>
        <v>23.875755536778513</v>
      </c>
      <c r="J22" s="362">
        <f t="shared" si="6"/>
        <v>0</v>
      </c>
      <c r="K22" s="357">
        <f t="shared" si="7"/>
        <v>0</v>
      </c>
      <c r="L22" s="361">
        <f t="shared" si="8"/>
        <v>15.840735597591994</v>
      </c>
      <c r="M22" s="112">
        <f>L22*D22*'B) D RI'!S23</f>
        <v>4192567.4906146727</v>
      </c>
      <c r="V22" s="15"/>
    </row>
    <row r="23" spans="1:22" x14ac:dyDescent="0.25">
      <c r="A23" s="288">
        <f>'A) Base RI'!A24</f>
        <v>5423</v>
      </c>
      <c r="B23" s="32" t="str">
        <f>'A) Base RI'!B24</f>
        <v>Ballens</v>
      </c>
      <c r="C23" s="286">
        <f>'B) D RI'!U24</f>
        <v>16194.440273972601</v>
      </c>
      <c r="D23" s="32">
        <f>'B) D RI'!AA24</f>
        <v>567</v>
      </c>
      <c r="E23" s="198">
        <f t="shared" si="1"/>
        <v>28.561623058152737</v>
      </c>
      <c r="F23" s="354">
        <f t="shared" si="2"/>
        <v>0.59026314588511719</v>
      </c>
      <c r="G23" s="365">
        <f t="shared" si="3"/>
        <v>0</v>
      </c>
      <c r="H23" s="362">
        <f t="shared" si="4"/>
        <v>0</v>
      </c>
      <c r="I23" s="365">
        <f t="shared" si="5"/>
        <v>0</v>
      </c>
      <c r="J23" s="362">
        <f t="shared" si="6"/>
        <v>0</v>
      </c>
      <c r="K23" s="357">
        <f t="shared" si="7"/>
        <v>0</v>
      </c>
      <c r="L23" s="361">
        <f t="shared" si="8"/>
        <v>0</v>
      </c>
      <c r="M23" s="112">
        <f>L23*D23*'B) D RI'!S24</f>
        <v>0</v>
      </c>
    </row>
    <row r="24" spans="1:22" x14ac:dyDescent="0.25">
      <c r="A24" s="288">
        <f>'A) Base RI'!A25</f>
        <v>5424</v>
      </c>
      <c r="B24" s="32" t="str">
        <f>'A) Base RI'!B25</f>
        <v>Berolle</v>
      </c>
      <c r="C24" s="286">
        <f>'B) D RI'!U25</f>
        <v>8301.8684768211915</v>
      </c>
      <c r="D24" s="32">
        <f>'B) D RI'!AA25</f>
        <v>308</v>
      </c>
      <c r="E24" s="198">
        <f t="shared" si="1"/>
        <v>26.954118431237635</v>
      </c>
      <c r="F24" s="354">
        <f t="shared" si="2"/>
        <v>0.55704196877708356</v>
      </c>
      <c r="G24" s="365">
        <f t="shared" si="3"/>
        <v>0</v>
      </c>
      <c r="H24" s="362">
        <f t="shared" si="4"/>
        <v>0</v>
      </c>
      <c r="I24" s="365">
        <f t="shared" si="5"/>
        <v>0</v>
      </c>
      <c r="J24" s="362">
        <f t="shared" si="6"/>
        <v>0</v>
      </c>
      <c r="K24" s="357">
        <f t="shared" si="7"/>
        <v>0</v>
      </c>
      <c r="L24" s="361">
        <f t="shared" si="8"/>
        <v>0</v>
      </c>
      <c r="M24" s="112">
        <f>L24*D24*'B) D RI'!S25</f>
        <v>0</v>
      </c>
    </row>
    <row r="25" spans="1:22" x14ac:dyDescent="0.25">
      <c r="A25" s="288">
        <f>'A) Base RI'!A26</f>
        <v>5425</v>
      </c>
      <c r="B25" s="32" t="str">
        <f>'A) Base RI'!B26</f>
        <v>Bière</v>
      </c>
      <c r="C25" s="286">
        <f>'B) D RI'!U26</f>
        <v>44230.498130934531</v>
      </c>
      <c r="D25" s="32">
        <f>'B) D RI'!AA26</f>
        <v>1634</v>
      </c>
      <c r="E25" s="198">
        <f t="shared" si="1"/>
        <v>27.06884830534549</v>
      </c>
      <c r="F25" s="354">
        <f t="shared" si="2"/>
        <v>0.55941301107674646</v>
      </c>
      <c r="G25" s="365">
        <f t="shared" si="3"/>
        <v>0</v>
      </c>
      <c r="H25" s="362">
        <f t="shared" si="4"/>
        <v>0</v>
      </c>
      <c r="I25" s="365">
        <f t="shared" si="5"/>
        <v>0</v>
      </c>
      <c r="J25" s="362">
        <f t="shared" si="6"/>
        <v>0</v>
      </c>
      <c r="K25" s="357">
        <f t="shared" si="7"/>
        <v>0</v>
      </c>
      <c r="L25" s="361">
        <f t="shared" si="8"/>
        <v>0</v>
      </c>
      <c r="M25" s="112">
        <f>L25*D25*'B) D RI'!S26</f>
        <v>0</v>
      </c>
    </row>
    <row r="26" spans="1:22" x14ac:dyDescent="0.25">
      <c r="A26" s="288">
        <f>'A) Base RI'!A27</f>
        <v>5426</v>
      </c>
      <c r="B26" s="32" t="str">
        <f>'A) Base RI'!B27</f>
        <v>Bougy-Villars</v>
      </c>
      <c r="C26" s="286">
        <f>'B) D RI'!U27</f>
        <v>53043.718423772611</v>
      </c>
      <c r="D26" s="32">
        <f>'B) D RI'!AA27</f>
        <v>497</v>
      </c>
      <c r="E26" s="198">
        <f t="shared" si="1"/>
        <v>106.72780366956259</v>
      </c>
      <c r="F26" s="354">
        <f t="shared" si="2"/>
        <v>2.205669090273318</v>
      </c>
      <c r="G26" s="365">
        <f t="shared" si="3"/>
        <v>58.339854570481144</v>
      </c>
      <c r="H26" s="362">
        <f t="shared" si="4"/>
        <v>48.66226475066486</v>
      </c>
      <c r="I26" s="365">
        <f t="shared" si="5"/>
        <v>34.145880020940425</v>
      </c>
      <c r="J26" s="362">
        <f t="shared" si="6"/>
        <v>9.9519054713996979</v>
      </c>
      <c r="K26" s="357">
        <f t="shared" si="7"/>
        <v>0</v>
      </c>
      <c r="L26" s="361">
        <f t="shared" si="8"/>
        <v>20.943975938396726</v>
      </c>
      <c r="M26" s="112">
        <f>L26*D26*'B) D RI'!S27</f>
        <v>671390.56466921465</v>
      </c>
    </row>
    <row r="27" spans="1:22" x14ac:dyDescent="0.25">
      <c r="A27" s="288">
        <f>'A) Base RI'!A28</f>
        <v>5427</v>
      </c>
      <c r="B27" s="32" t="str">
        <f>'A) Base RI'!B28</f>
        <v>Féchy</v>
      </c>
      <c r="C27" s="286">
        <f>'B) D RI'!U28</f>
        <v>88215.323569711545</v>
      </c>
      <c r="D27" s="32">
        <f>'B) D RI'!AA28</f>
        <v>893</v>
      </c>
      <c r="E27" s="198">
        <f t="shared" si="1"/>
        <v>98.785356740998367</v>
      </c>
      <c r="F27" s="354">
        <f t="shared" si="2"/>
        <v>2.0415280783800283</v>
      </c>
      <c r="G27" s="365">
        <f t="shared" si="3"/>
        <v>50.397407641916921</v>
      </c>
      <c r="H27" s="362">
        <f t="shared" si="4"/>
        <v>40.719817822100637</v>
      </c>
      <c r="I27" s="365">
        <f t="shared" si="5"/>
        <v>26.203433092376201</v>
      </c>
      <c r="J27" s="362">
        <f t="shared" si="6"/>
        <v>2.0094585428354748</v>
      </c>
      <c r="K27" s="357">
        <f t="shared" si="7"/>
        <v>0</v>
      </c>
      <c r="L27" s="361">
        <f t="shared" si="8"/>
        <v>16.972752474114614</v>
      </c>
      <c r="M27" s="112">
        <f>L27*D27*'B) D RI'!S28</f>
        <v>970026.74940059846</v>
      </c>
    </row>
    <row r="28" spans="1:22" x14ac:dyDescent="0.25">
      <c r="A28" s="288">
        <f>'A) Base RI'!A29</f>
        <v>5428</v>
      </c>
      <c r="B28" s="32" t="str">
        <f>'A) Base RI'!B29</f>
        <v>Gimel</v>
      </c>
      <c r="C28" s="286">
        <f>'B) D RI'!U29</f>
        <v>70558.698881431759</v>
      </c>
      <c r="D28" s="32">
        <f>'B) D RI'!AA29</f>
        <v>2402</v>
      </c>
      <c r="E28" s="198">
        <f t="shared" si="1"/>
        <v>29.374978718331292</v>
      </c>
      <c r="F28" s="354">
        <f t="shared" si="2"/>
        <v>0.60707220010878538</v>
      </c>
      <c r="G28" s="365">
        <f t="shared" si="3"/>
        <v>0</v>
      </c>
      <c r="H28" s="362">
        <f t="shared" si="4"/>
        <v>0</v>
      </c>
      <c r="I28" s="365">
        <f t="shared" si="5"/>
        <v>0</v>
      </c>
      <c r="J28" s="362">
        <f t="shared" si="6"/>
        <v>0</v>
      </c>
      <c r="K28" s="357">
        <f t="shared" si="7"/>
        <v>0</v>
      </c>
      <c r="L28" s="361">
        <f t="shared" si="8"/>
        <v>0</v>
      </c>
      <c r="M28" s="112">
        <f>L28*D28*'B) D RI'!S29</f>
        <v>0</v>
      </c>
    </row>
    <row r="29" spans="1:22" x14ac:dyDescent="0.25">
      <c r="A29" s="288">
        <f>'A) Base RI'!A30</f>
        <v>5429</v>
      </c>
      <c r="B29" s="32" t="str">
        <f>'A) Base RI'!B30</f>
        <v>Longirod</v>
      </c>
      <c r="C29" s="286">
        <f>'B) D RI'!U30</f>
        <v>18574.452387096771</v>
      </c>
      <c r="D29" s="32">
        <f>'B) D RI'!AA30</f>
        <v>520</v>
      </c>
      <c r="E29" s="198">
        <f t="shared" si="1"/>
        <v>35.720100744416868</v>
      </c>
      <c r="F29" s="354">
        <f t="shared" si="2"/>
        <v>0.73820241215999272</v>
      </c>
      <c r="G29" s="365">
        <f t="shared" si="3"/>
        <v>0</v>
      </c>
      <c r="H29" s="362">
        <f t="shared" si="4"/>
        <v>0</v>
      </c>
      <c r="I29" s="365">
        <f t="shared" si="5"/>
        <v>0</v>
      </c>
      <c r="J29" s="362">
        <f t="shared" si="6"/>
        <v>0</v>
      </c>
      <c r="K29" s="357">
        <f t="shared" si="7"/>
        <v>0</v>
      </c>
      <c r="L29" s="361">
        <f t="shared" si="8"/>
        <v>0</v>
      </c>
      <c r="M29" s="112">
        <f>L29*D29*'B) D RI'!S30</f>
        <v>0</v>
      </c>
    </row>
    <row r="30" spans="1:22" x14ac:dyDescent="0.25">
      <c r="A30" s="288">
        <f>'A) Base RI'!A31</f>
        <v>5430</v>
      </c>
      <c r="B30" s="32" t="str">
        <f>'A) Base RI'!B31</f>
        <v>Marchissy</v>
      </c>
      <c r="C30" s="286">
        <f>'B) D RI'!U31</f>
        <v>15580.981548387101</v>
      </c>
      <c r="D30" s="32">
        <f>'B) D RI'!AA31</f>
        <v>485</v>
      </c>
      <c r="E30" s="198">
        <f t="shared" si="1"/>
        <v>32.125735151313613</v>
      </c>
      <c r="F30" s="354">
        <f t="shared" si="2"/>
        <v>0.66392016502975659</v>
      </c>
      <c r="G30" s="365">
        <f t="shared" si="3"/>
        <v>0</v>
      </c>
      <c r="H30" s="362">
        <f t="shared" si="4"/>
        <v>0</v>
      </c>
      <c r="I30" s="365">
        <f t="shared" si="5"/>
        <v>0</v>
      </c>
      <c r="J30" s="362">
        <f t="shared" si="6"/>
        <v>0</v>
      </c>
      <c r="K30" s="357">
        <f t="shared" si="7"/>
        <v>0</v>
      </c>
      <c r="L30" s="361">
        <f t="shared" si="8"/>
        <v>0</v>
      </c>
      <c r="M30" s="112">
        <f>L30*D30*'B) D RI'!S31</f>
        <v>0</v>
      </c>
    </row>
    <row r="31" spans="1:22" x14ac:dyDescent="0.25">
      <c r="A31" s="288">
        <f>'A) Base RI'!A32</f>
        <v>5431</v>
      </c>
      <c r="B31" s="32" t="str">
        <f>'A) Base RI'!B32</f>
        <v>Mollens</v>
      </c>
      <c r="C31" s="286">
        <f>'B) D RI'!U32</f>
        <v>10464.972567567567</v>
      </c>
      <c r="D31" s="32">
        <f>'B) D RI'!AA32</f>
        <v>319</v>
      </c>
      <c r="E31" s="198">
        <f t="shared" si="1"/>
        <v>32.805556638142846</v>
      </c>
      <c r="F31" s="354">
        <f t="shared" si="2"/>
        <v>0.67796956161478639</v>
      </c>
      <c r="G31" s="365">
        <f t="shared" si="3"/>
        <v>0</v>
      </c>
      <c r="H31" s="362">
        <f t="shared" si="4"/>
        <v>0</v>
      </c>
      <c r="I31" s="365">
        <f t="shared" si="5"/>
        <v>0</v>
      </c>
      <c r="J31" s="362">
        <f t="shared" si="6"/>
        <v>0</v>
      </c>
      <c r="K31" s="357">
        <f t="shared" si="7"/>
        <v>0</v>
      </c>
      <c r="L31" s="361">
        <f t="shared" si="8"/>
        <v>0</v>
      </c>
      <c r="M31" s="112">
        <f>L31*D31*'B) D RI'!S32</f>
        <v>0</v>
      </c>
    </row>
    <row r="32" spans="1:22" x14ac:dyDescent="0.25">
      <c r="A32" s="288">
        <f>'A) Base RI'!A33</f>
        <v>5434</v>
      </c>
      <c r="B32" s="32" t="str">
        <f>'A) Base RI'!B33</f>
        <v>Saint-George</v>
      </c>
      <c r="C32" s="286">
        <f>'B) D RI'!U33</f>
        <v>43544.748513189443</v>
      </c>
      <c r="D32" s="32">
        <f>'B) D RI'!AA33</f>
        <v>1072</v>
      </c>
      <c r="E32" s="198">
        <f t="shared" si="1"/>
        <v>40.620101224990151</v>
      </c>
      <c r="F32" s="354">
        <f t="shared" si="2"/>
        <v>0.83946730500634603</v>
      </c>
      <c r="G32" s="365">
        <f t="shared" si="3"/>
        <v>0</v>
      </c>
      <c r="H32" s="362">
        <f t="shared" si="4"/>
        <v>0</v>
      </c>
      <c r="I32" s="365">
        <f t="shared" si="5"/>
        <v>0</v>
      </c>
      <c r="J32" s="362">
        <f t="shared" si="6"/>
        <v>0</v>
      </c>
      <c r="K32" s="357">
        <f t="shared" si="7"/>
        <v>0</v>
      </c>
      <c r="L32" s="361">
        <f t="shared" si="8"/>
        <v>0</v>
      </c>
      <c r="M32" s="112">
        <f>L32*D32*'B) D RI'!S33</f>
        <v>0</v>
      </c>
    </row>
    <row r="33" spans="1:13" x14ac:dyDescent="0.25">
      <c r="A33" s="288">
        <f>'A) Base RI'!A34</f>
        <v>5435</v>
      </c>
      <c r="B33" s="32" t="str">
        <f>'A) Base RI'!B34</f>
        <v>Saint-Livres</v>
      </c>
      <c r="C33" s="286">
        <f>'B) D RI'!U34</f>
        <v>25854.309855072468</v>
      </c>
      <c r="D33" s="32">
        <f>'B) D RI'!AA34</f>
        <v>674</v>
      </c>
      <c r="E33" s="198">
        <f t="shared" si="1"/>
        <v>38.359510170730665</v>
      </c>
      <c r="F33" s="354">
        <f t="shared" si="2"/>
        <v>0.79274924614357856</v>
      </c>
      <c r="G33" s="365">
        <f t="shared" si="3"/>
        <v>0</v>
      </c>
      <c r="H33" s="362">
        <f t="shared" si="4"/>
        <v>0</v>
      </c>
      <c r="I33" s="365">
        <f t="shared" si="5"/>
        <v>0</v>
      </c>
      <c r="J33" s="362">
        <f t="shared" si="6"/>
        <v>0</v>
      </c>
      <c r="K33" s="357">
        <f t="shared" si="7"/>
        <v>0</v>
      </c>
      <c r="L33" s="361">
        <f t="shared" si="8"/>
        <v>0</v>
      </c>
      <c r="M33" s="112">
        <f>L33*D33*'B) D RI'!S34</f>
        <v>0</v>
      </c>
    </row>
    <row r="34" spans="1:13" x14ac:dyDescent="0.25">
      <c r="A34" s="288">
        <f>'A) Base RI'!A35</f>
        <v>5436</v>
      </c>
      <c r="B34" s="32" t="str">
        <f>'A) Base RI'!B35</f>
        <v>Saint-Oyens</v>
      </c>
      <c r="C34" s="286">
        <f>'B) D RI'!U35</f>
        <v>16868.339629629631</v>
      </c>
      <c r="D34" s="32">
        <f>'B) D RI'!AA35</f>
        <v>458</v>
      </c>
      <c r="E34" s="198">
        <f t="shared" si="1"/>
        <v>36.830435872553778</v>
      </c>
      <c r="F34" s="354">
        <f t="shared" si="2"/>
        <v>0.76114893394506222</v>
      </c>
      <c r="G34" s="365">
        <f t="shared" si="3"/>
        <v>0</v>
      </c>
      <c r="H34" s="362">
        <f t="shared" si="4"/>
        <v>0</v>
      </c>
      <c r="I34" s="365">
        <f t="shared" si="5"/>
        <v>0</v>
      </c>
      <c r="J34" s="362">
        <f t="shared" si="6"/>
        <v>0</v>
      </c>
      <c r="K34" s="357">
        <f t="shared" si="7"/>
        <v>0</v>
      </c>
      <c r="L34" s="361">
        <f t="shared" si="8"/>
        <v>0</v>
      </c>
      <c r="M34" s="112">
        <f>L34*D34*'B) D RI'!S35</f>
        <v>0</v>
      </c>
    </row>
    <row r="35" spans="1:13" x14ac:dyDescent="0.25">
      <c r="A35" s="288">
        <f>'A) Base RI'!A36</f>
        <v>5437</v>
      </c>
      <c r="B35" s="32" t="str">
        <f>'A) Base RI'!B36</f>
        <v>Saubraz</v>
      </c>
      <c r="C35" s="286">
        <f>'B) D RI'!U36</f>
        <v>13551.757374999997</v>
      </c>
      <c r="D35" s="32">
        <f>'B) D RI'!AA36</f>
        <v>444</v>
      </c>
      <c r="E35" s="198">
        <f t="shared" si="1"/>
        <v>30.521976069819814</v>
      </c>
      <c r="F35" s="354">
        <f t="shared" si="2"/>
        <v>0.63077639449693512</v>
      </c>
      <c r="G35" s="365">
        <f t="shared" si="3"/>
        <v>0</v>
      </c>
      <c r="H35" s="362">
        <f t="shared" si="4"/>
        <v>0</v>
      </c>
      <c r="I35" s="365">
        <f t="shared" si="5"/>
        <v>0</v>
      </c>
      <c r="J35" s="362">
        <f t="shared" si="6"/>
        <v>0</v>
      </c>
      <c r="K35" s="357">
        <f t="shared" si="7"/>
        <v>0</v>
      </c>
      <c r="L35" s="361">
        <f t="shared" si="8"/>
        <v>0</v>
      </c>
      <c r="M35" s="112">
        <f>L35*D35*'B) D RI'!S36</f>
        <v>0</v>
      </c>
    </row>
    <row r="36" spans="1:13" x14ac:dyDescent="0.25">
      <c r="A36" s="288">
        <f>'A) Base RI'!A37</f>
        <v>5451</v>
      </c>
      <c r="B36" s="32" t="str">
        <f>'A) Base RI'!B37</f>
        <v>Avenches</v>
      </c>
      <c r="C36" s="286">
        <f>'B) D RI'!U37</f>
        <v>137890.8513283208</v>
      </c>
      <c r="D36" s="32">
        <f>'B) D RI'!AA37</f>
        <v>4616</v>
      </c>
      <c r="E36" s="198">
        <f t="shared" si="1"/>
        <v>29.872368138717679</v>
      </c>
      <c r="F36" s="354">
        <f t="shared" si="2"/>
        <v>0.61735140039826053</v>
      </c>
      <c r="G36" s="365">
        <f t="shared" si="3"/>
        <v>0</v>
      </c>
      <c r="H36" s="362">
        <f t="shared" si="4"/>
        <v>0</v>
      </c>
      <c r="I36" s="365">
        <f t="shared" si="5"/>
        <v>0</v>
      </c>
      <c r="J36" s="362">
        <f t="shared" si="6"/>
        <v>0</v>
      </c>
      <c r="K36" s="357">
        <f t="shared" si="7"/>
        <v>0</v>
      </c>
      <c r="L36" s="361">
        <f t="shared" si="8"/>
        <v>0</v>
      </c>
      <c r="M36" s="112">
        <f>L36*D36*'B) D RI'!S37</f>
        <v>0</v>
      </c>
    </row>
    <row r="37" spans="1:13" x14ac:dyDescent="0.25">
      <c r="A37" s="288">
        <f>'A) Base RI'!A38</f>
        <v>5456</v>
      </c>
      <c r="B37" s="32" t="str">
        <f>'A) Base RI'!B38</f>
        <v>Cudrefin</v>
      </c>
      <c r="C37" s="286">
        <f>'B) D RI'!U38</f>
        <v>64144.951694915253</v>
      </c>
      <c r="D37" s="32">
        <f>'B) D RI'!AA38</f>
        <v>1836</v>
      </c>
      <c r="E37" s="198">
        <f t="shared" si="1"/>
        <v>34.937337524463643</v>
      </c>
      <c r="F37" s="354">
        <f t="shared" si="2"/>
        <v>0.7220255905643842</v>
      </c>
      <c r="G37" s="365">
        <f t="shared" si="3"/>
        <v>0</v>
      </c>
      <c r="H37" s="362">
        <f t="shared" si="4"/>
        <v>0</v>
      </c>
      <c r="I37" s="365">
        <f t="shared" si="5"/>
        <v>0</v>
      </c>
      <c r="J37" s="362">
        <f t="shared" si="6"/>
        <v>0</v>
      </c>
      <c r="K37" s="357">
        <f t="shared" si="7"/>
        <v>0</v>
      </c>
      <c r="L37" s="361">
        <f t="shared" si="8"/>
        <v>0</v>
      </c>
      <c r="M37" s="112">
        <f>L37*D37*'B) D RI'!S38</f>
        <v>0</v>
      </c>
    </row>
    <row r="38" spans="1:13" x14ac:dyDescent="0.25">
      <c r="A38" s="288">
        <f>'A) Base RI'!A39</f>
        <v>5458</v>
      </c>
      <c r="B38" s="32" t="str">
        <f>'A) Base RI'!B39</f>
        <v>Faoug</v>
      </c>
      <c r="C38" s="286">
        <f>'B) D RI'!U39</f>
        <v>34721.352769230762</v>
      </c>
      <c r="D38" s="32">
        <f>'B) D RI'!AA39</f>
        <v>866</v>
      </c>
      <c r="E38" s="198">
        <f t="shared" si="1"/>
        <v>40.093940842067852</v>
      </c>
      <c r="F38" s="354">
        <f t="shared" si="2"/>
        <v>0.82859351529798475</v>
      </c>
      <c r="G38" s="365">
        <f t="shared" si="3"/>
        <v>0</v>
      </c>
      <c r="H38" s="362">
        <f t="shared" si="4"/>
        <v>0</v>
      </c>
      <c r="I38" s="365">
        <f t="shared" si="5"/>
        <v>0</v>
      </c>
      <c r="J38" s="362">
        <f t="shared" si="6"/>
        <v>0</v>
      </c>
      <c r="K38" s="357">
        <f t="shared" si="7"/>
        <v>0</v>
      </c>
      <c r="L38" s="361">
        <f t="shared" si="8"/>
        <v>0</v>
      </c>
      <c r="M38" s="112">
        <f>L38*D38*'B) D RI'!S39</f>
        <v>0</v>
      </c>
    </row>
    <row r="39" spans="1:13" x14ac:dyDescent="0.25">
      <c r="A39" s="288">
        <f>'A) Base RI'!A40</f>
        <v>5464</v>
      </c>
      <c r="B39" s="32" t="str">
        <f>'A) Base RI'!B40</f>
        <v>Vully-les-Lacs</v>
      </c>
      <c r="C39" s="286">
        <f>'B) D RI'!U40</f>
        <v>119169.3065671642</v>
      </c>
      <c r="D39" s="32">
        <f>'B) D RI'!AA40</f>
        <v>3465</v>
      </c>
      <c r="E39" s="198">
        <f t="shared" si="1"/>
        <v>34.392296267579852</v>
      </c>
      <c r="F39" s="354">
        <f t="shared" si="2"/>
        <v>0.71076160300070923</v>
      </c>
      <c r="G39" s="365">
        <f t="shared" si="3"/>
        <v>0</v>
      </c>
      <c r="H39" s="362">
        <f t="shared" si="4"/>
        <v>0</v>
      </c>
      <c r="I39" s="365">
        <f t="shared" si="5"/>
        <v>0</v>
      </c>
      <c r="J39" s="362">
        <f t="shared" si="6"/>
        <v>0</v>
      </c>
      <c r="K39" s="357">
        <f t="shared" si="7"/>
        <v>0</v>
      </c>
      <c r="L39" s="361">
        <f t="shared" si="8"/>
        <v>0</v>
      </c>
      <c r="M39" s="112">
        <f>L39*D39*'B) D RI'!S40</f>
        <v>0</v>
      </c>
    </row>
    <row r="40" spans="1:13" x14ac:dyDescent="0.25">
      <c r="A40" s="288">
        <f>'A) Base RI'!A41</f>
        <v>5471</v>
      </c>
      <c r="B40" s="32" t="str">
        <f>'A) Base RI'!B41</f>
        <v>Bettens</v>
      </c>
      <c r="C40" s="286">
        <f>'B) D RI'!U41</f>
        <v>22893.023698412693</v>
      </c>
      <c r="D40" s="32">
        <f>'B) D RI'!AA41</f>
        <v>626</v>
      </c>
      <c r="E40" s="198">
        <f t="shared" si="1"/>
        <v>36.570325396825389</v>
      </c>
      <c r="F40" s="354">
        <f t="shared" si="2"/>
        <v>0.75577341213495675</v>
      </c>
      <c r="G40" s="365">
        <f t="shared" si="3"/>
        <v>0</v>
      </c>
      <c r="H40" s="362">
        <f t="shared" si="4"/>
        <v>0</v>
      </c>
      <c r="I40" s="365">
        <f t="shared" si="5"/>
        <v>0</v>
      </c>
      <c r="J40" s="362">
        <f t="shared" si="6"/>
        <v>0</v>
      </c>
      <c r="K40" s="357">
        <f t="shared" si="7"/>
        <v>0</v>
      </c>
      <c r="L40" s="361">
        <f t="shared" si="8"/>
        <v>0</v>
      </c>
      <c r="M40" s="112">
        <f>L40*D40*'B) D RI'!S41</f>
        <v>0</v>
      </c>
    </row>
    <row r="41" spans="1:13" x14ac:dyDescent="0.25">
      <c r="A41" s="288">
        <f>'A) Base RI'!A42</f>
        <v>5472</v>
      </c>
      <c r="B41" s="32" t="str">
        <f>'A) Base RI'!B42</f>
        <v>Bournens</v>
      </c>
      <c r="C41" s="286">
        <f>'B) D RI'!U42</f>
        <v>22178.441944444447</v>
      </c>
      <c r="D41" s="32">
        <f>'B) D RI'!AA42</f>
        <v>507</v>
      </c>
      <c r="E41" s="198">
        <f t="shared" si="1"/>
        <v>43.744461428884513</v>
      </c>
      <c r="F41" s="354">
        <f t="shared" si="2"/>
        <v>0.9040362785228051</v>
      </c>
      <c r="G41" s="365">
        <f t="shared" si="3"/>
        <v>0</v>
      </c>
      <c r="H41" s="362">
        <f t="shared" si="4"/>
        <v>0</v>
      </c>
      <c r="I41" s="365">
        <f t="shared" si="5"/>
        <v>0</v>
      </c>
      <c r="J41" s="362">
        <f t="shared" si="6"/>
        <v>0</v>
      </c>
      <c r="K41" s="357">
        <f t="shared" si="7"/>
        <v>0</v>
      </c>
      <c r="L41" s="361">
        <f t="shared" si="8"/>
        <v>0</v>
      </c>
      <c r="M41" s="112">
        <f>L41*D41*'B) D RI'!S42</f>
        <v>0</v>
      </c>
    </row>
    <row r="42" spans="1:13" x14ac:dyDescent="0.25">
      <c r="A42" s="288">
        <f>'A) Base RI'!A43</f>
        <v>5473</v>
      </c>
      <c r="B42" s="32" t="str">
        <f>'A) Base RI'!B43</f>
        <v>Boussens</v>
      </c>
      <c r="C42" s="286">
        <f>'B) D RI'!U43</f>
        <v>37059.012888888894</v>
      </c>
      <c r="D42" s="32">
        <f>'B) D RI'!AA43</f>
        <v>1001</v>
      </c>
      <c r="E42" s="198">
        <f t="shared" si="1"/>
        <v>37.021990897990904</v>
      </c>
      <c r="F42" s="354">
        <f t="shared" si="2"/>
        <v>0.76510766807212538</v>
      </c>
      <c r="G42" s="365">
        <f t="shared" si="3"/>
        <v>0</v>
      </c>
      <c r="H42" s="362">
        <f t="shared" si="4"/>
        <v>0</v>
      </c>
      <c r="I42" s="365">
        <f t="shared" si="5"/>
        <v>0</v>
      </c>
      <c r="J42" s="362">
        <f t="shared" si="6"/>
        <v>0</v>
      </c>
      <c r="K42" s="357">
        <f t="shared" si="7"/>
        <v>0</v>
      </c>
      <c r="L42" s="361">
        <f t="shared" si="8"/>
        <v>0</v>
      </c>
      <c r="M42" s="112">
        <f>L42*D42*'B) D RI'!S43</f>
        <v>0</v>
      </c>
    </row>
    <row r="43" spans="1:13" x14ac:dyDescent="0.25">
      <c r="A43" s="288">
        <f>'A) Base RI'!A44</f>
        <v>5474</v>
      </c>
      <c r="B43" s="32" t="str">
        <f>'A) Base RI'!B44</f>
        <v>La Chaux (Cossonay)</v>
      </c>
      <c r="C43" s="286">
        <f>'B) D RI'!U44</f>
        <v>12905.016929824562</v>
      </c>
      <c r="D43" s="32">
        <f>'B) D RI'!AA44</f>
        <v>398</v>
      </c>
      <c r="E43" s="198">
        <f t="shared" si="1"/>
        <v>32.424665652825531</v>
      </c>
      <c r="F43" s="354">
        <f t="shared" si="2"/>
        <v>0.67009795324102817</v>
      </c>
      <c r="G43" s="365">
        <f t="shared" si="3"/>
        <v>0</v>
      </c>
      <c r="H43" s="362">
        <f t="shared" si="4"/>
        <v>0</v>
      </c>
      <c r="I43" s="365">
        <f t="shared" si="5"/>
        <v>0</v>
      </c>
      <c r="J43" s="362">
        <f t="shared" si="6"/>
        <v>0</v>
      </c>
      <c r="K43" s="357">
        <f t="shared" si="7"/>
        <v>0</v>
      </c>
      <c r="L43" s="361">
        <f t="shared" si="8"/>
        <v>0</v>
      </c>
      <c r="M43" s="112">
        <f>L43*D43*'B) D RI'!S44</f>
        <v>0</v>
      </c>
    </row>
    <row r="44" spans="1:13" x14ac:dyDescent="0.25">
      <c r="A44" s="288">
        <f>'A) Base RI'!A45</f>
        <v>5475</v>
      </c>
      <c r="B44" s="32" t="str">
        <f>'A) Base RI'!B45</f>
        <v>Chavannes-le-Veyron</v>
      </c>
      <c r="C44" s="286">
        <f>'B) D RI'!U45</f>
        <v>4277.2722666666668</v>
      </c>
      <c r="D44" s="32">
        <f>'B) D RI'!AA45</f>
        <v>155</v>
      </c>
      <c r="E44" s="198">
        <f t="shared" si="1"/>
        <v>27.59530494623656</v>
      </c>
      <c r="F44" s="354">
        <f t="shared" si="2"/>
        <v>0.57029292334194848</v>
      </c>
      <c r="G44" s="365">
        <f t="shared" si="3"/>
        <v>0</v>
      </c>
      <c r="H44" s="362">
        <f t="shared" si="4"/>
        <v>0</v>
      </c>
      <c r="I44" s="365">
        <f t="shared" si="5"/>
        <v>0</v>
      </c>
      <c r="J44" s="362">
        <f t="shared" si="6"/>
        <v>0</v>
      </c>
      <c r="K44" s="357">
        <f t="shared" si="7"/>
        <v>0</v>
      </c>
      <c r="L44" s="361">
        <f t="shared" si="8"/>
        <v>0</v>
      </c>
      <c r="M44" s="112">
        <f>L44*D44*'B) D RI'!S45</f>
        <v>0</v>
      </c>
    </row>
    <row r="45" spans="1:13" x14ac:dyDescent="0.25">
      <c r="A45" s="288">
        <f>'A) Base RI'!A46</f>
        <v>5476</v>
      </c>
      <c r="B45" s="32" t="str">
        <f>'A) Base RI'!B46</f>
        <v>Chevilly</v>
      </c>
      <c r="C45" s="286">
        <f>'B) D RI'!U46</f>
        <v>12075.307586206898</v>
      </c>
      <c r="D45" s="32">
        <f>'B) D RI'!AA46</f>
        <v>322</v>
      </c>
      <c r="E45" s="198">
        <f t="shared" si="1"/>
        <v>37.500955236667387</v>
      </c>
      <c r="F45" s="354">
        <f t="shared" si="2"/>
        <v>0.77500609004689702</v>
      </c>
      <c r="G45" s="365">
        <f t="shared" si="3"/>
        <v>0</v>
      </c>
      <c r="H45" s="362">
        <f t="shared" si="4"/>
        <v>0</v>
      </c>
      <c r="I45" s="365">
        <f t="shared" si="5"/>
        <v>0</v>
      </c>
      <c r="J45" s="362">
        <f t="shared" si="6"/>
        <v>0</v>
      </c>
      <c r="K45" s="357">
        <f t="shared" si="7"/>
        <v>0</v>
      </c>
      <c r="L45" s="361">
        <f t="shared" si="8"/>
        <v>0</v>
      </c>
      <c r="M45" s="112">
        <f>L45*D45*'B) D RI'!S46</f>
        <v>0</v>
      </c>
    </row>
    <row r="46" spans="1:13" x14ac:dyDescent="0.25">
      <c r="A46" s="288">
        <f>'A) Base RI'!A47</f>
        <v>5477</v>
      </c>
      <c r="B46" s="32" t="str">
        <f>'A) Base RI'!B47</f>
        <v>Cossonay</v>
      </c>
      <c r="C46" s="286">
        <f>'B) D RI'!U47</f>
        <v>142597.98359712231</v>
      </c>
      <c r="D46" s="32">
        <f>'B) D RI'!AA47</f>
        <v>4326</v>
      </c>
      <c r="E46" s="198">
        <f t="shared" si="1"/>
        <v>32.963010540250188</v>
      </c>
      <c r="F46" s="354">
        <f t="shared" si="2"/>
        <v>0.68122355160690062</v>
      </c>
      <c r="G46" s="365">
        <f t="shared" si="3"/>
        <v>0</v>
      </c>
      <c r="H46" s="362">
        <f t="shared" si="4"/>
        <v>0</v>
      </c>
      <c r="I46" s="365">
        <f t="shared" si="5"/>
        <v>0</v>
      </c>
      <c r="J46" s="362">
        <f t="shared" si="6"/>
        <v>0</v>
      </c>
      <c r="K46" s="357">
        <f t="shared" si="7"/>
        <v>0</v>
      </c>
      <c r="L46" s="361">
        <f t="shared" si="8"/>
        <v>0</v>
      </c>
      <c r="M46" s="112">
        <f>L46*D46*'B) D RI'!S47</f>
        <v>0</v>
      </c>
    </row>
    <row r="47" spans="1:13" x14ac:dyDescent="0.25">
      <c r="A47" s="288">
        <f>'A) Base RI'!A48</f>
        <v>5478</v>
      </c>
      <c r="B47" s="32" t="str">
        <f>'A) Base RI'!B48</f>
        <v>Cottens</v>
      </c>
      <c r="C47" s="286">
        <f>'B) D RI'!U48</f>
        <v>15741.229189189189</v>
      </c>
      <c r="D47" s="32">
        <f>'B) D RI'!AA48</f>
        <v>484</v>
      </c>
      <c r="E47" s="198">
        <f t="shared" si="1"/>
        <v>32.523200804109898</v>
      </c>
      <c r="F47" s="354">
        <f t="shared" si="2"/>
        <v>0.67213431049772043</v>
      </c>
      <c r="G47" s="365">
        <f t="shared" si="3"/>
        <v>0</v>
      </c>
      <c r="H47" s="362">
        <f t="shared" si="4"/>
        <v>0</v>
      </c>
      <c r="I47" s="365">
        <f t="shared" si="5"/>
        <v>0</v>
      </c>
      <c r="J47" s="362">
        <f t="shared" si="6"/>
        <v>0</v>
      </c>
      <c r="K47" s="357">
        <f t="shared" si="7"/>
        <v>0</v>
      </c>
      <c r="L47" s="361">
        <f t="shared" si="8"/>
        <v>0</v>
      </c>
      <c r="M47" s="112">
        <f>L47*D47*'B) D RI'!S48</f>
        <v>0</v>
      </c>
    </row>
    <row r="48" spans="1:13" x14ac:dyDescent="0.25">
      <c r="A48" s="288">
        <f>'A) Base RI'!A49</f>
        <v>5479</v>
      </c>
      <c r="B48" s="32" t="str">
        <f>'A) Base RI'!B49</f>
        <v>Cuarnens</v>
      </c>
      <c r="C48" s="286">
        <f>'B) D RI'!U49</f>
        <v>17984.87649350649</v>
      </c>
      <c r="D48" s="32">
        <f>'B) D RI'!AA49</f>
        <v>531</v>
      </c>
      <c r="E48" s="198">
        <f t="shared" si="1"/>
        <v>33.869823904908642</v>
      </c>
      <c r="F48" s="354">
        <f t="shared" si="2"/>
        <v>0.69996403103498339</v>
      </c>
      <c r="G48" s="365">
        <f t="shared" si="3"/>
        <v>0</v>
      </c>
      <c r="H48" s="362">
        <f t="shared" si="4"/>
        <v>0</v>
      </c>
      <c r="I48" s="365">
        <f t="shared" si="5"/>
        <v>0</v>
      </c>
      <c r="J48" s="362">
        <f t="shared" si="6"/>
        <v>0</v>
      </c>
      <c r="K48" s="357">
        <f t="shared" si="7"/>
        <v>0</v>
      </c>
      <c r="L48" s="361">
        <f t="shared" si="8"/>
        <v>0</v>
      </c>
      <c r="M48" s="112">
        <f>L48*D48*'B) D RI'!S49</f>
        <v>0</v>
      </c>
    </row>
    <row r="49" spans="1:13" x14ac:dyDescent="0.25">
      <c r="A49" s="288">
        <f>'A) Base RI'!A50</f>
        <v>5480</v>
      </c>
      <c r="B49" s="32" t="str">
        <f>'A) Base RI'!B50</f>
        <v>Daillens</v>
      </c>
      <c r="C49" s="286">
        <f>'B) D RI'!U50</f>
        <v>41284.66095959596</v>
      </c>
      <c r="D49" s="32">
        <f>'B) D RI'!AA50</f>
        <v>1051</v>
      </c>
      <c r="E49" s="198">
        <f t="shared" si="1"/>
        <v>39.281313948235926</v>
      </c>
      <c r="F49" s="354">
        <f t="shared" si="2"/>
        <v>0.81179952198018679</v>
      </c>
      <c r="G49" s="365">
        <f t="shared" si="3"/>
        <v>0</v>
      </c>
      <c r="H49" s="362">
        <f t="shared" si="4"/>
        <v>0</v>
      </c>
      <c r="I49" s="365">
        <f t="shared" si="5"/>
        <v>0</v>
      </c>
      <c r="J49" s="362">
        <f t="shared" si="6"/>
        <v>0</v>
      </c>
      <c r="K49" s="357">
        <f t="shared" si="7"/>
        <v>0</v>
      </c>
      <c r="L49" s="361">
        <f t="shared" si="8"/>
        <v>0</v>
      </c>
      <c r="M49" s="112">
        <f>L49*D49*'B) D RI'!S50</f>
        <v>0</v>
      </c>
    </row>
    <row r="50" spans="1:13" x14ac:dyDescent="0.25">
      <c r="A50" s="288">
        <f>'A) Base RI'!A51</f>
        <v>5481</v>
      </c>
      <c r="B50" s="32" t="str">
        <f>'A) Base RI'!B51</f>
        <v>Dizy</v>
      </c>
      <c r="C50" s="286">
        <f>'B) D RI'!U51</f>
        <v>8120.887333333334</v>
      </c>
      <c r="D50" s="32">
        <f>'B) D RI'!AA51</f>
        <v>225</v>
      </c>
      <c r="E50" s="198">
        <f t="shared" si="1"/>
        <v>36.092832592592593</v>
      </c>
      <c r="F50" s="354">
        <f t="shared" si="2"/>
        <v>0.74590540133633698</v>
      </c>
      <c r="G50" s="365">
        <f t="shared" si="3"/>
        <v>0</v>
      </c>
      <c r="H50" s="362">
        <f t="shared" si="4"/>
        <v>0</v>
      </c>
      <c r="I50" s="365">
        <f t="shared" si="5"/>
        <v>0</v>
      </c>
      <c r="J50" s="362">
        <f t="shared" si="6"/>
        <v>0</v>
      </c>
      <c r="K50" s="357">
        <f t="shared" si="7"/>
        <v>0</v>
      </c>
      <c r="L50" s="361">
        <f t="shared" si="8"/>
        <v>0</v>
      </c>
      <c r="M50" s="112">
        <f>L50*D50*'B) D RI'!S51</f>
        <v>0</v>
      </c>
    </row>
    <row r="51" spans="1:13" x14ac:dyDescent="0.25">
      <c r="A51" s="288">
        <f>'A) Base RI'!A52</f>
        <v>5482</v>
      </c>
      <c r="B51" s="32" t="str">
        <f>'A) Base RI'!B52</f>
        <v>Eclépens</v>
      </c>
      <c r="C51" s="286">
        <f>'B) D RI'!U52</f>
        <v>54196.336086956522</v>
      </c>
      <c r="D51" s="32">
        <f>'B) D RI'!AA52</f>
        <v>1198</v>
      </c>
      <c r="E51" s="198">
        <f t="shared" si="1"/>
        <v>45.239011758728317</v>
      </c>
      <c r="F51" s="354">
        <f t="shared" si="2"/>
        <v>0.93492310794356637</v>
      </c>
      <c r="G51" s="365">
        <f t="shared" si="3"/>
        <v>0</v>
      </c>
      <c r="H51" s="362">
        <f t="shared" si="4"/>
        <v>0</v>
      </c>
      <c r="I51" s="365">
        <f t="shared" si="5"/>
        <v>0</v>
      </c>
      <c r="J51" s="362">
        <f t="shared" si="6"/>
        <v>0</v>
      </c>
      <c r="K51" s="357">
        <f t="shared" si="7"/>
        <v>0</v>
      </c>
      <c r="L51" s="361">
        <f t="shared" si="8"/>
        <v>0</v>
      </c>
      <c r="M51" s="112">
        <f>L51*D51*'B) D RI'!S52</f>
        <v>0</v>
      </c>
    </row>
    <row r="52" spans="1:13" x14ac:dyDescent="0.25">
      <c r="A52" s="288">
        <f>'A) Base RI'!A53</f>
        <v>5483</v>
      </c>
      <c r="B52" s="32" t="str">
        <f>'A) Base RI'!B53</f>
        <v>Ferreyres</v>
      </c>
      <c r="C52" s="286">
        <f>'B) D RI'!U53</f>
        <v>10537.122500000001</v>
      </c>
      <c r="D52" s="32">
        <f>'B) D RI'!AA53</f>
        <v>319</v>
      </c>
      <c r="E52" s="198">
        <f t="shared" si="1"/>
        <v>33.031731974921634</v>
      </c>
      <c r="F52" s="354">
        <f t="shared" si="2"/>
        <v>0.68264376957337669</v>
      </c>
      <c r="G52" s="365">
        <f t="shared" si="3"/>
        <v>0</v>
      </c>
      <c r="H52" s="362">
        <f t="shared" si="4"/>
        <v>0</v>
      </c>
      <c r="I52" s="365">
        <f t="shared" si="5"/>
        <v>0</v>
      </c>
      <c r="J52" s="362">
        <f t="shared" si="6"/>
        <v>0</v>
      </c>
      <c r="K52" s="357">
        <f t="shared" si="7"/>
        <v>0</v>
      </c>
      <c r="L52" s="361">
        <f t="shared" si="8"/>
        <v>0</v>
      </c>
      <c r="M52" s="112">
        <f>L52*D52*'B) D RI'!S53</f>
        <v>0</v>
      </c>
    </row>
    <row r="53" spans="1:13" x14ac:dyDescent="0.25">
      <c r="A53" s="288">
        <f>'A) Base RI'!A54</f>
        <v>5484</v>
      </c>
      <c r="B53" s="32" t="str">
        <f>'A) Base RI'!B54</f>
        <v>Gollion</v>
      </c>
      <c r="C53" s="286">
        <f>'B) D RI'!U54</f>
        <v>35950.666081081094</v>
      </c>
      <c r="D53" s="32">
        <f>'B) D RI'!AA54</f>
        <v>1018</v>
      </c>
      <c r="E53" s="198">
        <f t="shared" si="1"/>
        <v>35.314996150374355</v>
      </c>
      <c r="F53" s="354">
        <f t="shared" si="2"/>
        <v>0.72983039802041838</v>
      </c>
      <c r="G53" s="365">
        <f t="shared" si="3"/>
        <v>0</v>
      </c>
      <c r="H53" s="362">
        <f t="shared" si="4"/>
        <v>0</v>
      </c>
      <c r="I53" s="365">
        <f t="shared" si="5"/>
        <v>0</v>
      </c>
      <c r="J53" s="362">
        <f t="shared" si="6"/>
        <v>0</v>
      </c>
      <c r="K53" s="357">
        <f t="shared" si="7"/>
        <v>0</v>
      </c>
      <c r="L53" s="361">
        <f t="shared" si="8"/>
        <v>0</v>
      </c>
      <c r="M53" s="112">
        <f>L53*D53*'B) D RI'!S54</f>
        <v>0</v>
      </c>
    </row>
    <row r="54" spans="1:13" x14ac:dyDescent="0.25">
      <c r="A54" s="288">
        <f>'A) Base RI'!A55</f>
        <v>5485</v>
      </c>
      <c r="B54" s="32" t="str">
        <f>'A) Base RI'!B55</f>
        <v>Grancy</v>
      </c>
      <c r="C54" s="286">
        <f>'B) D RI'!U55</f>
        <v>24488.659571428572</v>
      </c>
      <c r="D54" s="32">
        <f>'B) D RI'!AA55</f>
        <v>445</v>
      </c>
      <c r="E54" s="198">
        <f t="shared" si="1"/>
        <v>55.030695666131621</v>
      </c>
      <c r="F54" s="354">
        <f t="shared" si="2"/>
        <v>1.1372810108865778</v>
      </c>
      <c r="G54" s="365">
        <f t="shared" si="3"/>
        <v>6.6427465670501746</v>
      </c>
      <c r="H54" s="362">
        <f t="shared" si="4"/>
        <v>0</v>
      </c>
      <c r="I54" s="365">
        <f t="shared" si="5"/>
        <v>0</v>
      </c>
      <c r="J54" s="362">
        <f t="shared" si="6"/>
        <v>0</v>
      </c>
      <c r="K54" s="357">
        <f t="shared" si="7"/>
        <v>0</v>
      </c>
      <c r="L54" s="361">
        <f t="shared" si="8"/>
        <v>1.328549313410035</v>
      </c>
      <c r="M54" s="112">
        <f>L54*D54*'B) D RI'!S55</f>
        <v>41384.311112722593</v>
      </c>
    </row>
    <row r="55" spans="1:13" x14ac:dyDescent="0.25">
      <c r="A55" s="288">
        <f>'A) Base RI'!A56</f>
        <v>5486</v>
      </c>
      <c r="B55" s="32" t="str">
        <f>'A) Base RI'!B56</f>
        <v>L'Isle</v>
      </c>
      <c r="C55" s="286">
        <f>'B) D RI'!U56</f>
        <v>29230.387866666671</v>
      </c>
      <c r="D55" s="32">
        <f>'B) D RI'!AA56</f>
        <v>1079</v>
      </c>
      <c r="E55" s="198">
        <f t="shared" si="1"/>
        <v>27.090257522397287</v>
      </c>
      <c r="F55" s="354">
        <f t="shared" si="2"/>
        <v>0.55985546043553114</v>
      </c>
      <c r="G55" s="365">
        <f t="shared" si="3"/>
        <v>0</v>
      </c>
      <c r="H55" s="362">
        <f t="shared" si="4"/>
        <v>0</v>
      </c>
      <c r="I55" s="365">
        <f t="shared" si="5"/>
        <v>0</v>
      </c>
      <c r="J55" s="362">
        <f t="shared" si="6"/>
        <v>0</v>
      </c>
      <c r="K55" s="357">
        <f t="shared" si="7"/>
        <v>0</v>
      </c>
      <c r="L55" s="361">
        <f t="shared" si="8"/>
        <v>0</v>
      </c>
      <c r="M55" s="112">
        <f>L55*D55*'B) D RI'!S56</f>
        <v>0</v>
      </c>
    </row>
    <row r="56" spans="1:13" x14ac:dyDescent="0.25">
      <c r="A56" s="288">
        <f>'A) Base RI'!A57</f>
        <v>5487</v>
      </c>
      <c r="B56" s="32" t="str">
        <f>'A) Base RI'!B57</f>
        <v>Lussery-Villars</v>
      </c>
      <c r="C56" s="286">
        <f>'B) D RI'!U57</f>
        <v>16622.441866666668</v>
      </c>
      <c r="D56" s="32">
        <f>'B) D RI'!AA57</f>
        <v>475</v>
      </c>
      <c r="E56" s="198">
        <f t="shared" si="1"/>
        <v>34.994614456140354</v>
      </c>
      <c r="F56" s="354">
        <f t="shared" si="2"/>
        <v>0.72320929296845649</v>
      </c>
      <c r="G56" s="365">
        <f t="shared" si="3"/>
        <v>0</v>
      </c>
      <c r="H56" s="362">
        <f t="shared" si="4"/>
        <v>0</v>
      </c>
      <c r="I56" s="365">
        <f t="shared" si="5"/>
        <v>0</v>
      </c>
      <c r="J56" s="362">
        <f t="shared" si="6"/>
        <v>0</v>
      </c>
      <c r="K56" s="357">
        <f t="shared" si="7"/>
        <v>0</v>
      </c>
      <c r="L56" s="361">
        <f t="shared" si="8"/>
        <v>0</v>
      </c>
      <c r="M56" s="112">
        <f>L56*D56*'B) D RI'!S57</f>
        <v>0</v>
      </c>
    </row>
    <row r="57" spans="1:13" x14ac:dyDescent="0.25">
      <c r="A57" s="288">
        <f>'A) Base RI'!A58</f>
        <v>5488</v>
      </c>
      <c r="B57" s="32" t="str">
        <f>'A) Base RI'!B58</f>
        <v>Mauraz</v>
      </c>
      <c r="C57" s="286">
        <f>'B) D RI'!U58</f>
        <v>1729.1857142857141</v>
      </c>
      <c r="D57" s="32">
        <f>'B) D RI'!AA58</f>
        <v>60</v>
      </c>
      <c r="E57" s="198">
        <f t="shared" si="1"/>
        <v>28.819761904761901</v>
      </c>
      <c r="F57" s="354">
        <f t="shared" si="2"/>
        <v>0.59559792141115953</v>
      </c>
      <c r="G57" s="365">
        <f t="shared" si="3"/>
        <v>0</v>
      </c>
      <c r="H57" s="362">
        <f t="shared" si="4"/>
        <v>0</v>
      </c>
      <c r="I57" s="365">
        <f t="shared" si="5"/>
        <v>0</v>
      </c>
      <c r="J57" s="362">
        <f t="shared" si="6"/>
        <v>0</v>
      </c>
      <c r="K57" s="357">
        <f t="shared" si="7"/>
        <v>0</v>
      </c>
      <c r="L57" s="361">
        <f t="shared" si="8"/>
        <v>0</v>
      </c>
      <c r="M57" s="112">
        <f>L57*D57*'B) D RI'!S58</f>
        <v>0</v>
      </c>
    </row>
    <row r="58" spans="1:13" x14ac:dyDescent="0.25">
      <c r="A58" s="288">
        <f>'A) Base RI'!A59</f>
        <v>5489</v>
      </c>
      <c r="B58" s="32" t="str">
        <f>'A) Base RI'!B59</f>
        <v>Mex</v>
      </c>
      <c r="C58" s="286">
        <f>'B) D RI'!U59</f>
        <v>50879.929915966379</v>
      </c>
      <c r="D58" s="32">
        <f>'B) D RI'!AA59</f>
        <v>795</v>
      </c>
      <c r="E58" s="198">
        <f t="shared" si="1"/>
        <v>63.999911843982865</v>
      </c>
      <c r="F58" s="354">
        <f t="shared" si="2"/>
        <v>1.3226415468226114</v>
      </c>
      <c r="G58" s="365">
        <f t="shared" si="3"/>
        <v>15.611962744901419</v>
      </c>
      <c r="H58" s="362">
        <f t="shared" si="4"/>
        <v>5.9343729250851354</v>
      </c>
      <c r="I58" s="365">
        <f t="shared" si="5"/>
        <v>0</v>
      </c>
      <c r="J58" s="362">
        <f t="shared" si="6"/>
        <v>0</v>
      </c>
      <c r="K58" s="357">
        <f t="shared" si="7"/>
        <v>0</v>
      </c>
      <c r="L58" s="361">
        <f t="shared" si="8"/>
        <v>3.7158298414887971</v>
      </c>
      <c r="M58" s="112">
        <f>L58*D58*'B) D RI'!S59</f>
        <v>175768.04107702384</v>
      </c>
    </row>
    <row r="59" spans="1:13" x14ac:dyDescent="0.25">
      <c r="A59" s="288">
        <f>'A) Base RI'!A60</f>
        <v>5490</v>
      </c>
      <c r="B59" s="32" t="str">
        <f>'A) Base RI'!B60</f>
        <v>Moiry</v>
      </c>
      <c r="C59" s="286">
        <f>'B) D RI'!U60</f>
        <v>9056.9</v>
      </c>
      <c r="D59" s="32">
        <f>'B) D RI'!AA60</f>
        <v>301</v>
      </c>
      <c r="E59" s="198">
        <f t="shared" si="1"/>
        <v>30.089368770764118</v>
      </c>
      <c r="F59" s="354">
        <f t="shared" si="2"/>
        <v>0.62183600113225934</v>
      </c>
      <c r="G59" s="365">
        <f t="shared" si="3"/>
        <v>0</v>
      </c>
      <c r="H59" s="362">
        <f t="shared" si="4"/>
        <v>0</v>
      </c>
      <c r="I59" s="365">
        <f t="shared" si="5"/>
        <v>0</v>
      </c>
      <c r="J59" s="362">
        <f t="shared" si="6"/>
        <v>0</v>
      </c>
      <c r="K59" s="357">
        <f t="shared" si="7"/>
        <v>0</v>
      </c>
      <c r="L59" s="361">
        <f t="shared" si="8"/>
        <v>0</v>
      </c>
      <c r="M59" s="112">
        <f>L59*D59*'B) D RI'!S60</f>
        <v>0</v>
      </c>
    </row>
    <row r="60" spans="1:13" x14ac:dyDescent="0.25">
      <c r="A60" s="288">
        <f>'A) Base RI'!A61</f>
        <v>5491</v>
      </c>
      <c r="B60" s="32" t="str">
        <f>'A) Base RI'!B61</f>
        <v>Mont-la-Ville</v>
      </c>
      <c r="C60" s="286">
        <f>'B) D RI'!U61</f>
        <v>13648.930789473685</v>
      </c>
      <c r="D60" s="32">
        <f>'B) D RI'!AA61</f>
        <v>508</v>
      </c>
      <c r="E60" s="198">
        <f t="shared" si="1"/>
        <v>26.86797399502694</v>
      </c>
      <c r="F60" s="354">
        <f t="shared" si="2"/>
        <v>0.55526168178797597</v>
      </c>
      <c r="G60" s="365">
        <f t="shared" si="3"/>
        <v>0</v>
      </c>
      <c r="H60" s="362">
        <f t="shared" si="4"/>
        <v>0</v>
      </c>
      <c r="I60" s="365">
        <f t="shared" si="5"/>
        <v>0</v>
      </c>
      <c r="J60" s="362">
        <f t="shared" si="6"/>
        <v>0</v>
      </c>
      <c r="K60" s="357">
        <f t="shared" si="7"/>
        <v>0</v>
      </c>
      <c r="L60" s="361">
        <f t="shared" si="8"/>
        <v>0</v>
      </c>
      <c r="M60" s="112">
        <f>L60*D60*'B) D RI'!S61</f>
        <v>0</v>
      </c>
    </row>
    <row r="61" spans="1:13" x14ac:dyDescent="0.25">
      <c r="A61" s="288">
        <f>'A) Base RI'!A62</f>
        <v>5492</v>
      </c>
      <c r="B61" s="32" t="str">
        <f>'A) Base RI'!B62</f>
        <v>Montricher</v>
      </c>
      <c r="C61" s="286">
        <f>'B) D RI'!U62</f>
        <v>175268.45531250001</v>
      </c>
      <c r="D61" s="32">
        <f>'B) D RI'!AA62</f>
        <v>981</v>
      </c>
      <c r="E61" s="198">
        <f t="shared" si="1"/>
        <v>178.66305332568808</v>
      </c>
      <c r="F61" s="354">
        <f t="shared" si="2"/>
        <v>3.6923047298377782</v>
      </c>
      <c r="G61" s="365">
        <f t="shared" si="3"/>
        <v>130.27510422660663</v>
      </c>
      <c r="H61" s="362">
        <f t="shared" si="4"/>
        <v>120.59751440679035</v>
      </c>
      <c r="I61" s="365">
        <f t="shared" si="5"/>
        <v>106.08112967706592</v>
      </c>
      <c r="J61" s="362">
        <f t="shared" si="6"/>
        <v>81.88715512752519</v>
      </c>
      <c r="K61" s="357">
        <f t="shared" si="7"/>
        <v>33.499206028443751</v>
      </c>
      <c r="L61" s="361">
        <f t="shared" si="8"/>
        <v>60.26152136930385</v>
      </c>
      <c r="M61" s="112">
        <f>L61*D61*'B) D RI'!S62</f>
        <v>3783459.3576503731</v>
      </c>
    </row>
    <row r="62" spans="1:13" x14ac:dyDescent="0.25">
      <c r="A62" s="288">
        <f>'A) Base RI'!A63</f>
        <v>5493</v>
      </c>
      <c r="B62" s="32" t="str">
        <f>'A) Base RI'!B63</f>
        <v>Orny</v>
      </c>
      <c r="C62" s="286">
        <f>'B) D RI'!U63</f>
        <v>13489.946448893574</v>
      </c>
      <c r="D62" s="32">
        <f>'B) D RI'!AA63</f>
        <v>480</v>
      </c>
      <c r="E62" s="198">
        <f t="shared" si="1"/>
        <v>28.104055101861611</v>
      </c>
      <c r="F62" s="354">
        <f t="shared" si="2"/>
        <v>0.58080690802402934</v>
      </c>
      <c r="G62" s="365">
        <f t="shared" si="3"/>
        <v>0</v>
      </c>
      <c r="H62" s="362">
        <f t="shared" si="4"/>
        <v>0</v>
      </c>
      <c r="I62" s="365">
        <f t="shared" si="5"/>
        <v>0</v>
      </c>
      <c r="J62" s="362">
        <f t="shared" si="6"/>
        <v>0</v>
      </c>
      <c r="K62" s="357">
        <f t="shared" si="7"/>
        <v>0</v>
      </c>
      <c r="L62" s="361">
        <f t="shared" si="8"/>
        <v>0</v>
      </c>
      <c r="M62" s="112">
        <f>L62*D62*'B) D RI'!S63</f>
        <v>0</v>
      </c>
    </row>
    <row r="63" spans="1:13" x14ac:dyDescent="0.25">
      <c r="A63" s="288">
        <f>'A) Base RI'!A64</f>
        <v>5494</v>
      </c>
      <c r="B63" s="32" t="str">
        <f>'A) Base RI'!B64</f>
        <v>Pampigny</v>
      </c>
      <c r="C63" s="286">
        <f>'B) D RI'!U64</f>
        <v>43210.558962818002</v>
      </c>
      <c r="D63" s="32">
        <f>'B) D RI'!AA64</f>
        <v>1185</v>
      </c>
      <c r="E63" s="198">
        <f t="shared" si="1"/>
        <v>36.46460671967764</v>
      </c>
      <c r="F63" s="354">
        <f t="shared" si="2"/>
        <v>0.75358859795878086</v>
      </c>
      <c r="G63" s="365">
        <f t="shared" si="3"/>
        <v>0</v>
      </c>
      <c r="H63" s="362">
        <f t="shared" si="4"/>
        <v>0</v>
      </c>
      <c r="I63" s="365">
        <f t="shared" si="5"/>
        <v>0</v>
      </c>
      <c r="J63" s="362">
        <f t="shared" si="6"/>
        <v>0</v>
      </c>
      <c r="K63" s="357">
        <f t="shared" si="7"/>
        <v>0</v>
      </c>
      <c r="L63" s="361">
        <f t="shared" si="8"/>
        <v>0</v>
      </c>
      <c r="M63" s="112">
        <f>L63*D63*'B) D RI'!S64</f>
        <v>0</v>
      </c>
    </row>
    <row r="64" spans="1:13" x14ac:dyDescent="0.25">
      <c r="A64" s="288">
        <f>'A) Base RI'!A65</f>
        <v>5495</v>
      </c>
      <c r="B64" s="32" t="str">
        <f>'A) Base RI'!B65</f>
        <v>Penthalaz</v>
      </c>
      <c r="C64" s="286">
        <f>'B) D RI'!U65</f>
        <v>95314.520135135113</v>
      </c>
      <c r="D64" s="32">
        <f>'B) D RI'!AA65</f>
        <v>3210</v>
      </c>
      <c r="E64" s="198">
        <f t="shared" si="1"/>
        <v>29.69299692683337</v>
      </c>
      <c r="F64" s="354">
        <f t="shared" si="2"/>
        <v>0.6136444606493362</v>
      </c>
      <c r="G64" s="365">
        <f t="shared" si="3"/>
        <v>0</v>
      </c>
      <c r="H64" s="362">
        <f t="shared" si="4"/>
        <v>0</v>
      </c>
      <c r="I64" s="365">
        <f t="shared" si="5"/>
        <v>0</v>
      </c>
      <c r="J64" s="362">
        <f t="shared" si="6"/>
        <v>0</v>
      </c>
      <c r="K64" s="357">
        <f t="shared" si="7"/>
        <v>0</v>
      </c>
      <c r="L64" s="361">
        <f t="shared" si="8"/>
        <v>0</v>
      </c>
      <c r="M64" s="112">
        <f>L64*D64*'B) D RI'!S65</f>
        <v>0</v>
      </c>
    </row>
    <row r="65" spans="1:13" x14ac:dyDescent="0.25">
      <c r="A65" s="288">
        <f>'A) Base RI'!A66</f>
        <v>5496</v>
      </c>
      <c r="B65" s="32" t="str">
        <f>'A) Base RI'!B66</f>
        <v>Penthaz</v>
      </c>
      <c r="C65" s="286">
        <f>'B) D RI'!U66</f>
        <v>56267.911654676267</v>
      </c>
      <c r="D65" s="32">
        <f>'B) D RI'!AA66</f>
        <v>1890</v>
      </c>
      <c r="E65" s="198">
        <f t="shared" si="1"/>
        <v>29.771381827871039</v>
      </c>
      <c r="F65" s="354">
        <f t="shared" si="2"/>
        <v>0.61526438673624617</v>
      </c>
      <c r="G65" s="365">
        <f t="shared" si="3"/>
        <v>0</v>
      </c>
      <c r="H65" s="362">
        <f t="shared" si="4"/>
        <v>0</v>
      </c>
      <c r="I65" s="365">
        <f t="shared" si="5"/>
        <v>0</v>
      </c>
      <c r="J65" s="362">
        <f t="shared" si="6"/>
        <v>0</v>
      </c>
      <c r="K65" s="357">
        <f t="shared" si="7"/>
        <v>0</v>
      </c>
      <c r="L65" s="361">
        <f t="shared" si="8"/>
        <v>0</v>
      </c>
      <c r="M65" s="112">
        <f>L65*D65*'B) D RI'!S66</f>
        <v>0</v>
      </c>
    </row>
    <row r="66" spans="1:13" x14ac:dyDescent="0.25">
      <c r="A66" s="288">
        <f>'A) Base RI'!A67</f>
        <v>5497</v>
      </c>
      <c r="B66" s="32" t="str">
        <f>'A) Base RI'!B67</f>
        <v>Pompaples</v>
      </c>
      <c r="C66" s="286">
        <f>'B) D RI'!U67</f>
        <v>22253.499393939397</v>
      </c>
      <c r="D66" s="32">
        <f>'B) D RI'!AA67</f>
        <v>849</v>
      </c>
      <c r="E66" s="198">
        <f t="shared" si="1"/>
        <v>26.211424492272553</v>
      </c>
      <c r="F66" s="354">
        <f t="shared" si="2"/>
        <v>0.54169323106876888</v>
      </c>
      <c r="G66" s="365">
        <f t="shared" si="3"/>
        <v>0</v>
      </c>
      <c r="H66" s="362">
        <f t="shared" si="4"/>
        <v>0</v>
      </c>
      <c r="I66" s="365">
        <f t="shared" si="5"/>
        <v>0</v>
      </c>
      <c r="J66" s="362">
        <f t="shared" si="6"/>
        <v>0</v>
      </c>
      <c r="K66" s="357">
        <f t="shared" si="7"/>
        <v>0</v>
      </c>
      <c r="L66" s="361">
        <f t="shared" si="8"/>
        <v>0</v>
      </c>
      <c r="M66" s="112">
        <f>L66*D66*'B) D RI'!S67</f>
        <v>0</v>
      </c>
    </row>
    <row r="67" spans="1:13" x14ac:dyDescent="0.25">
      <c r="A67" s="288">
        <f>'A) Base RI'!A68</f>
        <v>5498</v>
      </c>
      <c r="B67" s="32" t="str">
        <f>'A) Base RI'!B68</f>
        <v>La Sarraz</v>
      </c>
      <c r="C67" s="286">
        <f>'B) D RI'!U68</f>
        <v>74682.149090909108</v>
      </c>
      <c r="D67" s="32">
        <f>'B) D RI'!AA68</f>
        <v>2620</v>
      </c>
      <c r="E67" s="198">
        <f t="shared" si="1"/>
        <v>28.504637057598895</v>
      </c>
      <c r="F67" s="354">
        <f t="shared" si="2"/>
        <v>0.58908545595167627</v>
      </c>
      <c r="G67" s="365">
        <f t="shared" si="3"/>
        <v>0</v>
      </c>
      <c r="H67" s="362">
        <f t="shared" si="4"/>
        <v>0</v>
      </c>
      <c r="I67" s="365">
        <f t="shared" si="5"/>
        <v>0</v>
      </c>
      <c r="J67" s="362">
        <f t="shared" si="6"/>
        <v>0</v>
      </c>
      <c r="K67" s="357">
        <f t="shared" si="7"/>
        <v>0</v>
      </c>
      <c r="L67" s="361">
        <f t="shared" si="8"/>
        <v>0</v>
      </c>
      <c r="M67" s="112">
        <f>L67*D67*'B) D RI'!S68</f>
        <v>0</v>
      </c>
    </row>
    <row r="68" spans="1:13" x14ac:dyDescent="0.25">
      <c r="A68" s="288">
        <f>'A) Base RI'!A69</f>
        <v>5499</v>
      </c>
      <c r="B68" s="32" t="str">
        <f>'A) Base RI'!B69</f>
        <v>Senarclens</v>
      </c>
      <c r="C68" s="286">
        <f>'B) D RI'!U69</f>
        <v>18238.904233576643</v>
      </c>
      <c r="D68" s="32">
        <f>'B) D RI'!AA69</f>
        <v>491</v>
      </c>
      <c r="E68" s="198">
        <f t="shared" si="1"/>
        <v>37.146444467569538</v>
      </c>
      <c r="F68" s="354">
        <f t="shared" si="2"/>
        <v>0.76767966320512415</v>
      </c>
      <c r="G68" s="365">
        <f t="shared" si="3"/>
        <v>0</v>
      </c>
      <c r="H68" s="362">
        <f t="shared" si="4"/>
        <v>0</v>
      </c>
      <c r="I68" s="365">
        <f t="shared" si="5"/>
        <v>0</v>
      </c>
      <c r="J68" s="362">
        <f t="shared" si="6"/>
        <v>0</v>
      </c>
      <c r="K68" s="357">
        <f t="shared" si="7"/>
        <v>0</v>
      </c>
      <c r="L68" s="361">
        <f t="shared" si="8"/>
        <v>0</v>
      </c>
      <c r="M68" s="112">
        <f>L68*D68*'B) D RI'!S69</f>
        <v>0</v>
      </c>
    </row>
    <row r="69" spans="1:13" x14ac:dyDescent="0.25">
      <c r="A69" s="288">
        <f>'A) Base RI'!A70</f>
        <v>5500</v>
      </c>
      <c r="B69" s="32" t="str">
        <f>'A) Base RI'!B70</f>
        <v>Sévery</v>
      </c>
      <c r="C69" s="286">
        <f>'B) D RI'!U70</f>
        <v>7230.3632420091335</v>
      </c>
      <c r="D69" s="32">
        <f>'B) D RI'!AA70</f>
        <v>220</v>
      </c>
      <c r="E69" s="198">
        <f t="shared" si="1"/>
        <v>32.86528746367788</v>
      </c>
      <c r="F69" s="354">
        <f t="shared" si="2"/>
        <v>0.67920397693197054</v>
      </c>
      <c r="G69" s="365">
        <f t="shared" si="3"/>
        <v>0</v>
      </c>
      <c r="H69" s="362">
        <f t="shared" si="4"/>
        <v>0</v>
      </c>
      <c r="I69" s="365">
        <f t="shared" si="5"/>
        <v>0</v>
      </c>
      <c r="J69" s="362">
        <f t="shared" si="6"/>
        <v>0</v>
      </c>
      <c r="K69" s="357">
        <f t="shared" si="7"/>
        <v>0</v>
      </c>
      <c r="L69" s="361">
        <f t="shared" si="8"/>
        <v>0</v>
      </c>
      <c r="M69" s="112">
        <f>L69*D69*'B) D RI'!S70</f>
        <v>0</v>
      </c>
    </row>
    <row r="70" spans="1:13" x14ac:dyDescent="0.25">
      <c r="A70" s="288">
        <f>'A) Base RI'!A71</f>
        <v>5501</v>
      </c>
      <c r="B70" s="32" t="str">
        <f>'A) Base RI'!B71</f>
        <v>Sullens</v>
      </c>
      <c r="C70" s="286">
        <f>'B) D RI'!U71</f>
        <v>43195.598978102193</v>
      </c>
      <c r="D70" s="32">
        <f>'B) D RI'!AA71</f>
        <v>1143</v>
      </c>
      <c r="E70" s="198">
        <f t="shared" si="1"/>
        <v>37.791425177692204</v>
      </c>
      <c r="F70" s="354">
        <f t="shared" si="2"/>
        <v>0.78100902975467512</v>
      </c>
      <c r="G70" s="365">
        <f t="shared" si="3"/>
        <v>0</v>
      </c>
      <c r="H70" s="362">
        <f t="shared" si="4"/>
        <v>0</v>
      </c>
      <c r="I70" s="365">
        <f t="shared" si="5"/>
        <v>0</v>
      </c>
      <c r="J70" s="362">
        <f t="shared" si="6"/>
        <v>0</v>
      </c>
      <c r="K70" s="357">
        <f t="shared" si="7"/>
        <v>0</v>
      </c>
      <c r="L70" s="361">
        <f t="shared" si="8"/>
        <v>0</v>
      </c>
      <c r="M70" s="112">
        <f>L70*D70*'B) D RI'!S71</f>
        <v>0</v>
      </c>
    </row>
    <row r="71" spans="1:13" x14ac:dyDescent="0.25">
      <c r="A71" s="288">
        <f>'A) Base RI'!A72</f>
        <v>5503</v>
      </c>
      <c r="B71" s="32" t="str">
        <f>'A) Base RI'!B72</f>
        <v>Vufflens-la-Ville</v>
      </c>
      <c r="C71" s="286">
        <f>'B) D RI'!U72</f>
        <v>79029.714875621881</v>
      </c>
      <c r="D71" s="32">
        <f>'B) D RI'!AA72</f>
        <v>1346</v>
      </c>
      <c r="E71" s="198">
        <f t="shared" ref="E71:E134" si="9">C71/D71</f>
        <v>58.714498421710161</v>
      </c>
      <c r="F71" s="354">
        <f t="shared" ref="F71:F134" si="10">E71/$E$314</f>
        <v>1.213411593483402</v>
      </c>
      <c r="G71" s="365">
        <f t="shared" ref="G71:G134" si="11">IF(E71-$G$3&lt;0,0,E71-$G$3)</f>
        <v>10.326549322628715</v>
      </c>
      <c r="H71" s="362">
        <f t="shared" ref="H71:H134" si="12">IF(E71-$H$3&lt;0,0,E71-$H$3)</f>
        <v>0.64895950281243131</v>
      </c>
      <c r="I71" s="365">
        <f t="shared" ref="I71:I134" si="13">IF(E71-$I$3&lt;0,0,E71-$I$3)</f>
        <v>0</v>
      </c>
      <c r="J71" s="362">
        <f t="shared" ref="J71:J134" si="14">IF(E71-$J$3&lt;0,0,E71-$J$3)</f>
        <v>0</v>
      </c>
      <c r="K71" s="357">
        <f t="shared" ref="K71:K134" si="15">IF(E71-$K$3&lt;0,0,E71-$K$3)</f>
        <v>0</v>
      </c>
      <c r="L71" s="361">
        <f t="shared" ref="L71:L134" si="16">(G71-H71)*$G$4+(H71-I71)*$H$4+(I71-J71)*$I$4+(J71-K71)*$J$4+(K71*$K$4)</f>
        <v>2.130205814806986</v>
      </c>
      <c r="M71" s="112">
        <f>L71*D71*'B) D RI'!S72</f>
        <v>192106.2207909236</v>
      </c>
    </row>
    <row r="72" spans="1:13" x14ac:dyDescent="0.25">
      <c r="A72" s="288">
        <f>'A) Base RI'!A73</f>
        <v>5511</v>
      </c>
      <c r="B72" s="32" t="str">
        <f>'A) Base RI'!B73</f>
        <v>Assens</v>
      </c>
      <c r="C72" s="286">
        <f>'B) D RI'!U73</f>
        <v>47333.455142857143</v>
      </c>
      <c r="D72" s="32">
        <f>'B) D RI'!AA73</f>
        <v>1151</v>
      </c>
      <c r="E72" s="198">
        <f t="shared" si="9"/>
        <v>41.123766414298125</v>
      </c>
      <c r="F72" s="354">
        <f t="shared" si="10"/>
        <v>0.8498762022356261</v>
      </c>
      <c r="G72" s="365">
        <f t="shared" si="11"/>
        <v>0</v>
      </c>
      <c r="H72" s="362">
        <f t="shared" si="12"/>
        <v>0</v>
      </c>
      <c r="I72" s="365">
        <f t="shared" si="13"/>
        <v>0</v>
      </c>
      <c r="J72" s="362">
        <f t="shared" si="14"/>
        <v>0</v>
      </c>
      <c r="K72" s="357">
        <f t="shared" si="15"/>
        <v>0</v>
      </c>
      <c r="L72" s="361">
        <f t="shared" si="16"/>
        <v>0</v>
      </c>
      <c r="M72" s="112">
        <f>L72*D72*'B) D RI'!S73</f>
        <v>0</v>
      </c>
    </row>
    <row r="73" spans="1:13" x14ac:dyDescent="0.25">
      <c r="A73" s="288">
        <f>'A) Base RI'!A74</f>
        <v>5512</v>
      </c>
      <c r="B73" s="32" t="str">
        <f>'A) Base RI'!B74</f>
        <v>Bercher</v>
      </c>
      <c r="C73" s="286">
        <f>'B) D RI'!U74</f>
        <v>40764.12544303797</v>
      </c>
      <c r="D73" s="32">
        <f>'B) D RI'!AA74</f>
        <v>1320</v>
      </c>
      <c r="E73" s="198">
        <f t="shared" si="9"/>
        <v>30.881913214422706</v>
      </c>
      <c r="F73" s="354">
        <f t="shared" si="10"/>
        <v>0.6382149644571099</v>
      </c>
      <c r="G73" s="365">
        <f t="shared" si="11"/>
        <v>0</v>
      </c>
      <c r="H73" s="362">
        <f t="shared" si="12"/>
        <v>0</v>
      </c>
      <c r="I73" s="365">
        <f t="shared" si="13"/>
        <v>0</v>
      </c>
      <c r="J73" s="362">
        <f t="shared" si="14"/>
        <v>0</v>
      </c>
      <c r="K73" s="357">
        <f t="shared" si="15"/>
        <v>0</v>
      </c>
      <c r="L73" s="361">
        <f t="shared" si="16"/>
        <v>0</v>
      </c>
      <c r="M73" s="112">
        <f>L73*D73*'B) D RI'!S74</f>
        <v>0</v>
      </c>
    </row>
    <row r="74" spans="1:13" x14ac:dyDescent="0.25">
      <c r="A74" s="288">
        <f>'A) Base RI'!A75</f>
        <v>5513</v>
      </c>
      <c r="B74" s="32" t="str">
        <f>'A) Base RI'!B75</f>
        <v>Bioley-Orjulaz</v>
      </c>
      <c r="C74" s="286">
        <f>'B) D RI'!U75</f>
        <v>22739.022647058824</v>
      </c>
      <c r="D74" s="32">
        <f>'B) D RI'!AA75</f>
        <v>518</v>
      </c>
      <c r="E74" s="198">
        <f t="shared" si="9"/>
        <v>43.897727117874176</v>
      </c>
      <c r="F74" s="354">
        <f t="shared" si="10"/>
        <v>0.90720371363512675</v>
      </c>
      <c r="G74" s="365">
        <f t="shared" si="11"/>
        <v>0</v>
      </c>
      <c r="H74" s="362">
        <f t="shared" si="12"/>
        <v>0</v>
      </c>
      <c r="I74" s="365">
        <f t="shared" si="13"/>
        <v>0</v>
      </c>
      <c r="J74" s="362">
        <f t="shared" si="14"/>
        <v>0</v>
      </c>
      <c r="K74" s="357">
        <f t="shared" si="15"/>
        <v>0</v>
      </c>
      <c r="L74" s="361">
        <f t="shared" si="16"/>
        <v>0</v>
      </c>
      <c r="M74" s="112">
        <f>L74*D74*'B) D RI'!S75</f>
        <v>0</v>
      </c>
    </row>
    <row r="75" spans="1:13" x14ac:dyDescent="0.25">
      <c r="A75" s="288">
        <f>'A) Base RI'!A76</f>
        <v>5514</v>
      </c>
      <c r="B75" s="32" t="str">
        <f>'A) Base RI'!B76</f>
        <v>Bottens</v>
      </c>
      <c r="C75" s="286">
        <f>'B) D RI'!U76</f>
        <v>44223.41544827586</v>
      </c>
      <c r="D75" s="32">
        <f>'B) D RI'!AA76</f>
        <v>1357</v>
      </c>
      <c r="E75" s="198">
        <f t="shared" si="9"/>
        <v>32.589104972937257</v>
      </c>
      <c r="F75" s="354">
        <f t="shared" si="10"/>
        <v>0.67349630599565746</v>
      </c>
      <c r="G75" s="365">
        <f t="shared" si="11"/>
        <v>0</v>
      </c>
      <c r="H75" s="362">
        <f t="shared" si="12"/>
        <v>0</v>
      </c>
      <c r="I75" s="365">
        <f t="shared" si="13"/>
        <v>0</v>
      </c>
      <c r="J75" s="362">
        <f t="shared" si="14"/>
        <v>0</v>
      </c>
      <c r="K75" s="357">
        <f t="shared" si="15"/>
        <v>0</v>
      </c>
      <c r="L75" s="361">
        <f t="shared" si="16"/>
        <v>0</v>
      </c>
      <c r="M75" s="112">
        <f>L75*D75*'B) D RI'!S76</f>
        <v>0</v>
      </c>
    </row>
    <row r="76" spans="1:13" x14ac:dyDescent="0.25">
      <c r="A76" s="288">
        <f>'A) Base RI'!A77</f>
        <v>5515</v>
      </c>
      <c r="B76" s="32" t="str">
        <f>'A) Base RI'!B77</f>
        <v>Bretigny-sur-Morrens</v>
      </c>
      <c r="C76" s="286">
        <f>'B) D RI'!U77</f>
        <v>32348.775256410252</v>
      </c>
      <c r="D76" s="32">
        <f>'B) D RI'!AA77</f>
        <v>882</v>
      </c>
      <c r="E76" s="198">
        <f t="shared" si="9"/>
        <v>36.676615936973072</v>
      </c>
      <c r="F76" s="354">
        <f t="shared" si="10"/>
        <v>0.75797004460495532</v>
      </c>
      <c r="G76" s="365">
        <f t="shared" si="11"/>
        <v>0</v>
      </c>
      <c r="H76" s="362">
        <f t="shared" si="12"/>
        <v>0</v>
      </c>
      <c r="I76" s="365">
        <f t="shared" si="13"/>
        <v>0</v>
      </c>
      <c r="J76" s="362">
        <f t="shared" si="14"/>
        <v>0</v>
      </c>
      <c r="K76" s="357">
        <f t="shared" si="15"/>
        <v>0</v>
      </c>
      <c r="L76" s="361">
        <f t="shared" si="16"/>
        <v>0</v>
      </c>
      <c r="M76" s="112">
        <f>L76*D76*'B) D RI'!S77</f>
        <v>0</v>
      </c>
    </row>
    <row r="77" spans="1:13" x14ac:dyDescent="0.25">
      <c r="A77" s="288">
        <f>'A) Base RI'!A78</f>
        <v>5516</v>
      </c>
      <c r="B77" s="32" t="str">
        <f>'A) Base RI'!B78</f>
        <v>Cugy</v>
      </c>
      <c r="C77" s="286">
        <f>'B) D RI'!U78</f>
        <v>111604.91621794872</v>
      </c>
      <c r="D77" s="32">
        <f>'B) D RI'!AA78</f>
        <v>2733</v>
      </c>
      <c r="E77" s="198">
        <f t="shared" si="9"/>
        <v>40.836046914726936</v>
      </c>
      <c r="F77" s="354">
        <f t="shared" si="10"/>
        <v>0.84393010398331036</v>
      </c>
      <c r="G77" s="365">
        <f t="shared" si="11"/>
        <v>0</v>
      </c>
      <c r="H77" s="362">
        <f t="shared" si="12"/>
        <v>0</v>
      </c>
      <c r="I77" s="365">
        <f t="shared" si="13"/>
        <v>0</v>
      </c>
      <c r="J77" s="362">
        <f t="shared" si="14"/>
        <v>0</v>
      </c>
      <c r="K77" s="357">
        <f t="shared" si="15"/>
        <v>0</v>
      </c>
      <c r="L77" s="361">
        <f t="shared" si="16"/>
        <v>0</v>
      </c>
      <c r="M77" s="112">
        <f>L77*D77*'B) D RI'!S78</f>
        <v>0</v>
      </c>
    </row>
    <row r="78" spans="1:13" x14ac:dyDescent="0.25">
      <c r="A78" s="288">
        <f>'A) Base RI'!A79</f>
        <v>5518</v>
      </c>
      <c r="B78" s="32" t="str">
        <f>'A) Base RI'!B79</f>
        <v>Echallens</v>
      </c>
      <c r="C78" s="286">
        <f>'B) D RI'!U79</f>
        <v>183030.51158620688</v>
      </c>
      <c r="D78" s="32">
        <f>'B) D RI'!AA79</f>
        <v>5739</v>
      </c>
      <c r="E78" s="198">
        <f t="shared" si="9"/>
        <v>31.892404876495362</v>
      </c>
      <c r="F78" s="354">
        <f t="shared" si="10"/>
        <v>0.65909809095630345</v>
      </c>
      <c r="G78" s="365">
        <f t="shared" si="11"/>
        <v>0</v>
      </c>
      <c r="H78" s="362">
        <f t="shared" si="12"/>
        <v>0</v>
      </c>
      <c r="I78" s="365">
        <f t="shared" si="13"/>
        <v>0</v>
      </c>
      <c r="J78" s="362">
        <f t="shared" si="14"/>
        <v>0</v>
      </c>
      <c r="K78" s="357">
        <f t="shared" si="15"/>
        <v>0</v>
      </c>
      <c r="L78" s="361">
        <f t="shared" si="16"/>
        <v>0</v>
      </c>
      <c r="M78" s="112">
        <f>L78*D78*'B) D RI'!S79</f>
        <v>0</v>
      </c>
    </row>
    <row r="79" spans="1:13" x14ac:dyDescent="0.25">
      <c r="A79" s="288">
        <f>'A) Base RI'!A80</f>
        <v>5520</v>
      </c>
      <c r="B79" s="32" t="str">
        <f>'A) Base RI'!B80</f>
        <v>Essertines-sur-Yverdon</v>
      </c>
      <c r="C79" s="286">
        <f>'B) D RI'!U80</f>
        <v>31696.699178082192</v>
      </c>
      <c r="D79" s="32">
        <f>'B) D RI'!AA80</f>
        <v>1059</v>
      </c>
      <c r="E79" s="198">
        <f t="shared" si="9"/>
        <v>29.930782982136158</v>
      </c>
      <c r="F79" s="354">
        <f t="shared" si="10"/>
        <v>0.61855861923076083</v>
      </c>
      <c r="G79" s="365">
        <f t="shared" si="11"/>
        <v>0</v>
      </c>
      <c r="H79" s="362">
        <f t="shared" si="12"/>
        <v>0</v>
      </c>
      <c r="I79" s="365">
        <f t="shared" si="13"/>
        <v>0</v>
      </c>
      <c r="J79" s="362">
        <f t="shared" si="14"/>
        <v>0</v>
      </c>
      <c r="K79" s="357">
        <f t="shared" si="15"/>
        <v>0</v>
      </c>
      <c r="L79" s="361">
        <f t="shared" si="16"/>
        <v>0</v>
      </c>
      <c r="M79" s="112">
        <f>L79*D79*'B) D RI'!S80</f>
        <v>0</v>
      </c>
    </row>
    <row r="80" spans="1:13" x14ac:dyDescent="0.25">
      <c r="A80" s="288">
        <f>'A) Base RI'!A81</f>
        <v>5521</v>
      </c>
      <c r="B80" s="32" t="str">
        <f>'A) Base RI'!B81</f>
        <v>Etagnières</v>
      </c>
      <c r="C80" s="286">
        <f>'B) D RI'!U81</f>
        <v>42645.35479452055</v>
      </c>
      <c r="D80" s="32">
        <f>'B) D RI'!AA81</f>
        <v>1148</v>
      </c>
      <c r="E80" s="198">
        <f t="shared" si="9"/>
        <v>37.147521598014414</v>
      </c>
      <c r="F80" s="354">
        <f t="shared" si="10"/>
        <v>0.76770192350887612</v>
      </c>
      <c r="G80" s="365">
        <f t="shared" si="11"/>
        <v>0</v>
      </c>
      <c r="H80" s="362">
        <f t="shared" si="12"/>
        <v>0</v>
      </c>
      <c r="I80" s="365">
        <f t="shared" si="13"/>
        <v>0</v>
      </c>
      <c r="J80" s="362">
        <f t="shared" si="14"/>
        <v>0</v>
      </c>
      <c r="K80" s="357">
        <f t="shared" si="15"/>
        <v>0</v>
      </c>
      <c r="L80" s="361">
        <f t="shared" si="16"/>
        <v>0</v>
      </c>
      <c r="M80" s="112">
        <f>L80*D80*'B) D RI'!S81</f>
        <v>0</v>
      </c>
    </row>
    <row r="81" spans="1:13" x14ac:dyDescent="0.25">
      <c r="A81" s="288">
        <f>'A) Base RI'!A82</f>
        <v>5522</v>
      </c>
      <c r="B81" s="32" t="str">
        <f>'A) Base RI'!B82</f>
        <v>Fey</v>
      </c>
      <c r="C81" s="286">
        <f>'B) D RI'!U82</f>
        <v>23924.3328</v>
      </c>
      <c r="D81" s="32">
        <f>'B) D RI'!AA82</f>
        <v>754</v>
      </c>
      <c r="E81" s="198">
        <f t="shared" si="9"/>
        <v>31.729884350132625</v>
      </c>
      <c r="F81" s="354">
        <f t="shared" si="10"/>
        <v>0.65573939257398606</v>
      </c>
      <c r="G81" s="365">
        <f t="shared" si="11"/>
        <v>0</v>
      </c>
      <c r="H81" s="362">
        <f t="shared" si="12"/>
        <v>0</v>
      </c>
      <c r="I81" s="365">
        <f t="shared" si="13"/>
        <v>0</v>
      </c>
      <c r="J81" s="362">
        <f t="shared" si="14"/>
        <v>0</v>
      </c>
      <c r="K81" s="357">
        <f t="shared" si="15"/>
        <v>0</v>
      </c>
      <c r="L81" s="361">
        <f t="shared" si="16"/>
        <v>0</v>
      </c>
      <c r="M81" s="112">
        <f>L81*D81*'B) D RI'!S82</f>
        <v>0</v>
      </c>
    </row>
    <row r="82" spans="1:13" x14ac:dyDescent="0.25">
      <c r="A82" s="288">
        <f>'A) Base RI'!A83</f>
        <v>5523</v>
      </c>
      <c r="B82" s="32" t="str">
        <f>'A) Base RI'!B83</f>
        <v>Froideville</v>
      </c>
      <c r="C82" s="286">
        <f>'B) D RI'!U83</f>
        <v>93741.085555555546</v>
      </c>
      <c r="D82" s="32">
        <f>'B) D RI'!AA83</f>
        <v>2673</v>
      </c>
      <c r="E82" s="198">
        <f t="shared" si="9"/>
        <v>35.069616743567359</v>
      </c>
      <c r="F82" s="354">
        <f t="shared" si="10"/>
        <v>0.72475931293878892</v>
      </c>
      <c r="G82" s="365">
        <f t="shared" si="11"/>
        <v>0</v>
      </c>
      <c r="H82" s="362">
        <f t="shared" si="12"/>
        <v>0</v>
      </c>
      <c r="I82" s="365">
        <f t="shared" si="13"/>
        <v>0</v>
      </c>
      <c r="J82" s="362">
        <f t="shared" si="14"/>
        <v>0</v>
      </c>
      <c r="K82" s="357">
        <f t="shared" si="15"/>
        <v>0</v>
      </c>
      <c r="L82" s="361">
        <f t="shared" si="16"/>
        <v>0</v>
      </c>
      <c r="M82" s="112">
        <f>L82*D82*'B) D RI'!S83</f>
        <v>0</v>
      </c>
    </row>
    <row r="83" spans="1:13" x14ac:dyDescent="0.25">
      <c r="A83" s="288">
        <f>'A) Base RI'!A84</f>
        <v>5527</v>
      </c>
      <c r="B83" s="32" t="str">
        <f>'A) Base RI'!B84</f>
        <v>Morrens</v>
      </c>
      <c r="C83" s="286">
        <f>'B) D RI'!U84</f>
        <v>39310.302027027028</v>
      </c>
      <c r="D83" s="32">
        <f>'B) D RI'!AA84</f>
        <v>1156</v>
      </c>
      <c r="E83" s="198">
        <f t="shared" si="9"/>
        <v>34.005451580473206</v>
      </c>
      <c r="F83" s="354">
        <f t="shared" si="10"/>
        <v>0.70276695362397035</v>
      </c>
      <c r="G83" s="365">
        <f t="shared" si="11"/>
        <v>0</v>
      </c>
      <c r="H83" s="362">
        <f t="shared" si="12"/>
        <v>0</v>
      </c>
      <c r="I83" s="365">
        <f t="shared" si="13"/>
        <v>0</v>
      </c>
      <c r="J83" s="362">
        <f t="shared" si="14"/>
        <v>0</v>
      </c>
      <c r="K83" s="357">
        <f t="shared" si="15"/>
        <v>0</v>
      </c>
      <c r="L83" s="361">
        <f t="shared" si="16"/>
        <v>0</v>
      </c>
      <c r="M83" s="112">
        <f>L83*D83*'B) D RI'!S84</f>
        <v>0</v>
      </c>
    </row>
    <row r="84" spans="1:13" x14ac:dyDescent="0.25">
      <c r="A84" s="288">
        <f>'A) Base RI'!A85</f>
        <v>5529</v>
      </c>
      <c r="B84" s="32" t="str">
        <f>'A) Base RI'!B85</f>
        <v>Oulens-sous-Echallens</v>
      </c>
      <c r="C84" s="286">
        <f>'B) D RI'!U85</f>
        <v>21162.231857142859</v>
      </c>
      <c r="D84" s="32">
        <f>'B) D RI'!AA85</f>
        <v>619</v>
      </c>
      <c r="E84" s="198">
        <f t="shared" si="9"/>
        <v>34.187773597969077</v>
      </c>
      <c r="F84" s="354">
        <f t="shared" si="10"/>
        <v>0.70653487561468209</v>
      </c>
      <c r="G84" s="365">
        <f t="shared" si="11"/>
        <v>0</v>
      </c>
      <c r="H84" s="362">
        <f t="shared" si="12"/>
        <v>0</v>
      </c>
      <c r="I84" s="365">
        <f t="shared" si="13"/>
        <v>0</v>
      </c>
      <c r="J84" s="362">
        <f t="shared" si="14"/>
        <v>0</v>
      </c>
      <c r="K84" s="357">
        <f t="shared" si="15"/>
        <v>0</v>
      </c>
      <c r="L84" s="361">
        <f t="shared" si="16"/>
        <v>0</v>
      </c>
      <c r="M84" s="112">
        <f>L84*D84*'B) D RI'!S85</f>
        <v>0</v>
      </c>
    </row>
    <row r="85" spans="1:13" x14ac:dyDescent="0.25">
      <c r="A85" s="288">
        <f>'A) Base RI'!A86</f>
        <v>5530</v>
      </c>
      <c r="B85" s="32" t="str">
        <f>'A) Base RI'!B86</f>
        <v>Pailly</v>
      </c>
      <c r="C85" s="286">
        <f>'B) D RI'!U86</f>
        <v>19305.859890350872</v>
      </c>
      <c r="D85" s="32">
        <f>'B) D RI'!AA86</f>
        <v>575</v>
      </c>
      <c r="E85" s="198">
        <f t="shared" si="9"/>
        <v>33.575408504958041</v>
      </c>
      <c r="F85" s="354">
        <f t="shared" si="10"/>
        <v>0.69387955327900863</v>
      </c>
      <c r="G85" s="365">
        <f t="shared" si="11"/>
        <v>0</v>
      </c>
      <c r="H85" s="362">
        <f t="shared" si="12"/>
        <v>0</v>
      </c>
      <c r="I85" s="365">
        <f t="shared" si="13"/>
        <v>0</v>
      </c>
      <c r="J85" s="362">
        <f t="shared" si="14"/>
        <v>0</v>
      </c>
      <c r="K85" s="357">
        <f t="shared" si="15"/>
        <v>0</v>
      </c>
      <c r="L85" s="361">
        <f t="shared" si="16"/>
        <v>0</v>
      </c>
      <c r="M85" s="112">
        <f>L85*D85*'B) D RI'!S86</f>
        <v>0</v>
      </c>
    </row>
    <row r="86" spans="1:13" x14ac:dyDescent="0.25">
      <c r="A86" s="288">
        <f>'A) Base RI'!A87</f>
        <v>5531</v>
      </c>
      <c r="B86" s="32" t="str">
        <f>'A) Base RI'!B87</f>
        <v>Penthéréaz</v>
      </c>
      <c r="C86" s="286">
        <f>'B) D RI'!U87</f>
        <v>14300.817432432432</v>
      </c>
      <c r="D86" s="32">
        <f>'B) D RI'!AA87</f>
        <v>417</v>
      </c>
      <c r="E86" s="198">
        <f t="shared" si="9"/>
        <v>34.294526216864348</v>
      </c>
      <c r="F86" s="354">
        <f t="shared" si="10"/>
        <v>0.70874105754391981</v>
      </c>
      <c r="G86" s="365">
        <f t="shared" si="11"/>
        <v>0</v>
      </c>
      <c r="H86" s="362">
        <f t="shared" si="12"/>
        <v>0</v>
      </c>
      <c r="I86" s="365">
        <f t="shared" si="13"/>
        <v>0</v>
      </c>
      <c r="J86" s="362">
        <f t="shared" si="14"/>
        <v>0</v>
      </c>
      <c r="K86" s="357">
        <f t="shared" si="15"/>
        <v>0</v>
      </c>
      <c r="L86" s="361">
        <f t="shared" si="16"/>
        <v>0</v>
      </c>
      <c r="M86" s="112">
        <f>L86*D86*'B) D RI'!S87</f>
        <v>0</v>
      </c>
    </row>
    <row r="87" spans="1:13" x14ac:dyDescent="0.25">
      <c r="A87" s="288">
        <f>'A) Base RI'!A88</f>
        <v>5533</v>
      </c>
      <c r="B87" s="32" t="str">
        <f>'A) Base RI'!B88</f>
        <v>Poliez-Pittet</v>
      </c>
      <c r="C87" s="286">
        <f>'B) D RI'!U88</f>
        <v>27502.031917808214</v>
      </c>
      <c r="D87" s="32">
        <f>'B) D RI'!AA88</f>
        <v>833</v>
      </c>
      <c r="E87" s="198">
        <f t="shared" si="9"/>
        <v>33.015644559193532</v>
      </c>
      <c r="F87" s="354">
        <f t="shared" si="10"/>
        <v>0.68231130217131419</v>
      </c>
      <c r="G87" s="365">
        <f t="shared" si="11"/>
        <v>0</v>
      </c>
      <c r="H87" s="362">
        <f t="shared" si="12"/>
        <v>0</v>
      </c>
      <c r="I87" s="365">
        <f t="shared" si="13"/>
        <v>0</v>
      </c>
      <c r="J87" s="362">
        <f t="shared" si="14"/>
        <v>0</v>
      </c>
      <c r="K87" s="357">
        <f t="shared" si="15"/>
        <v>0</v>
      </c>
      <c r="L87" s="361">
        <f t="shared" si="16"/>
        <v>0</v>
      </c>
      <c r="M87" s="112">
        <f>L87*D87*'B) D RI'!S88</f>
        <v>0</v>
      </c>
    </row>
    <row r="88" spans="1:13" x14ac:dyDescent="0.25">
      <c r="A88" s="288">
        <f>'A) Base RI'!A89</f>
        <v>5534</v>
      </c>
      <c r="B88" s="32" t="str">
        <f>'A) Base RI'!B89</f>
        <v>Rueyres</v>
      </c>
      <c r="C88" s="286">
        <f>'B) D RI'!U89</f>
        <v>13106.991872146118</v>
      </c>
      <c r="D88" s="32">
        <f>'B) D RI'!AA89</f>
        <v>304</v>
      </c>
      <c r="E88" s="198">
        <f t="shared" si="9"/>
        <v>43.115104842585914</v>
      </c>
      <c r="F88" s="354">
        <f t="shared" si="10"/>
        <v>0.89102980484461936</v>
      </c>
      <c r="G88" s="365">
        <f t="shared" si="11"/>
        <v>0</v>
      </c>
      <c r="H88" s="362">
        <f t="shared" si="12"/>
        <v>0</v>
      </c>
      <c r="I88" s="365">
        <f t="shared" si="13"/>
        <v>0</v>
      </c>
      <c r="J88" s="362">
        <f t="shared" si="14"/>
        <v>0</v>
      </c>
      <c r="K88" s="357">
        <f t="shared" si="15"/>
        <v>0</v>
      </c>
      <c r="L88" s="361">
        <f t="shared" si="16"/>
        <v>0</v>
      </c>
      <c r="M88" s="112">
        <f>L88*D88*'B) D RI'!S89</f>
        <v>0</v>
      </c>
    </row>
    <row r="89" spans="1:13" x14ac:dyDescent="0.25">
      <c r="A89" s="288">
        <f>'A) Base RI'!A90</f>
        <v>5535</v>
      </c>
      <c r="B89" s="32" t="str">
        <f>'A) Base RI'!B90</f>
        <v>Saint-Barthélemy</v>
      </c>
      <c r="C89" s="286">
        <f>'B) D RI'!U90</f>
        <v>25080.318533333328</v>
      </c>
      <c r="D89" s="32">
        <f>'B) D RI'!AA90</f>
        <v>809</v>
      </c>
      <c r="E89" s="198">
        <f t="shared" si="9"/>
        <v>31.001629831067152</v>
      </c>
      <c r="F89" s="354">
        <f t="shared" si="10"/>
        <v>0.64068906428719996</v>
      </c>
      <c r="G89" s="365">
        <f t="shared" si="11"/>
        <v>0</v>
      </c>
      <c r="H89" s="362">
        <f t="shared" si="12"/>
        <v>0</v>
      </c>
      <c r="I89" s="365">
        <f t="shared" si="13"/>
        <v>0</v>
      </c>
      <c r="J89" s="362">
        <f t="shared" si="14"/>
        <v>0</v>
      </c>
      <c r="K89" s="357">
        <f t="shared" si="15"/>
        <v>0</v>
      </c>
      <c r="L89" s="361">
        <f t="shared" si="16"/>
        <v>0</v>
      </c>
      <c r="M89" s="112">
        <f>L89*D89*'B) D RI'!S90</f>
        <v>0</v>
      </c>
    </row>
    <row r="90" spans="1:13" x14ac:dyDescent="0.25">
      <c r="A90" s="288">
        <f>'A) Base RI'!A91</f>
        <v>5537</v>
      </c>
      <c r="B90" s="32" t="str">
        <f>'A) Base RI'!B91</f>
        <v>Villars-le-Terroir</v>
      </c>
      <c r="C90" s="286">
        <f>'B) D RI'!U91</f>
        <v>42917.816052631584</v>
      </c>
      <c r="D90" s="32">
        <f>'B) D RI'!AA91</f>
        <v>1316</v>
      </c>
      <c r="E90" s="198">
        <f t="shared" si="9"/>
        <v>32.612322228443453</v>
      </c>
      <c r="F90" s="354">
        <f t="shared" si="10"/>
        <v>0.67397612082431779</v>
      </c>
      <c r="G90" s="365">
        <f t="shared" si="11"/>
        <v>0</v>
      </c>
      <c r="H90" s="362">
        <f t="shared" si="12"/>
        <v>0</v>
      </c>
      <c r="I90" s="365">
        <f t="shared" si="13"/>
        <v>0</v>
      </c>
      <c r="J90" s="362">
        <f t="shared" si="14"/>
        <v>0</v>
      </c>
      <c r="K90" s="357">
        <f t="shared" si="15"/>
        <v>0</v>
      </c>
      <c r="L90" s="361">
        <f t="shared" si="16"/>
        <v>0</v>
      </c>
      <c r="M90" s="112">
        <f>L90*D90*'B) D RI'!S91</f>
        <v>0</v>
      </c>
    </row>
    <row r="91" spans="1:13" x14ac:dyDescent="0.25">
      <c r="A91" s="288">
        <f>'A) Base RI'!A92</f>
        <v>5539</v>
      </c>
      <c r="B91" s="32" t="str">
        <f>'A) Base RI'!B92</f>
        <v>Vuarrens</v>
      </c>
      <c r="C91" s="286">
        <f>'B) D RI'!U92</f>
        <v>34558.047482993185</v>
      </c>
      <c r="D91" s="32">
        <f>'B) D RI'!AA92</f>
        <v>1097</v>
      </c>
      <c r="E91" s="198">
        <f t="shared" si="9"/>
        <v>31.502322226976467</v>
      </c>
      <c r="F91" s="354">
        <f t="shared" si="10"/>
        <v>0.65103652486843011</v>
      </c>
      <c r="G91" s="365">
        <f t="shared" si="11"/>
        <v>0</v>
      </c>
      <c r="H91" s="362">
        <f t="shared" si="12"/>
        <v>0</v>
      </c>
      <c r="I91" s="365">
        <f t="shared" si="13"/>
        <v>0</v>
      </c>
      <c r="J91" s="362">
        <f t="shared" si="14"/>
        <v>0</v>
      </c>
      <c r="K91" s="357">
        <f t="shared" si="15"/>
        <v>0</v>
      </c>
      <c r="L91" s="361">
        <f t="shared" si="16"/>
        <v>0</v>
      </c>
      <c r="M91" s="112">
        <f>L91*D91*'B) D RI'!S92</f>
        <v>0</v>
      </c>
    </row>
    <row r="92" spans="1:13" x14ac:dyDescent="0.25">
      <c r="A92" s="288">
        <f>'A) Base RI'!A93</f>
        <v>5540</v>
      </c>
      <c r="B92" s="32" t="str">
        <f>'A) Base RI'!B93</f>
        <v>Montilliez</v>
      </c>
      <c r="C92" s="286">
        <f>'B) D RI'!U93</f>
        <v>63315.990655172413</v>
      </c>
      <c r="D92" s="32">
        <f>'B) D RI'!AA93</f>
        <v>1883</v>
      </c>
      <c r="E92" s="198">
        <f t="shared" si="9"/>
        <v>33.62506142069698</v>
      </c>
      <c r="F92" s="354">
        <f t="shared" si="10"/>
        <v>0.69490569546241188</v>
      </c>
      <c r="G92" s="365">
        <f t="shared" si="11"/>
        <v>0</v>
      </c>
      <c r="H92" s="362">
        <f t="shared" si="12"/>
        <v>0</v>
      </c>
      <c r="I92" s="365">
        <f t="shared" si="13"/>
        <v>0</v>
      </c>
      <c r="J92" s="362">
        <f t="shared" si="14"/>
        <v>0</v>
      </c>
      <c r="K92" s="357">
        <f t="shared" si="15"/>
        <v>0</v>
      </c>
      <c r="L92" s="361">
        <f t="shared" si="16"/>
        <v>0</v>
      </c>
      <c r="M92" s="112">
        <f>L92*D92*'B) D RI'!S93</f>
        <v>0</v>
      </c>
    </row>
    <row r="93" spans="1:13" x14ac:dyDescent="0.25">
      <c r="A93" s="288">
        <f>'A) Base RI'!A94</f>
        <v>5541</v>
      </c>
      <c r="B93" s="32" t="str">
        <f>'A) Base RI'!B94</f>
        <v>Goumoëns</v>
      </c>
      <c r="C93" s="286">
        <f>'B) D RI'!U94</f>
        <v>41279.032715231784</v>
      </c>
      <c r="D93" s="32">
        <f>'B) D RI'!AA94</f>
        <v>1166</v>
      </c>
      <c r="E93" s="198">
        <f t="shared" si="9"/>
        <v>35.402257903286262</v>
      </c>
      <c r="F93" s="354">
        <f t="shared" si="10"/>
        <v>0.73163377581461309</v>
      </c>
      <c r="G93" s="365">
        <f t="shared" si="11"/>
        <v>0</v>
      </c>
      <c r="H93" s="362">
        <f t="shared" si="12"/>
        <v>0</v>
      </c>
      <c r="I93" s="365">
        <f t="shared" si="13"/>
        <v>0</v>
      </c>
      <c r="J93" s="362">
        <f t="shared" si="14"/>
        <v>0</v>
      </c>
      <c r="K93" s="357">
        <f t="shared" si="15"/>
        <v>0</v>
      </c>
      <c r="L93" s="361">
        <f t="shared" si="16"/>
        <v>0</v>
      </c>
      <c r="M93" s="112">
        <f>L93*D93*'B) D RI'!S94</f>
        <v>0</v>
      </c>
    </row>
    <row r="94" spans="1:13" x14ac:dyDescent="0.25">
      <c r="A94" s="288">
        <f>'A) Base RI'!A95</f>
        <v>5551</v>
      </c>
      <c r="B94" s="32" t="str">
        <f>'A) Base RI'!B95</f>
        <v>Bonvillars</v>
      </c>
      <c r="C94" s="286">
        <f>'B) D RI'!U95</f>
        <v>18707.412</v>
      </c>
      <c r="D94" s="32">
        <f>'B) D RI'!AA95</f>
        <v>481</v>
      </c>
      <c r="E94" s="198">
        <f t="shared" si="9"/>
        <v>38.892748440748441</v>
      </c>
      <c r="F94" s="354">
        <f t="shared" si="10"/>
        <v>0.80376930960867587</v>
      </c>
      <c r="G94" s="365">
        <f t="shared" si="11"/>
        <v>0</v>
      </c>
      <c r="H94" s="362">
        <f t="shared" si="12"/>
        <v>0</v>
      </c>
      <c r="I94" s="365">
        <f t="shared" si="13"/>
        <v>0</v>
      </c>
      <c r="J94" s="362">
        <f t="shared" si="14"/>
        <v>0</v>
      </c>
      <c r="K94" s="357">
        <f t="shared" si="15"/>
        <v>0</v>
      </c>
      <c r="L94" s="361">
        <f t="shared" si="16"/>
        <v>0</v>
      </c>
      <c r="M94" s="112">
        <f>L94*D94*'B) D RI'!S95</f>
        <v>0</v>
      </c>
    </row>
    <row r="95" spans="1:13" x14ac:dyDescent="0.25">
      <c r="A95" s="288">
        <f>'A) Base RI'!A96</f>
        <v>5552</v>
      </c>
      <c r="B95" s="32" t="str">
        <f>'A) Base RI'!B96</f>
        <v>Bullet</v>
      </c>
      <c r="C95" s="286">
        <f>'B) D RI'!U96</f>
        <v>19599.59230769231</v>
      </c>
      <c r="D95" s="32">
        <f>'B) D RI'!AA96</f>
        <v>657</v>
      </c>
      <c r="E95" s="198">
        <f t="shared" si="9"/>
        <v>29.831951762088753</v>
      </c>
      <c r="F95" s="354">
        <f t="shared" si="10"/>
        <v>0.61651614332741078</v>
      </c>
      <c r="G95" s="365">
        <f t="shared" si="11"/>
        <v>0</v>
      </c>
      <c r="H95" s="362">
        <f t="shared" si="12"/>
        <v>0</v>
      </c>
      <c r="I95" s="365">
        <f t="shared" si="13"/>
        <v>0</v>
      </c>
      <c r="J95" s="362">
        <f t="shared" si="14"/>
        <v>0</v>
      </c>
      <c r="K95" s="357">
        <f t="shared" si="15"/>
        <v>0</v>
      </c>
      <c r="L95" s="361">
        <f t="shared" si="16"/>
        <v>0</v>
      </c>
      <c r="M95" s="112">
        <f>L95*D95*'B) D RI'!S96</f>
        <v>0</v>
      </c>
    </row>
    <row r="96" spans="1:13" x14ac:dyDescent="0.25">
      <c r="A96" s="288">
        <f>'A) Base RI'!A97</f>
        <v>5553</v>
      </c>
      <c r="B96" s="32" t="str">
        <f>'A) Base RI'!B97</f>
        <v>Champagne</v>
      </c>
      <c r="C96" s="286">
        <f>'B) D RI'!U97</f>
        <v>40087.525538461538</v>
      </c>
      <c r="D96" s="32">
        <f>'B) D RI'!AA97</f>
        <v>1085</v>
      </c>
      <c r="E96" s="198">
        <f t="shared" si="9"/>
        <v>36.947028146047501</v>
      </c>
      <c r="F96" s="354">
        <f t="shared" si="10"/>
        <v>0.76355846515406189</v>
      </c>
      <c r="G96" s="365">
        <f t="shared" si="11"/>
        <v>0</v>
      </c>
      <c r="H96" s="362">
        <f t="shared" si="12"/>
        <v>0</v>
      </c>
      <c r="I96" s="365">
        <f t="shared" si="13"/>
        <v>0</v>
      </c>
      <c r="J96" s="362">
        <f t="shared" si="14"/>
        <v>0</v>
      </c>
      <c r="K96" s="357">
        <f t="shared" si="15"/>
        <v>0</v>
      </c>
      <c r="L96" s="361">
        <f t="shared" si="16"/>
        <v>0</v>
      </c>
      <c r="M96" s="112">
        <f>L96*D96*'B) D RI'!S97</f>
        <v>0</v>
      </c>
    </row>
    <row r="97" spans="1:13" x14ac:dyDescent="0.25">
      <c r="A97" s="288">
        <f>'A) Base RI'!A98</f>
        <v>5554</v>
      </c>
      <c r="B97" s="32" t="str">
        <f>'A) Base RI'!B98</f>
        <v>Concise</v>
      </c>
      <c r="C97" s="286">
        <f>'B) D RI'!U98</f>
        <v>31501.78373333333</v>
      </c>
      <c r="D97" s="32">
        <f>'B) D RI'!AA98</f>
        <v>1004</v>
      </c>
      <c r="E97" s="198">
        <f t="shared" si="9"/>
        <v>31.376278618857899</v>
      </c>
      <c r="F97" s="354">
        <f t="shared" si="10"/>
        <v>0.64843166951776265</v>
      </c>
      <c r="G97" s="365">
        <f t="shared" si="11"/>
        <v>0</v>
      </c>
      <c r="H97" s="362">
        <f t="shared" si="12"/>
        <v>0</v>
      </c>
      <c r="I97" s="365">
        <f t="shared" si="13"/>
        <v>0</v>
      </c>
      <c r="J97" s="362">
        <f t="shared" si="14"/>
        <v>0</v>
      </c>
      <c r="K97" s="357">
        <f t="shared" si="15"/>
        <v>0</v>
      </c>
      <c r="L97" s="361">
        <f t="shared" si="16"/>
        <v>0</v>
      </c>
      <c r="M97" s="112">
        <f>L97*D97*'B) D RI'!S98</f>
        <v>0</v>
      </c>
    </row>
    <row r="98" spans="1:13" x14ac:dyDescent="0.25">
      <c r="A98" s="288">
        <f>'A) Base RI'!A99</f>
        <v>5555</v>
      </c>
      <c r="B98" s="32" t="str">
        <f>'A) Base RI'!B99</f>
        <v>Corcelles-près-Concise</v>
      </c>
      <c r="C98" s="286">
        <f>'B) D RI'!U99</f>
        <v>13878.246956521738</v>
      </c>
      <c r="D98" s="32">
        <f>'B) D RI'!AA99</f>
        <v>417</v>
      </c>
      <c r="E98" s="198">
        <f t="shared" si="9"/>
        <v>33.281167761443015</v>
      </c>
      <c r="F98" s="354">
        <f t="shared" si="10"/>
        <v>0.68779868502578867</v>
      </c>
      <c r="G98" s="365">
        <f t="shared" si="11"/>
        <v>0</v>
      </c>
      <c r="H98" s="362">
        <f t="shared" si="12"/>
        <v>0</v>
      </c>
      <c r="I98" s="365">
        <f t="shared" si="13"/>
        <v>0</v>
      </c>
      <c r="J98" s="362">
        <f t="shared" si="14"/>
        <v>0</v>
      </c>
      <c r="K98" s="357">
        <f t="shared" si="15"/>
        <v>0</v>
      </c>
      <c r="L98" s="361">
        <f t="shared" si="16"/>
        <v>0</v>
      </c>
      <c r="M98" s="112">
        <f>L98*D98*'B) D RI'!S99</f>
        <v>0</v>
      </c>
    </row>
    <row r="99" spans="1:13" x14ac:dyDescent="0.25">
      <c r="A99" s="288">
        <f>'A) Base RI'!A100</f>
        <v>5556</v>
      </c>
      <c r="B99" s="32" t="str">
        <f>'A) Base RI'!B100</f>
        <v>Fiez</v>
      </c>
      <c r="C99" s="286">
        <f>'B) D RI'!U100</f>
        <v>14577.66780193237</v>
      </c>
      <c r="D99" s="32">
        <f>'B) D RI'!AA100</f>
        <v>442</v>
      </c>
      <c r="E99" s="198">
        <f t="shared" si="9"/>
        <v>32.981148873150161</v>
      </c>
      <c r="F99" s="354">
        <f t="shared" si="10"/>
        <v>0.68159840388391757</v>
      </c>
      <c r="G99" s="365">
        <f t="shared" si="11"/>
        <v>0</v>
      </c>
      <c r="H99" s="362">
        <f t="shared" si="12"/>
        <v>0</v>
      </c>
      <c r="I99" s="365">
        <f t="shared" si="13"/>
        <v>0</v>
      </c>
      <c r="J99" s="362">
        <f t="shared" si="14"/>
        <v>0</v>
      </c>
      <c r="K99" s="357">
        <f t="shared" si="15"/>
        <v>0</v>
      </c>
      <c r="L99" s="361">
        <f t="shared" si="16"/>
        <v>0</v>
      </c>
      <c r="M99" s="112">
        <f>L99*D99*'B) D RI'!S100</f>
        <v>0</v>
      </c>
    </row>
    <row r="100" spans="1:13" x14ac:dyDescent="0.25">
      <c r="A100" s="288">
        <f>'A) Base RI'!A101</f>
        <v>5557</v>
      </c>
      <c r="B100" s="32" t="str">
        <f>'A) Base RI'!B101</f>
        <v>Fontaines-sur-Grandson</v>
      </c>
      <c r="C100" s="286">
        <f>'B) D RI'!U101</f>
        <v>4232.7450724637674</v>
      </c>
      <c r="D100" s="32">
        <f>'B) D RI'!AA101</f>
        <v>220</v>
      </c>
      <c r="E100" s="198">
        <f t="shared" si="9"/>
        <v>19.239750329380762</v>
      </c>
      <c r="F100" s="354">
        <f t="shared" si="10"/>
        <v>0.39761450294131173</v>
      </c>
      <c r="G100" s="365">
        <f t="shared" si="11"/>
        <v>0</v>
      </c>
      <c r="H100" s="362">
        <f t="shared" si="12"/>
        <v>0</v>
      </c>
      <c r="I100" s="365">
        <f t="shared" si="13"/>
        <v>0</v>
      </c>
      <c r="J100" s="362">
        <f t="shared" si="14"/>
        <v>0</v>
      </c>
      <c r="K100" s="357">
        <f t="shared" si="15"/>
        <v>0</v>
      </c>
      <c r="L100" s="361">
        <f t="shared" si="16"/>
        <v>0</v>
      </c>
      <c r="M100" s="112">
        <f>L100*D100*'B) D RI'!S101</f>
        <v>0</v>
      </c>
    </row>
    <row r="101" spans="1:13" x14ac:dyDescent="0.25">
      <c r="A101" s="288">
        <f>'A) Base RI'!A102</f>
        <v>5559</v>
      </c>
      <c r="B101" s="32" t="str">
        <f>'A) Base RI'!B102</f>
        <v>Giez</v>
      </c>
      <c r="C101" s="286">
        <f>'B) D RI'!U102</f>
        <v>23436.990303030303</v>
      </c>
      <c r="D101" s="32">
        <f>'B) D RI'!AA102</f>
        <v>443</v>
      </c>
      <c r="E101" s="198">
        <f t="shared" si="9"/>
        <v>52.905169984267047</v>
      </c>
      <c r="F101" s="354">
        <f t="shared" si="10"/>
        <v>1.0933542538853203</v>
      </c>
      <c r="G101" s="365">
        <f t="shared" si="11"/>
        <v>4.5172208851856013</v>
      </c>
      <c r="H101" s="362">
        <f t="shared" si="12"/>
        <v>0</v>
      </c>
      <c r="I101" s="365">
        <f t="shared" si="13"/>
        <v>0</v>
      </c>
      <c r="J101" s="362">
        <f t="shared" si="14"/>
        <v>0</v>
      </c>
      <c r="K101" s="357">
        <f t="shared" si="15"/>
        <v>0</v>
      </c>
      <c r="L101" s="361">
        <f t="shared" si="16"/>
        <v>0.90344417703712032</v>
      </c>
      <c r="M101" s="112">
        <f>L101*D101*'B) D RI'!S102</f>
        <v>26414.90084821132</v>
      </c>
    </row>
    <row r="102" spans="1:13" x14ac:dyDescent="0.25">
      <c r="A102" s="288">
        <f>'A) Base RI'!A103</f>
        <v>5560</v>
      </c>
      <c r="B102" s="32" t="str">
        <f>'A) Base RI'!B103</f>
        <v>Grandevent</v>
      </c>
      <c r="C102" s="286">
        <f>'B) D RI'!U103</f>
        <v>7003.7466176470589</v>
      </c>
      <c r="D102" s="32">
        <f>'B) D RI'!AA103</f>
        <v>238</v>
      </c>
      <c r="E102" s="198">
        <f t="shared" si="9"/>
        <v>29.427506796836383</v>
      </c>
      <c r="F102" s="354">
        <f t="shared" si="10"/>
        <v>0.60815776127604071</v>
      </c>
      <c r="G102" s="365">
        <f t="shared" si="11"/>
        <v>0</v>
      </c>
      <c r="H102" s="362">
        <f t="shared" si="12"/>
        <v>0</v>
      </c>
      <c r="I102" s="365">
        <f t="shared" si="13"/>
        <v>0</v>
      </c>
      <c r="J102" s="362">
        <f t="shared" si="14"/>
        <v>0</v>
      </c>
      <c r="K102" s="357">
        <f t="shared" si="15"/>
        <v>0</v>
      </c>
      <c r="L102" s="361">
        <f t="shared" si="16"/>
        <v>0</v>
      </c>
      <c r="M102" s="112">
        <f>L102*D102*'B) D RI'!S103</f>
        <v>0</v>
      </c>
    </row>
    <row r="103" spans="1:13" x14ac:dyDescent="0.25">
      <c r="A103" s="288">
        <f>'A) Base RI'!A104</f>
        <v>5561</v>
      </c>
      <c r="B103" s="32" t="str">
        <f>'A) Base RI'!B104</f>
        <v>Grandson</v>
      </c>
      <c r="C103" s="286">
        <f>'B) D RI'!U104</f>
        <v>114506.05043478261</v>
      </c>
      <c r="D103" s="32">
        <f>'B) D RI'!AA104</f>
        <v>3366</v>
      </c>
      <c r="E103" s="198">
        <f t="shared" si="9"/>
        <v>34.018434472603268</v>
      </c>
      <c r="F103" s="354">
        <f t="shared" si="10"/>
        <v>0.7030352620018161</v>
      </c>
      <c r="G103" s="365">
        <f t="shared" si="11"/>
        <v>0</v>
      </c>
      <c r="H103" s="362">
        <f t="shared" si="12"/>
        <v>0</v>
      </c>
      <c r="I103" s="365">
        <f t="shared" si="13"/>
        <v>0</v>
      </c>
      <c r="J103" s="362">
        <f t="shared" si="14"/>
        <v>0</v>
      </c>
      <c r="K103" s="357">
        <f t="shared" si="15"/>
        <v>0</v>
      </c>
      <c r="L103" s="361">
        <f t="shared" si="16"/>
        <v>0</v>
      </c>
      <c r="M103" s="112">
        <f>L103*D103*'B) D RI'!S104</f>
        <v>0</v>
      </c>
    </row>
    <row r="104" spans="1:13" x14ac:dyDescent="0.25">
      <c r="A104" s="288">
        <f>'A) Base RI'!A105</f>
        <v>5562</v>
      </c>
      <c r="B104" s="32" t="str">
        <f>'A) Base RI'!B105</f>
        <v>Mauborget</v>
      </c>
      <c r="C104" s="286">
        <f>'B) D RI'!U105</f>
        <v>6099.4916904761894</v>
      </c>
      <c r="D104" s="32">
        <f>'B) D RI'!AA105</f>
        <v>137</v>
      </c>
      <c r="E104" s="198">
        <f t="shared" si="9"/>
        <v>44.521837156760505</v>
      </c>
      <c r="F104" s="354">
        <f t="shared" si="10"/>
        <v>0.92010176057669835</v>
      </c>
      <c r="G104" s="365">
        <f t="shared" si="11"/>
        <v>0</v>
      </c>
      <c r="H104" s="362">
        <f t="shared" si="12"/>
        <v>0</v>
      </c>
      <c r="I104" s="365">
        <f t="shared" si="13"/>
        <v>0</v>
      </c>
      <c r="J104" s="362">
        <f t="shared" si="14"/>
        <v>0</v>
      </c>
      <c r="K104" s="357">
        <f t="shared" si="15"/>
        <v>0</v>
      </c>
      <c r="L104" s="361">
        <f t="shared" si="16"/>
        <v>0</v>
      </c>
      <c r="M104" s="112">
        <f>L104*D104*'B) D RI'!S105</f>
        <v>0</v>
      </c>
    </row>
    <row r="105" spans="1:13" x14ac:dyDescent="0.25">
      <c r="A105" s="288">
        <f>'A) Base RI'!A106</f>
        <v>5563</v>
      </c>
      <c r="B105" s="32" t="str">
        <f>'A) Base RI'!B106</f>
        <v>Mutrux</v>
      </c>
      <c r="C105" s="286">
        <f>'B) D RI'!U106</f>
        <v>4282.2314999999999</v>
      </c>
      <c r="D105" s="32">
        <f>'B) D RI'!AA106</f>
        <v>151</v>
      </c>
      <c r="E105" s="198">
        <f t="shared" si="9"/>
        <v>28.359149006622516</v>
      </c>
      <c r="F105" s="354">
        <f t="shared" si="10"/>
        <v>0.58607875586032765</v>
      </c>
      <c r="G105" s="365">
        <f t="shared" si="11"/>
        <v>0</v>
      </c>
      <c r="H105" s="362">
        <f t="shared" si="12"/>
        <v>0</v>
      </c>
      <c r="I105" s="365">
        <f t="shared" si="13"/>
        <v>0</v>
      </c>
      <c r="J105" s="362">
        <f t="shared" si="14"/>
        <v>0</v>
      </c>
      <c r="K105" s="357">
        <f t="shared" si="15"/>
        <v>0</v>
      </c>
      <c r="L105" s="361">
        <f t="shared" si="16"/>
        <v>0</v>
      </c>
      <c r="M105" s="112">
        <f>L105*D105*'B) D RI'!S106</f>
        <v>0</v>
      </c>
    </row>
    <row r="106" spans="1:13" x14ac:dyDescent="0.25">
      <c r="A106" s="288">
        <f>'A) Base RI'!A107</f>
        <v>5564</v>
      </c>
      <c r="B106" s="32" t="str">
        <f>'A) Base RI'!B107</f>
        <v>Novalles</v>
      </c>
      <c r="C106" s="286">
        <f>'B) D RI'!U107</f>
        <v>2099.5480592105264</v>
      </c>
      <c r="D106" s="32">
        <f>'B) D RI'!AA107</f>
        <v>103</v>
      </c>
      <c r="E106" s="198">
        <f t="shared" si="9"/>
        <v>20.383961739908024</v>
      </c>
      <c r="F106" s="354">
        <f t="shared" si="10"/>
        <v>0.42126112223043105</v>
      </c>
      <c r="G106" s="365">
        <f t="shared" si="11"/>
        <v>0</v>
      </c>
      <c r="H106" s="362">
        <f t="shared" si="12"/>
        <v>0</v>
      </c>
      <c r="I106" s="365">
        <f t="shared" si="13"/>
        <v>0</v>
      </c>
      <c r="J106" s="362">
        <f t="shared" si="14"/>
        <v>0</v>
      </c>
      <c r="K106" s="357">
        <f t="shared" si="15"/>
        <v>0</v>
      </c>
      <c r="L106" s="361">
        <f t="shared" si="16"/>
        <v>0</v>
      </c>
      <c r="M106" s="112">
        <f>L106*D106*'B) D RI'!S107</f>
        <v>0</v>
      </c>
    </row>
    <row r="107" spans="1:13" x14ac:dyDescent="0.25">
      <c r="A107" s="288">
        <f>'A) Base RI'!A108</f>
        <v>5565</v>
      </c>
      <c r="B107" s="32" t="str">
        <f>'A) Base RI'!B108</f>
        <v>Onnens</v>
      </c>
      <c r="C107" s="286">
        <f>'B) D RI'!U108</f>
        <v>22703.427716535429</v>
      </c>
      <c r="D107" s="32">
        <f>'B) D RI'!AA108</f>
        <v>495</v>
      </c>
      <c r="E107" s="198">
        <f t="shared" si="9"/>
        <v>45.86551053845541</v>
      </c>
      <c r="F107" s="354">
        <f t="shared" si="10"/>
        <v>0.94787052132627136</v>
      </c>
      <c r="G107" s="365">
        <f t="shared" si="11"/>
        <v>0</v>
      </c>
      <c r="H107" s="362">
        <f t="shared" si="12"/>
        <v>0</v>
      </c>
      <c r="I107" s="365">
        <f t="shared" si="13"/>
        <v>0</v>
      </c>
      <c r="J107" s="362">
        <f t="shared" si="14"/>
        <v>0</v>
      </c>
      <c r="K107" s="357">
        <f t="shared" si="15"/>
        <v>0</v>
      </c>
      <c r="L107" s="361">
        <f t="shared" si="16"/>
        <v>0</v>
      </c>
      <c r="M107" s="112">
        <f>L107*D107*'B) D RI'!S108</f>
        <v>0</v>
      </c>
    </row>
    <row r="108" spans="1:13" x14ac:dyDescent="0.25">
      <c r="A108" s="288">
        <f>'A) Base RI'!A109</f>
        <v>5566</v>
      </c>
      <c r="B108" s="32" t="str">
        <f>'A) Base RI'!B109</f>
        <v>Provence</v>
      </c>
      <c r="C108" s="286">
        <f>'B) D RI'!U109</f>
        <v>9377.8413580246925</v>
      </c>
      <c r="D108" s="32">
        <f>'B) D RI'!AA109</f>
        <v>403</v>
      </c>
      <c r="E108" s="198">
        <f t="shared" si="9"/>
        <v>23.270077811475662</v>
      </c>
      <c r="F108" s="354">
        <f t="shared" si="10"/>
        <v>0.48090647040705847</v>
      </c>
      <c r="G108" s="365">
        <f t="shared" si="11"/>
        <v>0</v>
      </c>
      <c r="H108" s="362">
        <f t="shared" si="12"/>
        <v>0</v>
      </c>
      <c r="I108" s="365">
        <f t="shared" si="13"/>
        <v>0</v>
      </c>
      <c r="J108" s="362">
        <f t="shared" si="14"/>
        <v>0</v>
      </c>
      <c r="K108" s="357">
        <f t="shared" si="15"/>
        <v>0</v>
      </c>
      <c r="L108" s="361">
        <f t="shared" si="16"/>
        <v>0</v>
      </c>
      <c r="M108" s="112">
        <f>L108*D108*'B) D RI'!S109</f>
        <v>0</v>
      </c>
    </row>
    <row r="109" spans="1:13" x14ac:dyDescent="0.25">
      <c r="A109" s="288">
        <f>'A) Base RI'!A110</f>
        <v>5568</v>
      </c>
      <c r="B109" s="32" t="str">
        <f>'A) Base RI'!B110</f>
        <v>Sainte-Croix</v>
      </c>
      <c r="C109" s="286">
        <f>'B) D RI'!U110</f>
        <v>109171.87199999999</v>
      </c>
      <c r="D109" s="32">
        <f>'B) D RI'!AA110</f>
        <v>4948</v>
      </c>
      <c r="E109" s="198">
        <f t="shared" si="9"/>
        <v>22.063838318512527</v>
      </c>
      <c r="F109" s="354">
        <f t="shared" si="10"/>
        <v>0.45597795999441043</v>
      </c>
      <c r="G109" s="365">
        <f t="shared" si="11"/>
        <v>0</v>
      </c>
      <c r="H109" s="362">
        <f t="shared" si="12"/>
        <v>0</v>
      </c>
      <c r="I109" s="365">
        <f t="shared" si="13"/>
        <v>0</v>
      </c>
      <c r="J109" s="362">
        <f t="shared" si="14"/>
        <v>0</v>
      </c>
      <c r="K109" s="357">
        <f t="shared" si="15"/>
        <v>0</v>
      </c>
      <c r="L109" s="361">
        <f t="shared" si="16"/>
        <v>0</v>
      </c>
      <c r="M109" s="112">
        <f>L109*D109*'B) D RI'!S110</f>
        <v>0</v>
      </c>
    </row>
    <row r="110" spans="1:13" x14ac:dyDescent="0.25">
      <c r="A110" s="288">
        <f>'A) Base RI'!A111</f>
        <v>5571</v>
      </c>
      <c r="B110" s="32" t="str">
        <f>'A) Base RI'!B111</f>
        <v>Tévenon</v>
      </c>
      <c r="C110" s="286">
        <f>'B) D RI'!U111</f>
        <v>25325.239790209791</v>
      </c>
      <c r="D110" s="32">
        <f>'B) D RI'!AA111</f>
        <v>883</v>
      </c>
      <c r="E110" s="198">
        <f t="shared" si="9"/>
        <v>28.680905764677</v>
      </c>
      <c r="F110" s="354">
        <f t="shared" si="10"/>
        <v>0.59272827839734699</v>
      </c>
      <c r="G110" s="365">
        <f t="shared" si="11"/>
        <v>0</v>
      </c>
      <c r="H110" s="362">
        <f t="shared" si="12"/>
        <v>0</v>
      </c>
      <c r="I110" s="365">
        <f t="shared" si="13"/>
        <v>0</v>
      </c>
      <c r="J110" s="362">
        <f t="shared" si="14"/>
        <v>0</v>
      </c>
      <c r="K110" s="357">
        <f t="shared" si="15"/>
        <v>0</v>
      </c>
      <c r="L110" s="361">
        <f t="shared" si="16"/>
        <v>0</v>
      </c>
      <c r="M110" s="112">
        <f>L110*D110*'B) D RI'!S111</f>
        <v>0</v>
      </c>
    </row>
    <row r="111" spans="1:13" x14ac:dyDescent="0.25">
      <c r="A111" s="288">
        <f>'A) Base RI'!A112</f>
        <v>5581</v>
      </c>
      <c r="B111" s="32" t="str">
        <f>'A) Base RI'!B112</f>
        <v>Belmont-sur-Lausanne</v>
      </c>
      <c r="C111" s="286">
        <f>'B) D RI'!U112</f>
        <v>215435.94296296299</v>
      </c>
      <c r="D111" s="32">
        <f>'B) D RI'!AA112</f>
        <v>3871</v>
      </c>
      <c r="E111" s="198">
        <f t="shared" si="9"/>
        <v>55.653821483586405</v>
      </c>
      <c r="F111" s="354">
        <f t="shared" si="10"/>
        <v>1.1501587176101846</v>
      </c>
      <c r="G111" s="365">
        <f t="shared" si="11"/>
        <v>7.2658723845049593</v>
      </c>
      <c r="H111" s="362">
        <f t="shared" si="12"/>
        <v>0</v>
      </c>
      <c r="I111" s="365">
        <f t="shared" si="13"/>
        <v>0</v>
      </c>
      <c r="J111" s="362">
        <f t="shared" si="14"/>
        <v>0</v>
      </c>
      <c r="K111" s="357">
        <f t="shared" si="15"/>
        <v>0</v>
      </c>
      <c r="L111" s="361">
        <f t="shared" si="16"/>
        <v>1.453174476900992</v>
      </c>
      <c r="M111" s="112">
        <f>L111*D111*'B) D RI'!S112</f>
        <v>405017.16480602929</v>
      </c>
    </row>
    <row r="112" spans="1:13" x14ac:dyDescent="0.25">
      <c r="A112" s="288">
        <f>'A) Base RI'!A113</f>
        <v>5582</v>
      </c>
      <c r="B112" s="32" t="str">
        <f>'A) Base RI'!B113</f>
        <v>Cheseaux-sur-Lausanne</v>
      </c>
      <c r="C112" s="286">
        <f>'B) D RI'!U113</f>
        <v>167506.84698630136</v>
      </c>
      <c r="D112" s="32">
        <f>'B) D RI'!AA113</f>
        <v>4449</v>
      </c>
      <c r="E112" s="198">
        <f t="shared" si="9"/>
        <v>37.650448861834427</v>
      </c>
      <c r="F112" s="354">
        <f t="shared" si="10"/>
        <v>0.77809557054669942</v>
      </c>
      <c r="G112" s="365">
        <f t="shared" si="11"/>
        <v>0</v>
      </c>
      <c r="H112" s="362">
        <f t="shared" si="12"/>
        <v>0</v>
      </c>
      <c r="I112" s="365">
        <f t="shared" si="13"/>
        <v>0</v>
      </c>
      <c r="J112" s="362">
        <f t="shared" si="14"/>
        <v>0</v>
      </c>
      <c r="K112" s="357">
        <f t="shared" si="15"/>
        <v>0</v>
      </c>
      <c r="L112" s="361">
        <f t="shared" si="16"/>
        <v>0</v>
      </c>
      <c r="M112" s="112">
        <f>L112*D112*'B) D RI'!S113</f>
        <v>0</v>
      </c>
    </row>
    <row r="113" spans="1:13" x14ac:dyDescent="0.25">
      <c r="A113" s="288">
        <f>'A) Base RI'!A114</f>
        <v>5583</v>
      </c>
      <c r="B113" s="32" t="str">
        <f>'A) Base RI'!B114</f>
        <v>Crissier</v>
      </c>
      <c r="C113" s="286">
        <f>'B) D RI'!U114</f>
        <v>337550.36173228343</v>
      </c>
      <c r="D113" s="32">
        <f>'B) D RI'!AA114</f>
        <v>8974</v>
      </c>
      <c r="E113" s="198">
        <f t="shared" si="9"/>
        <v>37.614259163392404</v>
      </c>
      <c r="F113" s="354">
        <f t="shared" si="10"/>
        <v>0.7773476632864037</v>
      </c>
      <c r="G113" s="365">
        <f t="shared" si="11"/>
        <v>0</v>
      </c>
      <c r="H113" s="362">
        <f t="shared" si="12"/>
        <v>0</v>
      </c>
      <c r="I113" s="365">
        <f t="shared" si="13"/>
        <v>0</v>
      </c>
      <c r="J113" s="362">
        <f t="shared" si="14"/>
        <v>0</v>
      </c>
      <c r="K113" s="357">
        <f t="shared" si="15"/>
        <v>0</v>
      </c>
      <c r="L113" s="361">
        <f t="shared" si="16"/>
        <v>0</v>
      </c>
      <c r="M113" s="112">
        <f>L113*D113*'B) D RI'!S114</f>
        <v>0</v>
      </c>
    </row>
    <row r="114" spans="1:13" x14ac:dyDescent="0.25">
      <c r="A114" s="288">
        <f>'A) Base RI'!A115</f>
        <v>5584</v>
      </c>
      <c r="B114" s="32" t="str">
        <f>'A) Base RI'!B115</f>
        <v>Epalinges</v>
      </c>
      <c r="C114" s="286">
        <f>'B) D RI'!U115</f>
        <v>516766.84201550385</v>
      </c>
      <c r="D114" s="32">
        <f>'B) D RI'!AA115</f>
        <v>9813</v>
      </c>
      <c r="E114" s="198">
        <f t="shared" si="9"/>
        <v>52.661453379751741</v>
      </c>
      <c r="F114" s="354">
        <f t="shared" si="10"/>
        <v>1.0883175327790742</v>
      </c>
      <c r="G114" s="365">
        <f t="shared" si="11"/>
        <v>4.273504280670295</v>
      </c>
      <c r="H114" s="362">
        <f t="shared" si="12"/>
        <v>0</v>
      </c>
      <c r="I114" s="365">
        <f t="shared" si="13"/>
        <v>0</v>
      </c>
      <c r="J114" s="362">
        <f t="shared" si="14"/>
        <v>0</v>
      </c>
      <c r="K114" s="357">
        <f t="shared" si="15"/>
        <v>0</v>
      </c>
      <c r="L114" s="361">
        <f t="shared" si="16"/>
        <v>0.85470085613405899</v>
      </c>
      <c r="M114" s="112">
        <f>L114*D114*'B) D RI'!S115</f>
        <v>540973.07783020718</v>
      </c>
    </row>
    <row r="115" spans="1:13" x14ac:dyDescent="0.25">
      <c r="A115" s="288">
        <f>'A) Base RI'!A116</f>
        <v>5585</v>
      </c>
      <c r="B115" s="32" t="str">
        <f>'A) Base RI'!B116</f>
        <v>Jouxtens-Mézery</v>
      </c>
      <c r="C115" s="286">
        <f>'B) D RI'!U116</f>
        <v>191744.87050847456</v>
      </c>
      <c r="D115" s="32">
        <f>'B) D RI'!AA116</f>
        <v>1460</v>
      </c>
      <c r="E115" s="198">
        <f t="shared" si="9"/>
        <v>131.33210308799627</v>
      </c>
      <c r="F115" s="354">
        <f t="shared" si="10"/>
        <v>2.7141489881927932</v>
      </c>
      <c r="G115" s="365">
        <f t="shared" si="11"/>
        <v>82.94415398891482</v>
      </c>
      <c r="H115" s="362">
        <f t="shared" si="12"/>
        <v>73.266564169098544</v>
      </c>
      <c r="I115" s="365">
        <f t="shared" si="13"/>
        <v>58.750179439374108</v>
      </c>
      <c r="J115" s="362">
        <f t="shared" si="14"/>
        <v>34.556204889833381</v>
      </c>
      <c r="K115" s="357">
        <f t="shared" si="15"/>
        <v>0</v>
      </c>
      <c r="L115" s="361">
        <f t="shared" si="16"/>
        <v>33.246125647613567</v>
      </c>
      <c r="M115" s="112">
        <f>L115*D115*'B) D RI'!S116</f>
        <v>2863821.2632854325</v>
      </c>
    </row>
    <row r="116" spans="1:13" x14ac:dyDescent="0.25">
      <c r="A116" s="288">
        <f>'A) Base RI'!A117</f>
        <v>5586</v>
      </c>
      <c r="B116" s="32" t="str">
        <f>'A) Base RI'!B117</f>
        <v>Lausanne</v>
      </c>
      <c r="C116" s="286">
        <f>'B) D RI'!U117</f>
        <v>6461491.7137154993</v>
      </c>
      <c r="D116" s="32">
        <f>'B) D RI'!AA117</f>
        <v>140824</v>
      </c>
      <c r="E116" s="198">
        <f t="shared" si="9"/>
        <v>45.883455332297757</v>
      </c>
      <c r="F116" s="354">
        <f t="shared" si="10"/>
        <v>0.94824137386655161</v>
      </c>
      <c r="G116" s="365">
        <f t="shared" si="11"/>
        <v>0</v>
      </c>
      <c r="H116" s="362">
        <f t="shared" si="12"/>
        <v>0</v>
      </c>
      <c r="I116" s="365">
        <f t="shared" si="13"/>
        <v>0</v>
      </c>
      <c r="J116" s="362">
        <f t="shared" si="14"/>
        <v>0</v>
      </c>
      <c r="K116" s="357">
        <f t="shared" si="15"/>
        <v>0</v>
      </c>
      <c r="L116" s="361">
        <f t="shared" si="16"/>
        <v>0</v>
      </c>
      <c r="M116" s="112">
        <f>L116*D116*'B) D RI'!S117</f>
        <v>0</v>
      </c>
    </row>
    <row r="117" spans="1:13" x14ac:dyDescent="0.25">
      <c r="A117" s="288">
        <f>'A) Base RI'!A118</f>
        <v>5587</v>
      </c>
      <c r="B117" s="32" t="str">
        <f>'A) Base RI'!B118</f>
        <v>Le Mont-sur-Lausanne</v>
      </c>
      <c r="C117" s="286">
        <f>'B) D RI'!U118</f>
        <v>495058.05378684809</v>
      </c>
      <c r="D117" s="32">
        <f>'B) D RI'!AA118</f>
        <v>9217</v>
      </c>
      <c r="E117" s="198">
        <f t="shared" si="9"/>
        <v>53.711408678186835</v>
      </c>
      <c r="F117" s="354">
        <f t="shared" si="10"/>
        <v>1.110016226730437</v>
      </c>
      <c r="G117" s="365">
        <f t="shared" si="11"/>
        <v>5.3234595791053891</v>
      </c>
      <c r="H117" s="362">
        <f t="shared" si="12"/>
        <v>0</v>
      </c>
      <c r="I117" s="365">
        <f t="shared" si="13"/>
        <v>0</v>
      </c>
      <c r="J117" s="362">
        <f t="shared" si="14"/>
        <v>0</v>
      </c>
      <c r="K117" s="357">
        <f t="shared" si="15"/>
        <v>0</v>
      </c>
      <c r="L117" s="361">
        <f t="shared" si="16"/>
        <v>1.0646919158210779</v>
      </c>
      <c r="M117" s="112">
        <f>L117*D117*'B) D RI'!S118</f>
        <v>721275.00602703122</v>
      </c>
    </row>
    <row r="118" spans="1:13" x14ac:dyDescent="0.25">
      <c r="A118" s="288">
        <f>'A) Base RI'!A119</f>
        <v>5588</v>
      </c>
      <c r="B118" s="32" t="str">
        <f>'A) Base RI'!B119</f>
        <v>Paudex</v>
      </c>
      <c r="C118" s="286">
        <f>'B) D RI'!U119</f>
        <v>215756.29785177234</v>
      </c>
      <c r="D118" s="32">
        <f>'B) D RI'!AA119</f>
        <v>1545</v>
      </c>
      <c r="E118" s="198">
        <f t="shared" si="9"/>
        <v>139.64808922444811</v>
      </c>
      <c r="F118" s="354">
        <f t="shared" si="10"/>
        <v>2.8860096744025689</v>
      </c>
      <c r="G118" s="365">
        <f t="shared" si="11"/>
        <v>91.260140125366661</v>
      </c>
      <c r="H118" s="362">
        <f t="shared" si="12"/>
        <v>81.582550305550384</v>
      </c>
      <c r="I118" s="365">
        <f t="shared" si="13"/>
        <v>67.066165575825949</v>
      </c>
      <c r="J118" s="362">
        <f t="shared" si="14"/>
        <v>42.872191026285222</v>
      </c>
      <c r="K118" s="357">
        <f t="shared" si="15"/>
        <v>0</v>
      </c>
      <c r="L118" s="361">
        <f t="shared" si="16"/>
        <v>37.404118715839488</v>
      </c>
      <c r="M118" s="112">
        <f>L118*D118*'B) D RI'!S119</f>
        <v>3842992.6671621385</v>
      </c>
    </row>
    <row r="119" spans="1:13" x14ac:dyDescent="0.25">
      <c r="A119" s="288">
        <f>'A) Base RI'!A120</f>
        <v>5589</v>
      </c>
      <c r="B119" s="32" t="str">
        <f>'A) Base RI'!B120</f>
        <v>Prilly</v>
      </c>
      <c r="C119" s="286">
        <f>'B) D RI'!U120</f>
        <v>419549.81642440322</v>
      </c>
      <c r="D119" s="32">
        <f>'B) D RI'!AA120</f>
        <v>12341</v>
      </c>
      <c r="E119" s="198">
        <f t="shared" si="9"/>
        <v>33.996419773470805</v>
      </c>
      <c r="F119" s="354">
        <f t="shared" si="10"/>
        <v>0.70258029956711188</v>
      </c>
      <c r="G119" s="365">
        <f t="shared" si="11"/>
        <v>0</v>
      </c>
      <c r="H119" s="362">
        <f t="shared" si="12"/>
        <v>0</v>
      </c>
      <c r="I119" s="365">
        <f t="shared" si="13"/>
        <v>0</v>
      </c>
      <c r="J119" s="362">
        <f t="shared" si="14"/>
        <v>0</v>
      </c>
      <c r="K119" s="357">
        <f t="shared" si="15"/>
        <v>0</v>
      </c>
      <c r="L119" s="361">
        <f t="shared" si="16"/>
        <v>0</v>
      </c>
      <c r="M119" s="112">
        <f>L119*D119*'B) D RI'!S120</f>
        <v>0</v>
      </c>
    </row>
    <row r="120" spans="1:13" x14ac:dyDescent="0.25">
      <c r="A120" s="288">
        <f>'A) Base RI'!A121</f>
        <v>5590</v>
      </c>
      <c r="B120" s="32" t="str">
        <f>'A) Base RI'!B121</f>
        <v>Pully</v>
      </c>
      <c r="C120" s="286">
        <f>'B) D RI'!U121</f>
        <v>1603030.9692740045</v>
      </c>
      <c r="D120" s="32">
        <f>'B) D RI'!AA121</f>
        <v>18946</v>
      </c>
      <c r="E120" s="198">
        <f t="shared" si="9"/>
        <v>84.61052302723553</v>
      </c>
      <c r="F120" s="354">
        <f t="shared" si="10"/>
        <v>1.7485866750414041</v>
      </c>
      <c r="G120" s="365">
        <f t="shared" si="11"/>
        <v>36.222573928154084</v>
      </c>
      <c r="H120" s="362">
        <f t="shared" si="12"/>
        <v>26.5449841083378</v>
      </c>
      <c r="I120" s="365">
        <f t="shared" si="13"/>
        <v>12.028599378613364</v>
      </c>
      <c r="J120" s="362">
        <f t="shared" si="14"/>
        <v>0</v>
      </c>
      <c r="K120" s="357">
        <f t="shared" si="15"/>
        <v>0</v>
      </c>
      <c r="L120" s="361">
        <f t="shared" si="16"/>
        <v>11.101873134325933</v>
      </c>
      <c r="M120" s="112">
        <f>L120*D120*'B) D RI'!S121</f>
        <v>12830501.392579285</v>
      </c>
    </row>
    <row r="121" spans="1:13" x14ac:dyDescent="0.25">
      <c r="A121" s="288">
        <f>'A) Base RI'!A122</f>
        <v>5591</v>
      </c>
      <c r="B121" s="32" t="str">
        <f>'A) Base RI'!B122</f>
        <v>Renens</v>
      </c>
      <c r="C121" s="286">
        <f>'B) D RI'!U122</f>
        <v>569784.47115027823</v>
      </c>
      <c r="D121" s="32">
        <f>'B) D RI'!AA122</f>
        <v>20917</v>
      </c>
      <c r="E121" s="198">
        <f t="shared" si="9"/>
        <v>27.240257740128996</v>
      </c>
      <c r="F121" s="354">
        <f t="shared" si="10"/>
        <v>0.56295541033058794</v>
      </c>
      <c r="G121" s="365">
        <f t="shared" si="11"/>
        <v>0</v>
      </c>
      <c r="H121" s="362">
        <f t="shared" si="12"/>
        <v>0</v>
      </c>
      <c r="I121" s="365">
        <f t="shared" si="13"/>
        <v>0</v>
      </c>
      <c r="J121" s="362">
        <f t="shared" si="14"/>
        <v>0</v>
      </c>
      <c r="K121" s="357">
        <f t="shared" si="15"/>
        <v>0</v>
      </c>
      <c r="L121" s="361">
        <f t="shared" si="16"/>
        <v>0</v>
      </c>
      <c r="M121" s="112">
        <f>L121*D121*'B) D RI'!S122</f>
        <v>0</v>
      </c>
    </row>
    <row r="122" spans="1:13" x14ac:dyDescent="0.25">
      <c r="A122" s="288">
        <f>'A) Base RI'!A123</f>
        <v>5592</v>
      </c>
      <c r="B122" s="32" t="str">
        <f>'A) Base RI'!B123</f>
        <v>Romanel-sur-Lausanne</v>
      </c>
      <c r="C122" s="286">
        <f>'B) D RI'!U123</f>
        <v>121086.56368794327</v>
      </c>
      <c r="D122" s="32">
        <f>'B) D RI'!AA123</f>
        <v>3482</v>
      </c>
      <c r="E122" s="198">
        <f t="shared" si="9"/>
        <v>34.775003931057803</v>
      </c>
      <c r="F122" s="354">
        <f t="shared" si="10"/>
        <v>0.7186707553951267</v>
      </c>
      <c r="G122" s="365">
        <f t="shared" si="11"/>
        <v>0</v>
      </c>
      <c r="H122" s="362">
        <f t="shared" si="12"/>
        <v>0</v>
      </c>
      <c r="I122" s="365">
        <f t="shared" si="13"/>
        <v>0</v>
      </c>
      <c r="J122" s="362">
        <f t="shared" si="14"/>
        <v>0</v>
      </c>
      <c r="K122" s="357">
        <f t="shared" si="15"/>
        <v>0</v>
      </c>
      <c r="L122" s="361">
        <f t="shared" si="16"/>
        <v>0</v>
      </c>
      <c r="M122" s="112">
        <f>L122*D122*'B) D RI'!S123</f>
        <v>0</v>
      </c>
    </row>
    <row r="123" spans="1:13" x14ac:dyDescent="0.25">
      <c r="A123" s="288">
        <f>'A) Base RI'!A124</f>
        <v>5601</v>
      </c>
      <c r="B123" s="32" t="str">
        <f>'A) Base RI'!B124</f>
        <v>Chexbres</v>
      </c>
      <c r="C123" s="286">
        <f>'B) D RI'!U124</f>
        <v>105973.06044444445</v>
      </c>
      <c r="D123" s="32">
        <f>'B) D RI'!AA124</f>
        <v>2229</v>
      </c>
      <c r="E123" s="198">
        <f t="shared" si="9"/>
        <v>47.542871442101593</v>
      </c>
      <c r="F123" s="354">
        <f t="shared" si="10"/>
        <v>0.98253536939022912</v>
      </c>
      <c r="G123" s="365">
        <f t="shared" si="11"/>
        <v>0</v>
      </c>
      <c r="H123" s="362">
        <f t="shared" si="12"/>
        <v>0</v>
      </c>
      <c r="I123" s="365">
        <f t="shared" si="13"/>
        <v>0</v>
      </c>
      <c r="J123" s="362">
        <f t="shared" si="14"/>
        <v>0</v>
      </c>
      <c r="K123" s="357">
        <f t="shared" si="15"/>
        <v>0</v>
      </c>
      <c r="L123" s="361">
        <f t="shared" si="16"/>
        <v>0</v>
      </c>
      <c r="M123" s="112">
        <f>L123*D123*'B) D RI'!S124</f>
        <v>0</v>
      </c>
    </row>
    <row r="124" spans="1:13" x14ac:dyDescent="0.25">
      <c r="A124" s="288">
        <f>'A) Base RI'!A125</f>
        <v>5604</v>
      </c>
      <c r="B124" s="32" t="str">
        <f>'A) Base RI'!B125</f>
        <v>Forel (Lavaux)</v>
      </c>
      <c r="C124" s="286">
        <f>'B) D RI'!U125</f>
        <v>75818.919130434777</v>
      </c>
      <c r="D124" s="32">
        <f>'B) D RI'!AA125</f>
        <v>2110</v>
      </c>
      <c r="E124" s="198">
        <f t="shared" si="9"/>
        <v>35.933137028642072</v>
      </c>
      <c r="F124" s="354">
        <f t="shared" si="10"/>
        <v>0.74260508448216489</v>
      </c>
      <c r="G124" s="365">
        <f t="shared" si="11"/>
        <v>0</v>
      </c>
      <c r="H124" s="362">
        <f t="shared" si="12"/>
        <v>0</v>
      </c>
      <c r="I124" s="365">
        <f t="shared" si="13"/>
        <v>0</v>
      </c>
      <c r="J124" s="362">
        <f t="shared" si="14"/>
        <v>0</v>
      </c>
      <c r="K124" s="357">
        <f t="shared" si="15"/>
        <v>0</v>
      </c>
      <c r="L124" s="361">
        <f t="shared" si="16"/>
        <v>0</v>
      </c>
      <c r="M124" s="112">
        <f>L124*D124*'B) D RI'!S125</f>
        <v>0</v>
      </c>
    </row>
    <row r="125" spans="1:13" x14ac:dyDescent="0.25">
      <c r="A125" s="288">
        <f>'A) Base RI'!A126</f>
        <v>5606</v>
      </c>
      <c r="B125" s="32" t="str">
        <f>'A) Base RI'!B126</f>
        <v>Lutry</v>
      </c>
      <c r="C125" s="286">
        <f>'B) D RI'!U126</f>
        <v>941137.19529100519</v>
      </c>
      <c r="D125" s="32">
        <f>'B) D RI'!AA126</f>
        <v>10704</v>
      </c>
      <c r="E125" s="198">
        <f t="shared" si="9"/>
        <v>87.923878483838308</v>
      </c>
      <c r="F125" s="354">
        <f t="shared" si="10"/>
        <v>1.8170614816470363</v>
      </c>
      <c r="G125" s="365">
        <f t="shared" si="11"/>
        <v>39.535929384756862</v>
      </c>
      <c r="H125" s="362">
        <f t="shared" si="12"/>
        <v>29.858339564940579</v>
      </c>
      <c r="I125" s="365">
        <f t="shared" si="13"/>
        <v>15.341954835216143</v>
      </c>
      <c r="J125" s="362">
        <f t="shared" si="14"/>
        <v>0</v>
      </c>
      <c r="K125" s="357">
        <f t="shared" si="15"/>
        <v>0</v>
      </c>
      <c r="L125" s="361">
        <f t="shared" si="16"/>
        <v>12.427215316967043</v>
      </c>
      <c r="M125" s="112">
        <f>L125*D125*'B) D RI'!S126</f>
        <v>7183129.2886520224</v>
      </c>
    </row>
    <row r="126" spans="1:13" x14ac:dyDescent="0.25">
      <c r="A126" s="288">
        <f>'A) Base RI'!A127</f>
        <v>5607</v>
      </c>
      <c r="B126" s="32" t="str">
        <f>'A) Base RI'!B127</f>
        <v>Puidoux</v>
      </c>
      <c r="C126" s="286">
        <f>'B) D RI'!U127</f>
        <v>111580.38136464616</v>
      </c>
      <c r="D126" s="32">
        <f>'B) D RI'!AA127</f>
        <v>2924</v>
      </c>
      <c r="E126" s="198">
        <f t="shared" si="9"/>
        <v>38.160185145227828</v>
      </c>
      <c r="F126" s="354">
        <f t="shared" si="10"/>
        <v>0.78862993484367838</v>
      </c>
      <c r="G126" s="365">
        <f t="shared" si="11"/>
        <v>0</v>
      </c>
      <c r="H126" s="362">
        <f t="shared" si="12"/>
        <v>0</v>
      </c>
      <c r="I126" s="365">
        <f t="shared" si="13"/>
        <v>0</v>
      </c>
      <c r="J126" s="362">
        <f t="shared" si="14"/>
        <v>0</v>
      </c>
      <c r="K126" s="357">
        <f t="shared" si="15"/>
        <v>0</v>
      </c>
      <c r="L126" s="361">
        <f t="shared" si="16"/>
        <v>0</v>
      </c>
      <c r="M126" s="112">
        <f>L126*D126*'B) D RI'!S127</f>
        <v>0</v>
      </c>
    </row>
    <row r="127" spans="1:13" x14ac:dyDescent="0.25">
      <c r="A127" s="288">
        <f>'A) Base RI'!A128</f>
        <v>5609</v>
      </c>
      <c r="B127" s="32" t="str">
        <f>'A) Base RI'!B128</f>
        <v>Rivaz</v>
      </c>
      <c r="C127" s="286">
        <f>'B) D RI'!U128</f>
        <v>14896.510161290325</v>
      </c>
      <c r="D127" s="32">
        <f>'B) D RI'!AA128</f>
        <v>331</v>
      </c>
      <c r="E127" s="198">
        <f t="shared" si="9"/>
        <v>45.00456242081669</v>
      </c>
      <c r="F127" s="354">
        <f t="shared" si="10"/>
        <v>0.93007790697355708</v>
      </c>
      <c r="G127" s="365">
        <f t="shared" si="11"/>
        <v>0</v>
      </c>
      <c r="H127" s="362">
        <f t="shared" si="12"/>
        <v>0</v>
      </c>
      <c r="I127" s="365">
        <f t="shared" si="13"/>
        <v>0</v>
      </c>
      <c r="J127" s="362">
        <f t="shared" si="14"/>
        <v>0</v>
      </c>
      <c r="K127" s="357">
        <f t="shared" si="15"/>
        <v>0</v>
      </c>
      <c r="L127" s="361">
        <f t="shared" si="16"/>
        <v>0</v>
      </c>
      <c r="M127" s="112">
        <f>L127*D127*'B) D RI'!S128</f>
        <v>0</v>
      </c>
    </row>
    <row r="128" spans="1:13" x14ac:dyDescent="0.25">
      <c r="A128" s="288">
        <f>'A) Base RI'!A129</f>
        <v>5610</v>
      </c>
      <c r="B128" s="32" t="str">
        <f>'A) Base RI'!B129</f>
        <v>St-Saphorin (Lavaux)</v>
      </c>
      <c r="C128" s="286">
        <f>'B) D RI'!U129</f>
        <v>23448.462152777778</v>
      </c>
      <c r="D128" s="32">
        <f>'B) D RI'!AA129</f>
        <v>396</v>
      </c>
      <c r="E128" s="198">
        <f t="shared" si="9"/>
        <v>59.213288264590346</v>
      </c>
      <c r="F128" s="354">
        <f t="shared" si="10"/>
        <v>1.2237197353279516</v>
      </c>
      <c r="G128" s="365">
        <f t="shared" si="11"/>
        <v>10.8253391655089</v>
      </c>
      <c r="H128" s="362">
        <f t="shared" si="12"/>
        <v>1.1477493456926169</v>
      </c>
      <c r="I128" s="365">
        <f t="shared" si="13"/>
        <v>0</v>
      </c>
      <c r="J128" s="362">
        <f t="shared" si="14"/>
        <v>0</v>
      </c>
      <c r="K128" s="357">
        <f t="shared" si="15"/>
        <v>0</v>
      </c>
      <c r="L128" s="361">
        <f t="shared" si="16"/>
        <v>2.2798427676710418</v>
      </c>
      <c r="M128" s="112">
        <f>L128*D128*'B) D RI'!S129</f>
        <v>65002.876991836747</v>
      </c>
    </row>
    <row r="129" spans="1:13" x14ac:dyDescent="0.25">
      <c r="A129" s="288">
        <f>'A) Base RI'!A130</f>
        <v>5611</v>
      </c>
      <c r="B129" s="32" t="str">
        <f>'A) Base RI'!B130</f>
        <v>Savigny</v>
      </c>
      <c r="C129" s="286">
        <f>'B) D RI'!U130</f>
        <v>140983.13330917869</v>
      </c>
      <c r="D129" s="32">
        <f>'B) D RI'!AA130</f>
        <v>3370</v>
      </c>
      <c r="E129" s="198">
        <f t="shared" si="9"/>
        <v>41.83475765851</v>
      </c>
      <c r="F129" s="354">
        <f t="shared" si="10"/>
        <v>0.86456976245980544</v>
      </c>
      <c r="G129" s="365">
        <f t="shared" si="11"/>
        <v>0</v>
      </c>
      <c r="H129" s="362">
        <f t="shared" si="12"/>
        <v>0</v>
      </c>
      <c r="I129" s="365">
        <f t="shared" si="13"/>
        <v>0</v>
      </c>
      <c r="J129" s="362">
        <f t="shared" si="14"/>
        <v>0</v>
      </c>
      <c r="K129" s="357">
        <f t="shared" si="15"/>
        <v>0</v>
      </c>
      <c r="L129" s="361">
        <f t="shared" si="16"/>
        <v>0</v>
      </c>
      <c r="M129" s="112">
        <f>L129*D129*'B) D RI'!S130</f>
        <v>0</v>
      </c>
    </row>
    <row r="130" spans="1:13" x14ac:dyDescent="0.25">
      <c r="A130" s="288">
        <f>'A) Base RI'!A131</f>
        <v>5613</v>
      </c>
      <c r="B130" s="32" t="str">
        <f>'A) Base RI'!B131</f>
        <v>Bourg-en-Lavaux</v>
      </c>
      <c r="C130" s="286">
        <f>'B) D RI'!U131</f>
        <v>357210.57141333341</v>
      </c>
      <c r="D130" s="32">
        <f>'B) D RI'!AA131</f>
        <v>5367</v>
      </c>
      <c r="E130" s="198">
        <f t="shared" si="9"/>
        <v>66.556842074405324</v>
      </c>
      <c r="F130" s="354">
        <f t="shared" si="10"/>
        <v>1.3754838407827619</v>
      </c>
      <c r="G130" s="365">
        <f t="shared" si="11"/>
        <v>18.168892975323878</v>
      </c>
      <c r="H130" s="362">
        <f t="shared" si="12"/>
        <v>8.4913031555075946</v>
      </c>
      <c r="I130" s="365">
        <f t="shared" si="13"/>
        <v>0</v>
      </c>
      <c r="J130" s="362">
        <f t="shared" si="14"/>
        <v>0</v>
      </c>
      <c r="K130" s="357">
        <f t="shared" si="15"/>
        <v>0</v>
      </c>
      <c r="L130" s="361">
        <f t="shared" si="16"/>
        <v>4.4829089106155351</v>
      </c>
      <c r="M130" s="112">
        <f>L130*D130*'B) D RI'!S131</f>
        <v>1503735.7577045986</v>
      </c>
    </row>
    <row r="131" spans="1:13" x14ac:dyDescent="0.25">
      <c r="A131" s="288">
        <f>'A) Base RI'!A132</f>
        <v>5621</v>
      </c>
      <c r="B131" s="32" t="str">
        <f>'A) Base RI'!B132</f>
        <v>Aclens</v>
      </c>
      <c r="C131" s="286">
        <f>'B) D RI'!U132</f>
        <v>32271.293782991204</v>
      </c>
      <c r="D131" s="32">
        <f>'B) D RI'!AA132</f>
        <v>517</v>
      </c>
      <c r="E131" s="198">
        <f t="shared" si="9"/>
        <v>62.420297452594205</v>
      </c>
      <c r="F131" s="354">
        <f t="shared" si="10"/>
        <v>1.2899967577625466</v>
      </c>
      <c r="G131" s="365">
        <f t="shared" si="11"/>
        <v>14.032348353512759</v>
      </c>
      <c r="H131" s="362">
        <f t="shared" si="12"/>
        <v>4.3547585336964758</v>
      </c>
      <c r="I131" s="365">
        <f t="shared" si="13"/>
        <v>0</v>
      </c>
      <c r="J131" s="362">
        <f t="shared" si="14"/>
        <v>0</v>
      </c>
      <c r="K131" s="357">
        <f t="shared" si="15"/>
        <v>0</v>
      </c>
      <c r="L131" s="361">
        <f t="shared" si="16"/>
        <v>3.2419455240721993</v>
      </c>
      <c r="M131" s="112">
        <f>L131*D131*'B) D RI'!S132</f>
        <v>103917.32182861028</v>
      </c>
    </row>
    <row r="132" spans="1:13" x14ac:dyDescent="0.25">
      <c r="A132" s="288">
        <f>'A) Base RI'!A133</f>
        <v>5622</v>
      </c>
      <c r="B132" s="32" t="str">
        <f>'A) Base RI'!B133</f>
        <v>Bremblens</v>
      </c>
      <c r="C132" s="286">
        <f>'B) D RI'!U133</f>
        <v>28643.938676470589</v>
      </c>
      <c r="D132" s="32">
        <f>'B) D RI'!AA133</f>
        <v>607</v>
      </c>
      <c r="E132" s="198">
        <f t="shared" si="9"/>
        <v>47.189355315437545</v>
      </c>
      <c r="F132" s="354">
        <f t="shared" si="10"/>
        <v>0.97522949813000748</v>
      </c>
      <c r="G132" s="365">
        <f t="shared" si="11"/>
        <v>0</v>
      </c>
      <c r="H132" s="362">
        <f t="shared" si="12"/>
        <v>0</v>
      </c>
      <c r="I132" s="365">
        <f t="shared" si="13"/>
        <v>0</v>
      </c>
      <c r="J132" s="362">
        <f t="shared" si="14"/>
        <v>0</v>
      </c>
      <c r="K132" s="357">
        <f t="shared" si="15"/>
        <v>0</v>
      </c>
      <c r="L132" s="361">
        <f t="shared" si="16"/>
        <v>0</v>
      </c>
      <c r="M132" s="112">
        <f>L132*D132*'B) D RI'!S133</f>
        <v>0</v>
      </c>
    </row>
    <row r="133" spans="1:13" x14ac:dyDescent="0.25">
      <c r="A133" s="288">
        <f>'A) Base RI'!A134</f>
        <v>5623</v>
      </c>
      <c r="B133" s="32" t="str">
        <f>'A) Base RI'!B134</f>
        <v>Buchillon</v>
      </c>
      <c r="C133" s="286">
        <f>'B) D RI'!U134</f>
        <v>89231.951153846152</v>
      </c>
      <c r="D133" s="32">
        <f>'B) D RI'!AA134</f>
        <v>669</v>
      </c>
      <c r="E133" s="198">
        <f t="shared" si="9"/>
        <v>133.38109290559962</v>
      </c>
      <c r="F133" s="354">
        <f t="shared" si="10"/>
        <v>2.7564940318607469</v>
      </c>
      <c r="G133" s="365">
        <f t="shared" si="11"/>
        <v>84.993143806518162</v>
      </c>
      <c r="H133" s="362">
        <f t="shared" si="12"/>
        <v>75.315553986701886</v>
      </c>
      <c r="I133" s="365">
        <f t="shared" si="13"/>
        <v>60.79916925697745</v>
      </c>
      <c r="J133" s="362">
        <f t="shared" si="14"/>
        <v>36.605194707436723</v>
      </c>
      <c r="K133" s="357">
        <f t="shared" si="15"/>
        <v>0</v>
      </c>
      <c r="L133" s="361">
        <f t="shared" si="16"/>
        <v>34.270620556415238</v>
      </c>
      <c r="M133" s="112">
        <f>L133*D133*'B) D RI'!S134</f>
        <v>1192206.3479165733</v>
      </c>
    </row>
    <row r="134" spans="1:13" x14ac:dyDescent="0.25">
      <c r="A134" s="288">
        <f>'A) Base RI'!A135</f>
        <v>5624</v>
      </c>
      <c r="B134" s="32" t="str">
        <f>'A) Base RI'!B135</f>
        <v>Bussigny</v>
      </c>
      <c r="C134" s="286">
        <f>'B) D RI'!U135</f>
        <v>441979.60352000006</v>
      </c>
      <c r="D134" s="32">
        <f>'B) D RI'!AA135</f>
        <v>10253</v>
      </c>
      <c r="E134" s="198">
        <f t="shared" si="9"/>
        <v>43.10734453525798</v>
      </c>
      <c r="F134" s="354">
        <f t="shared" si="10"/>
        <v>0.89086942798483459</v>
      </c>
      <c r="G134" s="365">
        <f t="shared" si="11"/>
        <v>0</v>
      </c>
      <c r="H134" s="362">
        <f t="shared" si="12"/>
        <v>0</v>
      </c>
      <c r="I134" s="365">
        <f t="shared" si="13"/>
        <v>0</v>
      </c>
      <c r="J134" s="362">
        <f t="shared" si="14"/>
        <v>0</v>
      </c>
      <c r="K134" s="357">
        <f t="shared" si="15"/>
        <v>0</v>
      </c>
      <c r="L134" s="361">
        <f t="shared" si="16"/>
        <v>0</v>
      </c>
      <c r="M134" s="112">
        <f>L134*D134*'B) D RI'!S135</f>
        <v>0</v>
      </c>
    </row>
    <row r="135" spans="1:13" x14ac:dyDescent="0.25">
      <c r="A135" s="288">
        <f>'A) Base RI'!A136</f>
        <v>5625</v>
      </c>
      <c r="B135" s="32" t="str">
        <f>'A) Base RI'!B136</f>
        <v>Bussy-Chardonney</v>
      </c>
      <c r="C135" s="286">
        <f>'B) D RI'!U136</f>
        <v>21108.495740740738</v>
      </c>
      <c r="D135" s="32">
        <f>'B) D RI'!AA136</f>
        <v>412</v>
      </c>
      <c r="E135" s="198">
        <f t="shared" ref="E135:E198" si="17">C135/D135</f>
        <v>51.234212962962957</v>
      </c>
      <c r="F135" s="354">
        <f t="shared" ref="F135:F198" si="18">E135/$E$314</f>
        <v>1.0588217503918871</v>
      </c>
      <c r="G135" s="365">
        <f t="shared" ref="G135:G198" si="19">IF(E135-$G$3&lt;0,0,E135-$G$3)</f>
        <v>2.8462638638815108</v>
      </c>
      <c r="H135" s="362">
        <f t="shared" ref="H135:H198" si="20">IF(E135-$H$3&lt;0,0,E135-$H$3)</f>
        <v>0</v>
      </c>
      <c r="I135" s="365">
        <f t="shared" ref="I135:I198" si="21">IF(E135-$I$3&lt;0,0,E135-$I$3)</f>
        <v>0</v>
      </c>
      <c r="J135" s="362">
        <f t="shared" ref="J135:J198" si="22">IF(E135-$J$3&lt;0,0,E135-$J$3)</f>
        <v>0</v>
      </c>
      <c r="K135" s="357">
        <f t="shared" ref="K135:K198" si="23">IF(E135-$K$3&lt;0,0,E135-$K$3)</f>
        <v>0</v>
      </c>
      <c r="L135" s="361">
        <f t="shared" ref="L135:L198" si="24">(G135-H135)*$G$4+(H135-I135)*$H$4+(I135-J135)*$I$4+(J135-K135)*$J$4+(K135*$K$4)</f>
        <v>0.56925277277630215</v>
      </c>
      <c r="M135" s="112">
        <f>L135*D135*'B) D RI'!S136</f>
        <v>16886.314251636228</v>
      </c>
    </row>
    <row r="136" spans="1:13" x14ac:dyDescent="0.25">
      <c r="A136" s="288">
        <f>'A) Base RI'!A137</f>
        <v>5627</v>
      </c>
      <c r="B136" s="32" t="str">
        <f>'A) Base RI'!B137</f>
        <v>Chavannes-près-Renens</v>
      </c>
      <c r="C136" s="286">
        <f>'B) D RI'!U137</f>
        <v>194072.91458064516</v>
      </c>
      <c r="D136" s="32">
        <f>'B) D RI'!AA137</f>
        <v>8767</v>
      </c>
      <c r="E136" s="198">
        <f t="shared" si="17"/>
        <v>22.136753117445551</v>
      </c>
      <c r="F136" s="354">
        <f t="shared" si="18"/>
        <v>0.45748483929577777</v>
      </c>
      <c r="G136" s="365">
        <f t="shared" si="19"/>
        <v>0</v>
      </c>
      <c r="H136" s="362">
        <f t="shared" si="20"/>
        <v>0</v>
      </c>
      <c r="I136" s="365">
        <f t="shared" si="21"/>
        <v>0</v>
      </c>
      <c r="J136" s="362">
        <f t="shared" si="22"/>
        <v>0</v>
      </c>
      <c r="K136" s="357">
        <f t="shared" si="23"/>
        <v>0</v>
      </c>
      <c r="L136" s="361">
        <f t="shared" si="24"/>
        <v>0</v>
      </c>
      <c r="M136" s="112">
        <f>L136*D136*'B) D RI'!S137</f>
        <v>0</v>
      </c>
    </row>
    <row r="137" spans="1:13" x14ac:dyDescent="0.25">
      <c r="A137" s="288">
        <f>'A) Base RI'!A138</f>
        <v>5628</v>
      </c>
      <c r="B137" s="32" t="str">
        <f>'A) Base RI'!B138</f>
        <v>Chigny</v>
      </c>
      <c r="C137" s="286">
        <f>'B) D RI'!U138</f>
        <v>25790.901129032256</v>
      </c>
      <c r="D137" s="32">
        <f>'B) D RI'!AA138</f>
        <v>405</v>
      </c>
      <c r="E137" s="198">
        <f t="shared" si="17"/>
        <v>63.681237355635197</v>
      </c>
      <c r="F137" s="354">
        <f t="shared" si="18"/>
        <v>1.3160557234041579</v>
      </c>
      <c r="G137" s="365">
        <f t="shared" si="19"/>
        <v>15.293288256553751</v>
      </c>
      <c r="H137" s="362">
        <f t="shared" si="20"/>
        <v>5.6156984367374676</v>
      </c>
      <c r="I137" s="365">
        <f t="shared" si="21"/>
        <v>0</v>
      </c>
      <c r="J137" s="362">
        <f t="shared" si="22"/>
        <v>0</v>
      </c>
      <c r="K137" s="357">
        <f t="shared" si="23"/>
        <v>0</v>
      </c>
      <c r="L137" s="361">
        <f t="shared" si="24"/>
        <v>3.6202274949844968</v>
      </c>
      <c r="M137" s="112">
        <f>L137*D137*'B) D RI'!S138</f>
        <v>90903.912399060719</v>
      </c>
    </row>
    <row r="138" spans="1:13" x14ac:dyDescent="0.25">
      <c r="A138" s="288">
        <f>'A) Base RI'!A139</f>
        <v>5629</v>
      </c>
      <c r="B138" s="32" t="str">
        <f>'A) Base RI'!B139</f>
        <v>Clarmont</v>
      </c>
      <c r="C138" s="286">
        <f>'B) D RI'!U139</f>
        <v>9948.0614965986406</v>
      </c>
      <c r="D138" s="32">
        <f>'B) D RI'!AA139</f>
        <v>211</v>
      </c>
      <c r="E138" s="198">
        <f t="shared" si="17"/>
        <v>47.147210884353747</v>
      </c>
      <c r="F138" s="354">
        <f t="shared" si="18"/>
        <v>0.97435852856282246</v>
      </c>
      <c r="G138" s="365">
        <f t="shared" si="19"/>
        <v>0</v>
      </c>
      <c r="H138" s="362">
        <f t="shared" si="20"/>
        <v>0</v>
      </c>
      <c r="I138" s="365">
        <f t="shared" si="21"/>
        <v>0</v>
      </c>
      <c r="J138" s="362">
        <f t="shared" si="22"/>
        <v>0</v>
      </c>
      <c r="K138" s="357">
        <f t="shared" si="23"/>
        <v>0</v>
      </c>
      <c r="L138" s="361">
        <f t="shared" si="24"/>
        <v>0</v>
      </c>
      <c r="M138" s="112">
        <f>L138*D138*'B) D RI'!S139</f>
        <v>0</v>
      </c>
    </row>
    <row r="139" spans="1:13" x14ac:dyDescent="0.25">
      <c r="A139" s="288">
        <f>'A) Base RI'!A140</f>
        <v>5631</v>
      </c>
      <c r="B139" s="32" t="str">
        <f>'A) Base RI'!B140</f>
        <v>Denens</v>
      </c>
      <c r="C139" s="286">
        <f>'B) D RI'!U140</f>
        <v>43290.229264705871</v>
      </c>
      <c r="D139" s="32">
        <f>'B) D RI'!AA140</f>
        <v>733</v>
      </c>
      <c r="E139" s="198">
        <f t="shared" si="17"/>
        <v>59.058975804510055</v>
      </c>
      <c r="F139" s="354">
        <f t="shared" si="18"/>
        <v>1.2205306673274809</v>
      </c>
      <c r="G139" s="365">
        <f t="shared" si="19"/>
        <v>10.671026705428609</v>
      </c>
      <c r="H139" s="362">
        <f t="shared" si="20"/>
        <v>0.99343688561232568</v>
      </c>
      <c r="I139" s="365">
        <f t="shared" si="21"/>
        <v>0</v>
      </c>
      <c r="J139" s="362">
        <f t="shared" si="22"/>
        <v>0</v>
      </c>
      <c r="K139" s="357">
        <f t="shared" si="23"/>
        <v>0</v>
      </c>
      <c r="L139" s="361">
        <f t="shared" si="24"/>
        <v>2.2335490296469542</v>
      </c>
      <c r="M139" s="112">
        <f>L139*D139*'B) D RI'!S140</f>
        <v>111329.01783372278</v>
      </c>
    </row>
    <row r="140" spans="1:13" x14ac:dyDescent="0.25">
      <c r="A140" s="288">
        <f>'A) Base RI'!A141</f>
        <v>5632</v>
      </c>
      <c r="B140" s="32" t="str">
        <f>'A) Base RI'!B141</f>
        <v>Denges</v>
      </c>
      <c r="C140" s="286">
        <f>'B) D RI'!U141</f>
        <v>80521.21435483871</v>
      </c>
      <c r="D140" s="32">
        <f>'B) D RI'!AA141</f>
        <v>1744</v>
      </c>
      <c r="E140" s="198">
        <f t="shared" si="17"/>
        <v>46.170421075022197</v>
      </c>
      <c r="F140" s="354">
        <f t="shared" si="18"/>
        <v>0.95417189475175868</v>
      </c>
      <c r="G140" s="365">
        <f t="shared" si="19"/>
        <v>0</v>
      </c>
      <c r="H140" s="362">
        <f t="shared" si="20"/>
        <v>0</v>
      </c>
      <c r="I140" s="365">
        <f t="shared" si="21"/>
        <v>0</v>
      </c>
      <c r="J140" s="362">
        <f t="shared" si="22"/>
        <v>0</v>
      </c>
      <c r="K140" s="357">
        <f t="shared" si="23"/>
        <v>0</v>
      </c>
      <c r="L140" s="361">
        <f t="shared" si="24"/>
        <v>0</v>
      </c>
      <c r="M140" s="112">
        <f>L140*D140*'B) D RI'!S141</f>
        <v>0</v>
      </c>
    </row>
    <row r="141" spans="1:13" x14ac:dyDescent="0.25">
      <c r="A141" s="288">
        <f>'A) Base RI'!A142</f>
        <v>5633</v>
      </c>
      <c r="B141" s="32" t="str">
        <f>'A) Base RI'!B142</f>
        <v>Echandens</v>
      </c>
      <c r="C141" s="286">
        <f>'B) D RI'!U142</f>
        <v>168845.50793388431</v>
      </c>
      <c r="D141" s="32">
        <f>'B) D RI'!AA142</f>
        <v>2775</v>
      </c>
      <c r="E141" s="198">
        <f t="shared" si="17"/>
        <v>60.845228084282631</v>
      </c>
      <c r="F141" s="354">
        <f t="shared" si="18"/>
        <v>1.257445897524879</v>
      </c>
      <c r="G141" s="365">
        <f t="shared" si="19"/>
        <v>12.457278985201185</v>
      </c>
      <c r="H141" s="362">
        <f t="shared" si="20"/>
        <v>2.7796891653849016</v>
      </c>
      <c r="I141" s="365">
        <f t="shared" si="21"/>
        <v>0</v>
      </c>
      <c r="J141" s="362">
        <f t="shared" si="22"/>
        <v>0</v>
      </c>
      <c r="K141" s="357">
        <f t="shared" si="23"/>
        <v>0</v>
      </c>
      <c r="L141" s="361">
        <f t="shared" si="24"/>
        <v>2.7694247135787271</v>
      </c>
      <c r="M141" s="112">
        <f>L141*D141*'B) D RI'!S142</f>
        <v>464951.79160094855</v>
      </c>
    </row>
    <row r="142" spans="1:13" x14ac:dyDescent="0.25">
      <c r="A142" s="288">
        <f>'A) Base RI'!A143</f>
        <v>5634</v>
      </c>
      <c r="B142" s="32" t="str">
        <f>'A) Base RI'!B143</f>
        <v>Echichens</v>
      </c>
      <c r="C142" s="286">
        <f>'B) D RI'!U143</f>
        <v>152568.89227272727</v>
      </c>
      <c r="D142" s="32">
        <f>'B) D RI'!AA143</f>
        <v>3142</v>
      </c>
      <c r="E142" s="198">
        <f t="shared" si="17"/>
        <v>48.557890602395695</v>
      </c>
      <c r="F142" s="354">
        <f t="shared" si="18"/>
        <v>1.0035120625378495</v>
      </c>
      <c r="G142" s="365">
        <f t="shared" si="19"/>
        <v>0.16994150331424862</v>
      </c>
      <c r="H142" s="362">
        <f t="shared" si="20"/>
        <v>0</v>
      </c>
      <c r="I142" s="365">
        <f t="shared" si="21"/>
        <v>0</v>
      </c>
      <c r="J142" s="362">
        <f t="shared" si="22"/>
        <v>0</v>
      </c>
      <c r="K142" s="357">
        <f t="shared" si="23"/>
        <v>0</v>
      </c>
      <c r="L142" s="361">
        <f t="shared" si="24"/>
        <v>3.3988300662849726E-2</v>
      </c>
      <c r="M142" s="112">
        <f>L142*D142*'B) D RI'!S143</f>
        <v>7048.2218850564741</v>
      </c>
    </row>
    <row r="143" spans="1:13" x14ac:dyDescent="0.25">
      <c r="A143" s="288">
        <f>'A) Base RI'!A144</f>
        <v>5635</v>
      </c>
      <c r="B143" s="32" t="str">
        <f>'A) Base RI'!B144</f>
        <v>Ecublens</v>
      </c>
      <c r="C143" s="286">
        <f>'B) D RI'!U144</f>
        <v>872367.07997333352</v>
      </c>
      <c r="D143" s="32">
        <f>'B) D RI'!AA144</f>
        <v>13214</v>
      </c>
      <c r="E143" s="198">
        <f t="shared" si="17"/>
        <v>66.018395638968784</v>
      </c>
      <c r="F143" s="354">
        <f t="shared" si="18"/>
        <v>1.3643561437949436</v>
      </c>
      <c r="G143" s="365">
        <f t="shared" si="19"/>
        <v>17.630446539887338</v>
      </c>
      <c r="H143" s="362">
        <f t="shared" si="20"/>
        <v>7.952856720071054</v>
      </c>
      <c r="I143" s="365">
        <f t="shared" si="21"/>
        <v>0</v>
      </c>
      <c r="J143" s="362">
        <f t="shared" si="22"/>
        <v>0</v>
      </c>
      <c r="K143" s="357">
        <f t="shared" si="23"/>
        <v>0</v>
      </c>
      <c r="L143" s="361">
        <f t="shared" si="24"/>
        <v>4.3213749799845722</v>
      </c>
      <c r="M143" s="112">
        <f>L143*D143*'B) D RI'!S144</f>
        <v>3568915.5615947582</v>
      </c>
    </row>
    <row r="144" spans="1:13" x14ac:dyDescent="0.25">
      <c r="A144" s="288">
        <f>'A) Base RI'!A145</f>
        <v>5636</v>
      </c>
      <c r="B144" s="32" t="str">
        <f>'A) Base RI'!B145</f>
        <v>Etoy</v>
      </c>
      <c r="C144" s="286">
        <f>'B) D RI'!U145</f>
        <v>187063.54000000004</v>
      </c>
      <c r="D144" s="32">
        <f>'B) D RI'!AA145</f>
        <v>2918</v>
      </c>
      <c r="E144" s="198">
        <f t="shared" si="17"/>
        <v>64.10676490747089</v>
      </c>
      <c r="F144" s="354">
        <f t="shared" si="18"/>
        <v>1.3248498045702011</v>
      </c>
      <c r="G144" s="365">
        <f t="shared" si="19"/>
        <v>15.718815808389444</v>
      </c>
      <c r="H144" s="362">
        <f t="shared" si="20"/>
        <v>6.0412259885731601</v>
      </c>
      <c r="I144" s="365">
        <f t="shared" si="21"/>
        <v>0</v>
      </c>
      <c r="J144" s="362">
        <f t="shared" si="22"/>
        <v>0</v>
      </c>
      <c r="K144" s="357">
        <f t="shared" si="23"/>
        <v>0</v>
      </c>
      <c r="L144" s="361">
        <f t="shared" si="24"/>
        <v>3.7478857605352047</v>
      </c>
      <c r="M144" s="112">
        <f>L144*D144*'B) D RI'!S145</f>
        <v>656179.83895450365</v>
      </c>
    </row>
    <row r="145" spans="1:13" x14ac:dyDescent="0.25">
      <c r="A145" s="288">
        <f>'A) Base RI'!A146</f>
        <v>5637</v>
      </c>
      <c r="B145" s="32" t="str">
        <f>'A) Base RI'!B146</f>
        <v>Lavigny</v>
      </c>
      <c r="C145" s="286">
        <f>'B) D RI'!U146</f>
        <v>37900.997397260275</v>
      </c>
      <c r="D145" s="32">
        <f>'B) D RI'!AA146</f>
        <v>1026</v>
      </c>
      <c r="E145" s="198">
        <f t="shared" si="17"/>
        <v>36.940543272183504</v>
      </c>
      <c r="F145" s="354">
        <f t="shared" si="18"/>
        <v>0.76342444678823451</v>
      </c>
      <c r="G145" s="365">
        <f t="shared" si="19"/>
        <v>0</v>
      </c>
      <c r="H145" s="362">
        <f t="shared" si="20"/>
        <v>0</v>
      </c>
      <c r="I145" s="365">
        <f t="shared" si="21"/>
        <v>0</v>
      </c>
      <c r="J145" s="362">
        <f t="shared" si="22"/>
        <v>0</v>
      </c>
      <c r="K145" s="357">
        <f t="shared" si="23"/>
        <v>0</v>
      </c>
      <c r="L145" s="361">
        <f t="shared" si="24"/>
        <v>0</v>
      </c>
      <c r="M145" s="112">
        <f>L145*D145*'B) D RI'!S146</f>
        <v>0</v>
      </c>
    </row>
    <row r="146" spans="1:13" x14ac:dyDescent="0.25">
      <c r="A146" s="288">
        <f>'A) Base RI'!A147</f>
        <v>5638</v>
      </c>
      <c r="B146" s="32" t="str">
        <f>'A) Base RI'!B147</f>
        <v>Lonay</v>
      </c>
      <c r="C146" s="286">
        <f>'B) D RI'!U147</f>
        <v>174162.36418181815</v>
      </c>
      <c r="D146" s="32">
        <f>'B) D RI'!AA147</f>
        <v>2751</v>
      </c>
      <c r="E146" s="198">
        <f t="shared" si="17"/>
        <v>63.308747430686353</v>
      </c>
      <c r="F146" s="354">
        <f t="shared" si="18"/>
        <v>1.3083577338864347</v>
      </c>
      <c r="G146" s="365">
        <f t="shared" si="19"/>
        <v>14.920798331604907</v>
      </c>
      <c r="H146" s="362">
        <f t="shared" si="20"/>
        <v>5.2432085117886231</v>
      </c>
      <c r="I146" s="365">
        <f t="shared" si="21"/>
        <v>0</v>
      </c>
      <c r="J146" s="362">
        <f t="shared" si="22"/>
        <v>0</v>
      </c>
      <c r="K146" s="357">
        <f t="shared" si="23"/>
        <v>0</v>
      </c>
      <c r="L146" s="361">
        <f t="shared" si="24"/>
        <v>3.5084805174998435</v>
      </c>
      <c r="M146" s="112">
        <f>L146*D146*'B) D RI'!S147</f>
        <v>530850.6447003138</v>
      </c>
    </row>
    <row r="147" spans="1:13" x14ac:dyDescent="0.25">
      <c r="A147" s="288">
        <f>'A) Base RI'!A148</f>
        <v>5639</v>
      </c>
      <c r="B147" s="32" t="str">
        <f>'A) Base RI'!B148</f>
        <v>Lully</v>
      </c>
      <c r="C147" s="286">
        <f>'B) D RI'!U148</f>
        <v>53711.269344262299</v>
      </c>
      <c r="D147" s="32">
        <f>'B) D RI'!AA148</f>
        <v>828</v>
      </c>
      <c r="E147" s="198">
        <f t="shared" si="17"/>
        <v>64.868682782925475</v>
      </c>
      <c r="F147" s="354">
        <f t="shared" si="18"/>
        <v>1.3405958299678562</v>
      </c>
      <c r="G147" s="365">
        <f t="shared" si="19"/>
        <v>16.480733683844029</v>
      </c>
      <c r="H147" s="362">
        <f t="shared" si="20"/>
        <v>6.8031438640277457</v>
      </c>
      <c r="I147" s="365">
        <f t="shared" si="21"/>
        <v>0</v>
      </c>
      <c r="J147" s="362">
        <f t="shared" si="22"/>
        <v>0</v>
      </c>
      <c r="K147" s="357">
        <f t="shared" si="23"/>
        <v>0</v>
      </c>
      <c r="L147" s="361">
        <f t="shared" si="24"/>
        <v>3.9764611231715805</v>
      </c>
      <c r="M147" s="112">
        <f>L147*D147*'B) D RI'!S148</f>
        <v>200843.0984091502</v>
      </c>
    </row>
    <row r="148" spans="1:13" x14ac:dyDescent="0.25">
      <c r="A148" s="288">
        <f>'A) Base RI'!A149</f>
        <v>5640</v>
      </c>
      <c r="B148" s="32" t="str">
        <f>'A) Base RI'!B149</f>
        <v>Lussy-sur-Morges</v>
      </c>
      <c r="C148" s="286">
        <f>'B) D RI'!U149</f>
        <v>70527.814108527149</v>
      </c>
      <c r="D148" s="32">
        <f>'B) D RI'!AA149</f>
        <v>740</v>
      </c>
      <c r="E148" s="198">
        <f t="shared" si="17"/>
        <v>95.307856903415072</v>
      </c>
      <c r="F148" s="354">
        <f t="shared" si="18"/>
        <v>1.9696610143211115</v>
      </c>
      <c r="G148" s="365">
        <f t="shared" si="19"/>
        <v>46.919907804333626</v>
      </c>
      <c r="H148" s="362">
        <f t="shared" si="20"/>
        <v>37.242317984517342</v>
      </c>
      <c r="I148" s="365">
        <f t="shared" si="21"/>
        <v>22.725933254792906</v>
      </c>
      <c r="J148" s="362">
        <f t="shared" si="22"/>
        <v>0</v>
      </c>
      <c r="K148" s="357">
        <f t="shared" si="23"/>
        <v>0</v>
      </c>
      <c r="L148" s="361">
        <f t="shared" si="24"/>
        <v>15.380806684797751</v>
      </c>
      <c r="M148" s="112">
        <f>L148*D148*'B) D RI'!S149</f>
        <v>734125.90306539659</v>
      </c>
    </row>
    <row r="149" spans="1:13" x14ac:dyDescent="0.25">
      <c r="A149" s="288">
        <f>'A) Base RI'!A150</f>
        <v>5642</v>
      </c>
      <c r="B149" s="32" t="str">
        <f>'A) Base RI'!B150</f>
        <v>Morges</v>
      </c>
      <c r="C149" s="286">
        <f>'B) D RI'!U150</f>
        <v>999726.82119402988</v>
      </c>
      <c r="D149" s="32">
        <f>'B) D RI'!AA150</f>
        <v>16885</v>
      </c>
      <c r="E149" s="198">
        <f t="shared" si="17"/>
        <v>59.207984672432922</v>
      </c>
      <c r="F149" s="354">
        <f t="shared" si="18"/>
        <v>1.2236101296873703</v>
      </c>
      <c r="G149" s="365">
        <f t="shared" si="19"/>
        <v>10.820035573351475</v>
      </c>
      <c r="H149" s="362">
        <f t="shared" si="20"/>
        <v>1.142445753535192</v>
      </c>
      <c r="I149" s="365">
        <f t="shared" si="21"/>
        <v>0</v>
      </c>
      <c r="J149" s="362">
        <f t="shared" si="22"/>
        <v>0</v>
      </c>
      <c r="K149" s="357">
        <f t="shared" si="23"/>
        <v>0</v>
      </c>
      <c r="L149" s="361">
        <f t="shared" si="24"/>
        <v>2.2782516900238141</v>
      </c>
      <c r="M149" s="112">
        <f>L149*D149*'B) D RI'!S150</f>
        <v>2577374.7456654906</v>
      </c>
    </row>
    <row r="150" spans="1:13" x14ac:dyDescent="0.25">
      <c r="A150" s="288">
        <f>'A) Base RI'!A151</f>
        <v>5643</v>
      </c>
      <c r="B150" s="32" t="str">
        <f>'A) Base RI'!B151</f>
        <v>Préverenges</v>
      </c>
      <c r="C150" s="286">
        <f>'B) D RI'!U151</f>
        <v>257752.82112000001</v>
      </c>
      <c r="D150" s="32">
        <f>'B) D RI'!AA151</f>
        <v>5208</v>
      </c>
      <c r="E150" s="198">
        <f t="shared" si="17"/>
        <v>49.491709124423963</v>
      </c>
      <c r="F150" s="354">
        <f t="shared" si="18"/>
        <v>1.0228106387208602</v>
      </c>
      <c r="G150" s="365">
        <f t="shared" si="19"/>
        <v>1.1037600253425168</v>
      </c>
      <c r="H150" s="362">
        <f t="shared" si="20"/>
        <v>0</v>
      </c>
      <c r="I150" s="365">
        <f t="shared" si="21"/>
        <v>0</v>
      </c>
      <c r="J150" s="362">
        <f t="shared" si="22"/>
        <v>0</v>
      </c>
      <c r="K150" s="357">
        <f t="shared" si="23"/>
        <v>0</v>
      </c>
      <c r="L150" s="361">
        <f t="shared" si="24"/>
        <v>0.22075200506850337</v>
      </c>
      <c r="M150" s="112">
        <f>L150*D150*'B) D RI'!S151</f>
        <v>71854.777649797848</v>
      </c>
    </row>
    <row r="151" spans="1:13" x14ac:dyDescent="0.25">
      <c r="A151" s="288">
        <f>'A) Base RI'!A152</f>
        <v>5644</v>
      </c>
      <c r="B151" s="32" t="str">
        <f>'A) Base RI'!B152</f>
        <v>Reverolle</v>
      </c>
      <c r="C151" s="286">
        <f>'B) D RI'!U152</f>
        <v>16363.457972972968</v>
      </c>
      <c r="D151" s="32">
        <f>'B) D RI'!AA152</f>
        <v>403</v>
      </c>
      <c r="E151" s="198">
        <f t="shared" si="17"/>
        <v>40.604114076856</v>
      </c>
      <c r="F151" s="354">
        <f t="shared" si="18"/>
        <v>0.83913690976472466</v>
      </c>
      <c r="G151" s="365">
        <f t="shared" si="19"/>
        <v>0</v>
      </c>
      <c r="H151" s="362">
        <f t="shared" si="20"/>
        <v>0</v>
      </c>
      <c r="I151" s="365">
        <f t="shared" si="21"/>
        <v>0</v>
      </c>
      <c r="J151" s="362">
        <f t="shared" si="22"/>
        <v>0</v>
      </c>
      <c r="K151" s="357">
        <f t="shared" si="23"/>
        <v>0</v>
      </c>
      <c r="L151" s="361">
        <f t="shared" si="24"/>
        <v>0</v>
      </c>
      <c r="M151" s="112">
        <f>L151*D151*'B) D RI'!S152</f>
        <v>0</v>
      </c>
    </row>
    <row r="152" spans="1:13" x14ac:dyDescent="0.25">
      <c r="A152" s="288">
        <f>'A) Base RI'!A153</f>
        <v>5645</v>
      </c>
      <c r="B152" s="32" t="str">
        <f>'A) Base RI'!B153</f>
        <v>Romanel-sur-Morges</v>
      </c>
      <c r="C152" s="286">
        <f>'B) D RI'!U153</f>
        <v>26586.021785714285</v>
      </c>
      <c r="D152" s="32">
        <f>'B) D RI'!AA153</f>
        <v>466</v>
      </c>
      <c r="E152" s="198">
        <f t="shared" si="17"/>
        <v>57.051548896382585</v>
      </c>
      <c r="F152" s="354">
        <f t="shared" si="18"/>
        <v>1.1790445753251733</v>
      </c>
      <c r="G152" s="365">
        <f t="shared" si="19"/>
        <v>8.6635997973011385</v>
      </c>
      <c r="H152" s="362">
        <f t="shared" si="20"/>
        <v>0</v>
      </c>
      <c r="I152" s="365">
        <f t="shared" si="21"/>
        <v>0</v>
      </c>
      <c r="J152" s="362">
        <f t="shared" si="22"/>
        <v>0</v>
      </c>
      <c r="K152" s="357">
        <f t="shared" si="23"/>
        <v>0</v>
      </c>
      <c r="L152" s="361">
        <f t="shared" si="24"/>
        <v>1.7327199594602278</v>
      </c>
      <c r="M152" s="112">
        <f>L152*D152*'B) D RI'!S153</f>
        <v>45217.06006207411</v>
      </c>
    </row>
    <row r="153" spans="1:13" x14ac:dyDescent="0.25">
      <c r="A153" s="288">
        <f>'A) Base RI'!A154</f>
        <v>5646</v>
      </c>
      <c r="B153" s="32" t="str">
        <f>'A) Base RI'!B154</f>
        <v>Saint-Prex</v>
      </c>
      <c r="C153" s="286">
        <f>'B) D RI'!U154</f>
        <v>527982.74983050849</v>
      </c>
      <c r="D153" s="32">
        <f>'B) D RI'!AA154</f>
        <v>5866</v>
      </c>
      <c r="E153" s="198">
        <f t="shared" si="17"/>
        <v>90.007287731078847</v>
      </c>
      <c r="F153" s="354">
        <f t="shared" si="18"/>
        <v>1.8601178476644191</v>
      </c>
      <c r="G153" s="365">
        <f t="shared" si="19"/>
        <v>41.619338631997401</v>
      </c>
      <c r="H153" s="362">
        <f t="shared" si="20"/>
        <v>31.941748812181118</v>
      </c>
      <c r="I153" s="365">
        <f t="shared" si="21"/>
        <v>17.425364082456682</v>
      </c>
      <c r="J153" s="362">
        <f t="shared" si="22"/>
        <v>0</v>
      </c>
      <c r="K153" s="357">
        <f t="shared" si="23"/>
        <v>0</v>
      </c>
      <c r="L153" s="361">
        <f t="shared" si="24"/>
        <v>13.260579015863261</v>
      </c>
      <c r="M153" s="112">
        <f>L153*D153*'B) D RI'!S154</f>
        <v>4589406.8339161789</v>
      </c>
    </row>
    <row r="154" spans="1:13" x14ac:dyDescent="0.25">
      <c r="A154" s="288">
        <f>'A) Base RI'!A155</f>
        <v>5648</v>
      </c>
      <c r="B154" s="32" t="str">
        <f>'A) Base RI'!B155</f>
        <v>Saint-Sulpice</v>
      </c>
      <c r="C154" s="286">
        <f>'B) D RI'!U155</f>
        <v>394426.68886363629</v>
      </c>
      <c r="D154" s="32">
        <f>'B) D RI'!AA155</f>
        <v>4932</v>
      </c>
      <c r="E154" s="198">
        <f t="shared" si="17"/>
        <v>79.972970166998437</v>
      </c>
      <c r="F154" s="354">
        <f t="shared" si="18"/>
        <v>1.6527456041429243</v>
      </c>
      <c r="G154" s="365">
        <f t="shared" si="19"/>
        <v>31.58502106791699</v>
      </c>
      <c r="H154" s="362">
        <f t="shared" si="20"/>
        <v>21.907431248100707</v>
      </c>
      <c r="I154" s="365">
        <f t="shared" si="21"/>
        <v>7.391046518376271</v>
      </c>
      <c r="J154" s="362">
        <f t="shared" si="22"/>
        <v>0</v>
      </c>
      <c r="K154" s="357">
        <f t="shared" si="23"/>
        <v>0</v>
      </c>
      <c r="L154" s="361">
        <f t="shared" si="24"/>
        <v>9.2468519902310966</v>
      </c>
      <c r="M154" s="112">
        <f>L154*D154*'B) D RI'!S155</f>
        <v>2508301.070870087</v>
      </c>
    </row>
    <row r="155" spans="1:13" x14ac:dyDescent="0.25">
      <c r="A155" s="288">
        <f>'A) Base RI'!A156</f>
        <v>5649</v>
      </c>
      <c r="B155" s="32" t="str">
        <f>'A) Base RI'!B156</f>
        <v>Tolochenaz</v>
      </c>
      <c r="C155" s="286">
        <f>'B) D RI'!U156</f>
        <v>155778.42171874997</v>
      </c>
      <c r="D155" s="32">
        <f>'B) D RI'!AA156</f>
        <v>1886</v>
      </c>
      <c r="E155" s="198">
        <f t="shared" si="17"/>
        <v>82.597254357767753</v>
      </c>
      <c r="F155" s="354">
        <f t="shared" si="18"/>
        <v>1.7069798554313125</v>
      </c>
      <c r="G155" s="365">
        <f t="shared" si="19"/>
        <v>34.209305258686307</v>
      </c>
      <c r="H155" s="362">
        <f t="shared" si="20"/>
        <v>24.531715438870023</v>
      </c>
      <c r="I155" s="365">
        <f t="shared" si="21"/>
        <v>10.015330709145587</v>
      </c>
      <c r="J155" s="362">
        <f t="shared" si="22"/>
        <v>0</v>
      </c>
      <c r="K155" s="357">
        <f t="shared" si="23"/>
        <v>0</v>
      </c>
      <c r="L155" s="361">
        <f t="shared" si="24"/>
        <v>10.296565666538822</v>
      </c>
      <c r="M155" s="112">
        <f>L155*D155*'B) D RI'!S156</f>
        <v>1242836.662213902</v>
      </c>
    </row>
    <row r="156" spans="1:13" x14ac:dyDescent="0.25">
      <c r="A156" s="288">
        <f>'A) Base RI'!A157</f>
        <v>5650</v>
      </c>
      <c r="B156" s="32" t="str">
        <f>'A) Base RI'!B157</f>
        <v>Vaux-sur-Morges</v>
      </c>
      <c r="C156" s="286">
        <f>'B) D RI'!U157</f>
        <v>83125.71642857141</v>
      </c>
      <c r="D156" s="32">
        <f>'B) D RI'!AA157</f>
        <v>196</v>
      </c>
      <c r="E156" s="198">
        <f t="shared" si="17"/>
        <v>424.11079810495619</v>
      </c>
      <c r="F156" s="354">
        <f t="shared" si="18"/>
        <v>8.764802104683687</v>
      </c>
      <c r="G156" s="365">
        <f t="shared" si="19"/>
        <v>375.72284900587476</v>
      </c>
      <c r="H156" s="362">
        <f t="shared" si="20"/>
        <v>366.04525918605844</v>
      </c>
      <c r="I156" s="365">
        <f t="shared" si="21"/>
        <v>351.52887445633405</v>
      </c>
      <c r="J156" s="362">
        <f t="shared" si="22"/>
        <v>327.33489990679328</v>
      </c>
      <c r="K156" s="357">
        <f t="shared" si="23"/>
        <v>278.94695080771186</v>
      </c>
      <c r="L156" s="361">
        <f t="shared" si="24"/>
        <v>207.53016823686471</v>
      </c>
      <c r="M156" s="112">
        <f>L156*D156*'B) D RI'!S157</f>
        <v>2277851.1265678271</v>
      </c>
    </row>
    <row r="157" spans="1:13" x14ac:dyDescent="0.25">
      <c r="A157" s="288">
        <f>'A) Base RI'!A158</f>
        <v>5651</v>
      </c>
      <c r="B157" s="32" t="str">
        <f>'A) Base RI'!B158</f>
        <v>Villars-Sainte-Croix</v>
      </c>
      <c r="C157" s="286">
        <f>'B) D RI'!U158</f>
        <v>57697.031735537188</v>
      </c>
      <c r="D157" s="32">
        <f>'B) D RI'!AA158</f>
        <v>958</v>
      </c>
      <c r="E157" s="198">
        <f t="shared" si="17"/>
        <v>60.226546696802913</v>
      </c>
      <c r="F157" s="354">
        <f t="shared" si="18"/>
        <v>1.2446600407361799</v>
      </c>
      <c r="G157" s="365">
        <f t="shared" si="19"/>
        <v>11.838597597721467</v>
      </c>
      <c r="H157" s="362">
        <f t="shared" si="20"/>
        <v>2.1610077779051835</v>
      </c>
      <c r="I157" s="365">
        <f t="shared" si="21"/>
        <v>0</v>
      </c>
      <c r="J157" s="362">
        <f t="shared" si="22"/>
        <v>0</v>
      </c>
      <c r="K157" s="357">
        <f t="shared" si="23"/>
        <v>0</v>
      </c>
      <c r="L157" s="361">
        <f t="shared" si="24"/>
        <v>2.5838202973348117</v>
      </c>
      <c r="M157" s="112">
        <f>L157*D157*'B) D RI'!S158</f>
        <v>149755.64061322834</v>
      </c>
    </row>
    <row r="158" spans="1:13" x14ac:dyDescent="0.25">
      <c r="A158" s="288">
        <f>'A) Base RI'!A159</f>
        <v>5652</v>
      </c>
      <c r="B158" s="32" t="str">
        <f>'A) Base RI'!B159</f>
        <v>Villars-sous-Yens</v>
      </c>
      <c r="C158" s="286">
        <f>'B) D RI'!U159</f>
        <v>25902.630833333329</v>
      </c>
      <c r="D158" s="32">
        <f>'B) D RI'!AA159</f>
        <v>626</v>
      </c>
      <c r="E158" s="198">
        <f t="shared" si="17"/>
        <v>41.37800452609158</v>
      </c>
      <c r="F158" s="354">
        <f t="shared" si="18"/>
        <v>0.8551303639954656</v>
      </c>
      <c r="G158" s="365">
        <f t="shared" si="19"/>
        <v>0</v>
      </c>
      <c r="H158" s="362">
        <f t="shared" si="20"/>
        <v>0</v>
      </c>
      <c r="I158" s="365">
        <f t="shared" si="21"/>
        <v>0</v>
      </c>
      <c r="J158" s="362">
        <f t="shared" si="22"/>
        <v>0</v>
      </c>
      <c r="K158" s="357">
        <f t="shared" si="23"/>
        <v>0</v>
      </c>
      <c r="L158" s="361">
        <f t="shared" si="24"/>
        <v>0</v>
      </c>
      <c r="M158" s="112">
        <f>L158*D158*'B) D RI'!S159</f>
        <v>0</v>
      </c>
    </row>
    <row r="159" spans="1:13" x14ac:dyDescent="0.25">
      <c r="A159" s="288">
        <f>'A) Base RI'!A160</f>
        <v>5653</v>
      </c>
      <c r="B159" s="32" t="str">
        <f>'A) Base RI'!B160</f>
        <v>Vufflens-le-Château</v>
      </c>
      <c r="C159" s="286">
        <f>'B) D RI'!U160</f>
        <v>67687.367350427332</v>
      </c>
      <c r="D159" s="32">
        <f>'B) D RI'!AA160</f>
        <v>894</v>
      </c>
      <c r="E159" s="198">
        <f t="shared" si="17"/>
        <v>75.712938870724088</v>
      </c>
      <c r="F159" s="354">
        <f t="shared" si="18"/>
        <v>1.5647065081367821</v>
      </c>
      <c r="G159" s="365">
        <f t="shared" si="19"/>
        <v>27.324989771642642</v>
      </c>
      <c r="H159" s="362">
        <f t="shared" si="20"/>
        <v>17.647399951826358</v>
      </c>
      <c r="I159" s="365">
        <f t="shared" si="21"/>
        <v>3.1310152221019223</v>
      </c>
      <c r="J159" s="362">
        <f t="shared" si="22"/>
        <v>0</v>
      </c>
      <c r="K159" s="357">
        <f t="shared" si="23"/>
        <v>0</v>
      </c>
      <c r="L159" s="361">
        <f t="shared" si="24"/>
        <v>7.542839471721356</v>
      </c>
      <c r="M159" s="112">
        <f>L159*D159*'B) D RI'!S160</f>
        <v>394482.96153155516</v>
      </c>
    </row>
    <row r="160" spans="1:13" x14ac:dyDescent="0.25">
      <c r="A160" s="288">
        <f>'A) Base RI'!A161</f>
        <v>5654</v>
      </c>
      <c r="B160" s="32" t="str">
        <f>'A) Base RI'!B161</f>
        <v>Vullierens</v>
      </c>
      <c r="C160" s="286">
        <f>'B) D RI'!U161</f>
        <v>20665.692500000001</v>
      </c>
      <c r="D160" s="32">
        <f>'B) D RI'!AA161</f>
        <v>560</v>
      </c>
      <c r="E160" s="198">
        <f t="shared" si="17"/>
        <v>36.903022321428573</v>
      </c>
      <c r="F160" s="354">
        <f t="shared" si="18"/>
        <v>0.76264902746475582</v>
      </c>
      <c r="G160" s="365">
        <f t="shared" si="19"/>
        <v>0</v>
      </c>
      <c r="H160" s="362">
        <f t="shared" si="20"/>
        <v>0</v>
      </c>
      <c r="I160" s="365">
        <f t="shared" si="21"/>
        <v>0</v>
      </c>
      <c r="J160" s="362">
        <f t="shared" si="22"/>
        <v>0</v>
      </c>
      <c r="K160" s="357">
        <f t="shared" si="23"/>
        <v>0</v>
      </c>
      <c r="L160" s="361">
        <f t="shared" si="24"/>
        <v>0</v>
      </c>
      <c r="M160" s="112">
        <f>L160*D160*'B) D RI'!S161</f>
        <v>0</v>
      </c>
    </row>
    <row r="161" spans="1:13" x14ac:dyDescent="0.25">
      <c r="A161" s="288">
        <f>'A) Base RI'!A162</f>
        <v>5655</v>
      </c>
      <c r="B161" s="32" t="str">
        <f>'A) Base RI'!B162</f>
        <v>Yens</v>
      </c>
      <c r="C161" s="286">
        <f>'B) D RI'!U162</f>
        <v>73454.856083916078</v>
      </c>
      <c r="D161" s="32">
        <f>'B) D RI'!AA162</f>
        <v>1499</v>
      </c>
      <c r="E161" s="198">
        <f t="shared" si="17"/>
        <v>49.0025724375691</v>
      </c>
      <c r="F161" s="354">
        <f t="shared" si="18"/>
        <v>1.0127019919201188</v>
      </c>
      <c r="G161" s="365">
        <f t="shared" si="19"/>
        <v>0.61462333848765383</v>
      </c>
      <c r="H161" s="362">
        <f t="shared" si="20"/>
        <v>0</v>
      </c>
      <c r="I161" s="365">
        <f t="shared" si="21"/>
        <v>0</v>
      </c>
      <c r="J161" s="362">
        <f t="shared" si="22"/>
        <v>0</v>
      </c>
      <c r="K161" s="357">
        <f t="shared" si="23"/>
        <v>0</v>
      </c>
      <c r="L161" s="361">
        <f t="shared" si="24"/>
        <v>0.12292466769753077</v>
      </c>
      <c r="M161" s="112">
        <f>L161*D161*'B) D RI'!S162</f>
        <v>13174.8814968198</v>
      </c>
    </row>
    <row r="162" spans="1:13" x14ac:dyDescent="0.25">
      <c r="A162" s="288">
        <f>'A) Base RI'!A163</f>
        <v>5661</v>
      </c>
      <c r="B162" s="32" t="str">
        <f>'A) Base RI'!B163</f>
        <v>Boulens</v>
      </c>
      <c r="C162" s="286">
        <f>'B) D RI'!U163</f>
        <v>11226.588951048951</v>
      </c>
      <c r="D162" s="32">
        <f>'B) D RI'!AA163</f>
        <v>371</v>
      </c>
      <c r="E162" s="198">
        <f t="shared" si="17"/>
        <v>30.26034757695135</v>
      </c>
      <c r="F162" s="354">
        <f t="shared" si="18"/>
        <v>0.62536950088520671</v>
      </c>
      <c r="G162" s="365">
        <f t="shared" si="19"/>
        <v>0</v>
      </c>
      <c r="H162" s="362">
        <f t="shared" si="20"/>
        <v>0</v>
      </c>
      <c r="I162" s="365">
        <f t="shared" si="21"/>
        <v>0</v>
      </c>
      <c r="J162" s="362">
        <f t="shared" si="22"/>
        <v>0</v>
      </c>
      <c r="K162" s="357">
        <f t="shared" si="23"/>
        <v>0</v>
      </c>
      <c r="L162" s="361">
        <f t="shared" si="24"/>
        <v>0</v>
      </c>
      <c r="M162" s="112">
        <f>L162*D162*'B) D RI'!S163</f>
        <v>0</v>
      </c>
    </row>
    <row r="163" spans="1:13" x14ac:dyDescent="0.25">
      <c r="A163" s="288">
        <f>'A) Base RI'!A164</f>
        <v>5663</v>
      </c>
      <c r="B163" s="32" t="str">
        <f>'A) Base RI'!B164</f>
        <v>Bussy-sur-Moudon</v>
      </c>
      <c r="C163" s="286">
        <f>'B) D RI'!U164</f>
        <v>5263.6754140127387</v>
      </c>
      <c r="D163" s="32">
        <f>'B) D RI'!AA164</f>
        <v>236</v>
      </c>
      <c r="E163" s="198">
        <f t="shared" si="17"/>
        <v>22.303709381409909</v>
      </c>
      <c r="F163" s="354">
        <f t="shared" si="18"/>
        <v>0.46093520797378251</v>
      </c>
      <c r="G163" s="365">
        <f t="shared" si="19"/>
        <v>0</v>
      </c>
      <c r="H163" s="362">
        <f t="shared" si="20"/>
        <v>0</v>
      </c>
      <c r="I163" s="365">
        <f t="shared" si="21"/>
        <v>0</v>
      </c>
      <c r="J163" s="362">
        <f t="shared" si="22"/>
        <v>0</v>
      </c>
      <c r="K163" s="357">
        <f t="shared" si="23"/>
        <v>0</v>
      </c>
      <c r="L163" s="361">
        <f t="shared" si="24"/>
        <v>0</v>
      </c>
      <c r="M163" s="112">
        <f>L163*D163*'B) D RI'!S164</f>
        <v>0</v>
      </c>
    </row>
    <row r="164" spans="1:13" x14ac:dyDescent="0.25">
      <c r="A164" s="288">
        <f>'A) Base RI'!A165</f>
        <v>5665</v>
      </c>
      <c r="B164" s="32" t="str">
        <f>'A) Base RI'!B165</f>
        <v>Chavannes-sur-Moudon</v>
      </c>
      <c r="C164" s="286">
        <f>'B) D RI'!U165</f>
        <v>4920.86942857143</v>
      </c>
      <c r="D164" s="32">
        <f>'B) D RI'!AA165</f>
        <v>222</v>
      </c>
      <c r="E164" s="198">
        <f t="shared" si="17"/>
        <v>22.166078507078513</v>
      </c>
      <c r="F164" s="354">
        <f t="shared" si="18"/>
        <v>0.45809088667284092</v>
      </c>
      <c r="G164" s="365">
        <f t="shared" si="19"/>
        <v>0</v>
      </c>
      <c r="H164" s="362">
        <f t="shared" si="20"/>
        <v>0</v>
      </c>
      <c r="I164" s="365">
        <f t="shared" si="21"/>
        <v>0</v>
      </c>
      <c r="J164" s="362">
        <f t="shared" si="22"/>
        <v>0</v>
      </c>
      <c r="K164" s="357">
        <f t="shared" si="23"/>
        <v>0</v>
      </c>
      <c r="L164" s="361">
        <f t="shared" si="24"/>
        <v>0</v>
      </c>
      <c r="M164" s="112">
        <f>L164*D164*'B) D RI'!S165</f>
        <v>0</v>
      </c>
    </row>
    <row r="165" spans="1:13" x14ac:dyDescent="0.25">
      <c r="A165" s="288">
        <f>'A) Base RI'!A166</f>
        <v>5669</v>
      </c>
      <c r="B165" s="32" t="str">
        <f>'A) Base RI'!B166</f>
        <v>Curtilles</v>
      </c>
      <c r="C165" s="286">
        <f>'B) D RI'!U166</f>
        <v>9338.3773972602739</v>
      </c>
      <c r="D165" s="32">
        <f>'B) D RI'!AA166</f>
        <v>296</v>
      </c>
      <c r="E165" s="198">
        <f t="shared" si="17"/>
        <v>31.548572288041466</v>
      </c>
      <c r="F165" s="354">
        <f t="shared" si="18"/>
        <v>0.65199234262731665</v>
      </c>
      <c r="G165" s="365">
        <f t="shared" si="19"/>
        <v>0</v>
      </c>
      <c r="H165" s="362">
        <f t="shared" si="20"/>
        <v>0</v>
      </c>
      <c r="I165" s="365">
        <f t="shared" si="21"/>
        <v>0</v>
      </c>
      <c r="J165" s="362">
        <f t="shared" si="22"/>
        <v>0</v>
      </c>
      <c r="K165" s="357">
        <f t="shared" si="23"/>
        <v>0</v>
      </c>
      <c r="L165" s="361">
        <f t="shared" si="24"/>
        <v>0</v>
      </c>
      <c r="M165" s="112">
        <f>L165*D165*'B) D RI'!S166</f>
        <v>0</v>
      </c>
    </row>
    <row r="166" spans="1:13" x14ac:dyDescent="0.25">
      <c r="A166" s="288">
        <f>'A) Base RI'!A167</f>
        <v>5671</v>
      </c>
      <c r="B166" s="32" t="str">
        <f>'A) Base RI'!B167</f>
        <v>Dompierre</v>
      </c>
      <c r="C166" s="286">
        <f>'B) D RI'!U167</f>
        <v>6463.9784615384606</v>
      </c>
      <c r="D166" s="32">
        <f>'B) D RI'!AA167</f>
        <v>246</v>
      </c>
      <c r="E166" s="198">
        <f t="shared" si="17"/>
        <v>26.276335209505937</v>
      </c>
      <c r="F166" s="354">
        <f t="shared" si="18"/>
        <v>0.54303469559541107</v>
      </c>
      <c r="G166" s="365">
        <f t="shared" si="19"/>
        <v>0</v>
      </c>
      <c r="H166" s="362">
        <f t="shared" si="20"/>
        <v>0</v>
      </c>
      <c r="I166" s="365">
        <f t="shared" si="21"/>
        <v>0</v>
      </c>
      <c r="J166" s="362">
        <f t="shared" si="22"/>
        <v>0</v>
      </c>
      <c r="K166" s="357">
        <f t="shared" si="23"/>
        <v>0</v>
      </c>
      <c r="L166" s="361">
        <f t="shared" si="24"/>
        <v>0</v>
      </c>
      <c r="M166" s="112">
        <f>L166*D166*'B) D RI'!S167</f>
        <v>0</v>
      </c>
    </row>
    <row r="167" spans="1:13" x14ac:dyDescent="0.25">
      <c r="A167" s="288">
        <f>'A) Base RI'!A168</f>
        <v>5673</v>
      </c>
      <c r="B167" s="32" t="str">
        <f>'A) Base RI'!B168</f>
        <v>Hermenches</v>
      </c>
      <c r="C167" s="286">
        <f>'B) D RI'!U168</f>
        <v>10227.295238095237</v>
      </c>
      <c r="D167" s="32">
        <f>'B) D RI'!AA168</f>
        <v>371</v>
      </c>
      <c r="E167" s="198">
        <f t="shared" si="17"/>
        <v>27.566833525863174</v>
      </c>
      <c r="F167" s="354">
        <f t="shared" si="18"/>
        <v>0.56970452435204533</v>
      </c>
      <c r="G167" s="365">
        <f t="shared" si="19"/>
        <v>0</v>
      </c>
      <c r="H167" s="362">
        <f t="shared" si="20"/>
        <v>0</v>
      </c>
      <c r="I167" s="365">
        <f t="shared" si="21"/>
        <v>0</v>
      </c>
      <c r="J167" s="362">
        <f t="shared" si="22"/>
        <v>0</v>
      </c>
      <c r="K167" s="357">
        <f t="shared" si="23"/>
        <v>0</v>
      </c>
      <c r="L167" s="361">
        <f t="shared" si="24"/>
        <v>0</v>
      </c>
      <c r="M167" s="112">
        <f>L167*D167*'B) D RI'!S168</f>
        <v>0</v>
      </c>
    </row>
    <row r="168" spans="1:13" x14ac:dyDescent="0.25">
      <c r="A168" s="288">
        <f>'A) Base RI'!A169</f>
        <v>5674</v>
      </c>
      <c r="B168" s="32" t="str">
        <f>'A) Base RI'!B169</f>
        <v>Lovatens</v>
      </c>
      <c r="C168" s="286">
        <f>'B) D RI'!U169</f>
        <v>4222.7234666666664</v>
      </c>
      <c r="D168" s="32">
        <f>'B) D RI'!AA169</f>
        <v>146</v>
      </c>
      <c r="E168" s="198">
        <f t="shared" si="17"/>
        <v>28.922763470319634</v>
      </c>
      <c r="F168" s="354">
        <f t="shared" si="18"/>
        <v>0.59772658293692138</v>
      </c>
      <c r="G168" s="365">
        <f t="shared" si="19"/>
        <v>0</v>
      </c>
      <c r="H168" s="362">
        <f t="shared" si="20"/>
        <v>0</v>
      </c>
      <c r="I168" s="365">
        <f t="shared" si="21"/>
        <v>0</v>
      </c>
      <c r="J168" s="362">
        <f t="shared" si="22"/>
        <v>0</v>
      </c>
      <c r="K168" s="357">
        <f t="shared" si="23"/>
        <v>0</v>
      </c>
      <c r="L168" s="361">
        <f t="shared" si="24"/>
        <v>0</v>
      </c>
      <c r="M168" s="112">
        <f>L168*D168*'B) D RI'!S169</f>
        <v>0</v>
      </c>
    </row>
    <row r="169" spans="1:13" x14ac:dyDescent="0.25">
      <c r="A169" s="288">
        <f>'A) Base RI'!A170</f>
        <v>5675</v>
      </c>
      <c r="B169" s="32" t="str">
        <f>'A) Base RI'!B170</f>
        <v>Lucens</v>
      </c>
      <c r="C169" s="286">
        <f>'B) D RI'!U170</f>
        <v>105170.58216835017</v>
      </c>
      <c r="D169" s="32">
        <f>'B) D RI'!AA170</f>
        <v>4373</v>
      </c>
      <c r="E169" s="198">
        <f t="shared" si="17"/>
        <v>24.04998448853194</v>
      </c>
      <c r="F169" s="354">
        <f t="shared" si="18"/>
        <v>0.4970242578226669</v>
      </c>
      <c r="G169" s="365">
        <f t="shared" si="19"/>
        <v>0</v>
      </c>
      <c r="H169" s="362">
        <f t="shared" si="20"/>
        <v>0</v>
      </c>
      <c r="I169" s="365">
        <f t="shared" si="21"/>
        <v>0</v>
      </c>
      <c r="J169" s="362">
        <f t="shared" si="22"/>
        <v>0</v>
      </c>
      <c r="K169" s="357">
        <f t="shared" si="23"/>
        <v>0</v>
      </c>
      <c r="L169" s="361">
        <f t="shared" si="24"/>
        <v>0</v>
      </c>
      <c r="M169" s="112">
        <f>L169*D169*'B) D RI'!S170</f>
        <v>0</v>
      </c>
    </row>
    <row r="170" spans="1:13" x14ac:dyDescent="0.25">
      <c r="A170" s="288">
        <f>'A) Base RI'!A171</f>
        <v>5678</v>
      </c>
      <c r="B170" s="32" t="str">
        <f>'A) Base RI'!B171</f>
        <v>Moudon</v>
      </c>
      <c r="C170" s="286">
        <f>'B) D RI'!U171</f>
        <v>124836.852</v>
      </c>
      <c r="D170" s="32">
        <f>'B) D RI'!AA171</f>
        <v>6120</v>
      </c>
      <c r="E170" s="198">
        <f t="shared" si="17"/>
        <v>20.39817843137255</v>
      </c>
      <c r="F170" s="354">
        <f t="shared" si="18"/>
        <v>0.42155492867871458</v>
      </c>
      <c r="G170" s="365">
        <f t="shared" si="19"/>
        <v>0</v>
      </c>
      <c r="H170" s="362">
        <f t="shared" si="20"/>
        <v>0</v>
      </c>
      <c r="I170" s="365">
        <f t="shared" si="21"/>
        <v>0</v>
      </c>
      <c r="J170" s="362">
        <f t="shared" si="22"/>
        <v>0</v>
      </c>
      <c r="K170" s="357">
        <f t="shared" si="23"/>
        <v>0</v>
      </c>
      <c r="L170" s="361">
        <f t="shared" si="24"/>
        <v>0</v>
      </c>
      <c r="M170" s="112">
        <f>L170*D170*'B) D RI'!S171</f>
        <v>0</v>
      </c>
    </row>
    <row r="171" spans="1:13" x14ac:dyDescent="0.25">
      <c r="A171" s="288">
        <f>'A) Base RI'!A172</f>
        <v>5680</v>
      </c>
      <c r="B171" s="32" t="str">
        <f>'A) Base RI'!B172</f>
        <v>Ogens</v>
      </c>
      <c r="C171" s="286">
        <f>'B) D RI'!U172</f>
        <v>8501.5391880341886</v>
      </c>
      <c r="D171" s="32">
        <f>'B) D RI'!AA172</f>
        <v>321</v>
      </c>
      <c r="E171" s="198">
        <f t="shared" si="17"/>
        <v>26.484545757115853</v>
      </c>
      <c r="F171" s="354">
        <f t="shared" si="18"/>
        <v>0.54733763778425182</v>
      </c>
      <c r="G171" s="365">
        <f t="shared" si="19"/>
        <v>0</v>
      </c>
      <c r="H171" s="362">
        <f t="shared" si="20"/>
        <v>0</v>
      </c>
      <c r="I171" s="365">
        <f t="shared" si="21"/>
        <v>0</v>
      </c>
      <c r="J171" s="362">
        <f t="shared" si="22"/>
        <v>0</v>
      </c>
      <c r="K171" s="357">
        <f t="shared" si="23"/>
        <v>0</v>
      </c>
      <c r="L171" s="361">
        <f t="shared" si="24"/>
        <v>0</v>
      </c>
      <c r="M171" s="112">
        <f>L171*D171*'B) D RI'!S172</f>
        <v>0</v>
      </c>
    </row>
    <row r="172" spans="1:13" x14ac:dyDescent="0.25">
      <c r="A172" s="288">
        <f>'A) Base RI'!A173</f>
        <v>5683</v>
      </c>
      <c r="B172" s="32" t="str">
        <f>'A) Base RI'!B173</f>
        <v>Prévonloup</v>
      </c>
      <c r="C172" s="286">
        <f>'B) D RI'!U173</f>
        <v>5386.44</v>
      </c>
      <c r="D172" s="32">
        <f>'B) D RI'!AA173</f>
        <v>215</v>
      </c>
      <c r="E172" s="198">
        <f t="shared" si="17"/>
        <v>25.05320930232558</v>
      </c>
      <c r="F172" s="354">
        <f t="shared" si="18"/>
        <v>0.51775720543611903</v>
      </c>
      <c r="G172" s="365">
        <f t="shared" si="19"/>
        <v>0</v>
      </c>
      <c r="H172" s="362">
        <f t="shared" si="20"/>
        <v>0</v>
      </c>
      <c r="I172" s="365">
        <f t="shared" si="21"/>
        <v>0</v>
      </c>
      <c r="J172" s="362">
        <f t="shared" si="22"/>
        <v>0</v>
      </c>
      <c r="K172" s="357">
        <f t="shared" si="23"/>
        <v>0</v>
      </c>
      <c r="L172" s="361">
        <f t="shared" si="24"/>
        <v>0</v>
      </c>
      <c r="M172" s="112">
        <f>L172*D172*'B) D RI'!S173</f>
        <v>0</v>
      </c>
    </row>
    <row r="173" spans="1:13" x14ac:dyDescent="0.25">
      <c r="A173" s="288">
        <f>'A) Base RI'!A174</f>
        <v>5684</v>
      </c>
      <c r="B173" s="32" t="str">
        <f>'A) Base RI'!B174</f>
        <v>Rossenges</v>
      </c>
      <c r="C173" s="286">
        <f>'B) D RI'!U174</f>
        <v>3253.4816666666666</v>
      </c>
      <c r="D173" s="32">
        <f>'B) D RI'!AA174</f>
        <v>93</v>
      </c>
      <c r="E173" s="198">
        <f t="shared" si="17"/>
        <v>34.983673835125444</v>
      </c>
      <c r="F173" s="354">
        <f t="shared" si="18"/>
        <v>0.72298319078354045</v>
      </c>
      <c r="G173" s="365">
        <f t="shared" si="19"/>
        <v>0</v>
      </c>
      <c r="H173" s="362">
        <f t="shared" si="20"/>
        <v>0</v>
      </c>
      <c r="I173" s="365">
        <f t="shared" si="21"/>
        <v>0</v>
      </c>
      <c r="J173" s="362">
        <f t="shared" si="22"/>
        <v>0</v>
      </c>
      <c r="K173" s="357">
        <f t="shared" si="23"/>
        <v>0</v>
      </c>
      <c r="L173" s="361">
        <f t="shared" si="24"/>
        <v>0</v>
      </c>
      <c r="M173" s="112">
        <f>L173*D173*'B) D RI'!S174</f>
        <v>0</v>
      </c>
    </row>
    <row r="174" spans="1:13" x14ac:dyDescent="0.25">
      <c r="A174" s="288">
        <f>'A) Base RI'!A175</f>
        <v>5688</v>
      </c>
      <c r="B174" s="32" t="str">
        <f>'A) Base RI'!B175</f>
        <v>Syens</v>
      </c>
      <c r="C174" s="286">
        <f>'B) D RI'!U175</f>
        <v>6154.6576923076918</v>
      </c>
      <c r="D174" s="32">
        <f>'B) D RI'!AA175</f>
        <v>161</v>
      </c>
      <c r="E174" s="198">
        <f t="shared" si="17"/>
        <v>38.227687529861441</v>
      </c>
      <c r="F174" s="354">
        <f t="shared" si="18"/>
        <v>0.79002495955314467</v>
      </c>
      <c r="G174" s="365">
        <f t="shared" si="19"/>
        <v>0</v>
      </c>
      <c r="H174" s="362">
        <f t="shared" si="20"/>
        <v>0</v>
      </c>
      <c r="I174" s="365">
        <f t="shared" si="21"/>
        <v>0</v>
      </c>
      <c r="J174" s="362">
        <f t="shared" si="22"/>
        <v>0</v>
      </c>
      <c r="K174" s="357">
        <f t="shared" si="23"/>
        <v>0</v>
      </c>
      <c r="L174" s="361">
        <f t="shared" si="24"/>
        <v>0</v>
      </c>
      <c r="M174" s="112">
        <f>L174*D174*'B) D RI'!S175</f>
        <v>0</v>
      </c>
    </row>
    <row r="175" spans="1:13" x14ac:dyDescent="0.25">
      <c r="A175" s="288">
        <f>'A) Base RI'!A176</f>
        <v>5690</v>
      </c>
      <c r="B175" s="32" t="str">
        <f>'A) Base RI'!B176</f>
        <v>Villars-le-Comte</v>
      </c>
      <c r="C175" s="286">
        <f>'B) D RI'!U176</f>
        <v>3510.0358095238093</v>
      </c>
      <c r="D175" s="32">
        <f>'B) D RI'!AA176</f>
        <v>133</v>
      </c>
      <c r="E175" s="198">
        <f t="shared" si="17"/>
        <v>26.391246688148943</v>
      </c>
      <c r="F175" s="354">
        <f t="shared" si="18"/>
        <v>0.54540949098935732</v>
      </c>
      <c r="G175" s="365">
        <f t="shared" si="19"/>
        <v>0</v>
      </c>
      <c r="H175" s="362">
        <f t="shared" si="20"/>
        <v>0</v>
      </c>
      <c r="I175" s="365">
        <f t="shared" si="21"/>
        <v>0</v>
      </c>
      <c r="J175" s="362">
        <f t="shared" si="22"/>
        <v>0</v>
      </c>
      <c r="K175" s="357">
        <f t="shared" si="23"/>
        <v>0</v>
      </c>
      <c r="L175" s="361">
        <f t="shared" si="24"/>
        <v>0</v>
      </c>
      <c r="M175" s="112">
        <f>L175*D175*'B) D RI'!S176</f>
        <v>0</v>
      </c>
    </row>
    <row r="176" spans="1:13" x14ac:dyDescent="0.25">
      <c r="A176" s="288">
        <f>'A) Base RI'!A177</f>
        <v>5692</v>
      </c>
      <c r="B176" s="32" t="str">
        <f>'A) Base RI'!B177</f>
        <v>Vucherens</v>
      </c>
      <c r="C176" s="286">
        <f>'B) D RI'!U177</f>
        <v>18793.189090909087</v>
      </c>
      <c r="D176" s="32">
        <f>'B) D RI'!AA177</f>
        <v>623</v>
      </c>
      <c r="E176" s="198">
        <f t="shared" si="17"/>
        <v>30.165632569677506</v>
      </c>
      <c r="F176" s="354">
        <f t="shared" si="18"/>
        <v>0.62341209188074775</v>
      </c>
      <c r="G176" s="365">
        <f t="shared" si="19"/>
        <v>0</v>
      </c>
      <c r="H176" s="362">
        <f t="shared" si="20"/>
        <v>0</v>
      </c>
      <c r="I176" s="365">
        <f t="shared" si="21"/>
        <v>0</v>
      </c>
      <c r="J176" s="362">
        <f t="shared" si="22"/>
        <v>0</v>
      </c>
      <c r="K176" s="357">
        <f t="shared" si="23"/>
        <v>0</v>
      </c>
      <c r="L176" s="361">
        <f t="shared" si="24"/>
        <v>0</v>
      </c>
      <c r="M176" s="112">
        <f>L176*D176*'B) D RI'!S177</f>
        <v>0</v>
      </c>
    </row>
    <row r="177" spans="1:13" x14ac:dyDescent="0.25">
      <c r="A177" s="288">
        <f>'A) Base RI'!A178</f>
        <v>5693</v>
      </c>
      <c r="B177" s="32" t="str">
        <f>'A) Base RI'!B178</f>
        <v>Montanaire</v>
      </c>
      <c r="C177" s="286">
        <f>'B) D RI'!U178</f>
        <v>75692.909285714297</v>
      </c>
      <c r="D177" s="32">
        <f>'B) D RI'!AA178</f>
        <v>2768</v>
      </c>
      <c r="E177" s="198">
        <f t="shared" si="17"/>
        <v>27.345704221717593</v>
      </c>
      <c r="F177" s="354">
        <f t="shared" si="18"/>
        <v>0.56513459923096221</v>
      </c>
      <c r="G177" s="365">
        <f t="shared" si="19"/>
        <v>0</v>
      </c>
      <c r="H177" s="362">
        <f t="shared" si="20"/>
        <v>0</v>
      </c>
      <c r="I177" s="365">
        <f t="shared" si="21"/>
        <v>0</v>
      </c>
      <c r="J177" s="362">
        <f t="shared" si="22"/>
        <v>0</v>
      </c>
      <c r="K177" s="357">
        <f t="shared" si="23"/>
        <v>0</v>
      </c>
      <c r="L177" s="361">
        <f t="shared" si="24"/>
        <v>0</v>
      </c>
      <c r="M177" s="112">
        <f>L177*D177*'B) D RI'!S178</f>
        <v>0</v>
      </c>
    </row>
    <row r="178" spans="1:13" x14ac:dyDescent="0.25">
      <c r="A178" s="288">
        <f>'A) Base RI'!A179</f>
        <v>5701</v>
      </c>
      <c r="B178" s="32" t="str">
        <f>'A) Base RI'!B179</f>
        <v>Arnex-sur-Nyon</v>
      </c>
      <c r="C178" s="286">
        <f>'B) D RI'!U179</f>
        <v>14488.714857142857</v>
      </c>
      <c r="D178" s="32">
        <f>'B) D RI'!AA179</f>
        <v>226</v>
      </c>
      <c r="E178" s="198">
        <f t="shared" si="17"/>
        <v>64.109357774968387</v>
      </c>
      <c r="F178" s="354">
        <f t="shared" si="18"/>
        <v>1.3249033895545985</v>
      </c>
      <c r="G178" s="365">
        <f t="shared" si="19"/>
        <v>15.721408675886941</v>
      </c>
      <c r="H178" s="362">
        <f t="shared" si="20"/>
        <v>6.0438188560706578</v>
      </c>
      <c r="I178" s="365">
        <f t="shared" si="21"/>
        <v>0</v>
      </c>
      <c r="J178" s="362">
        <f t="shared" si="22"/>
        <v>0</v>
      </c>
      <c r="K178" s="357">
        <f t="shared" si="23"/>
        <v>0</v>
      </c>
      <c r="L178" s="361">
        <f t="shared" si="24"/>
        <v>3.7486636207844537</v>
      </c>
      <c r="M178" s="112">
        <f>L178*D178*'B) D RI'!S179</f>
        <v>59303.858480810057</v>
      </c>
    </row>
    <row r="179" spans="1:13" x14ac:dyDescent="0.25">
      <c r="A179" s="288">
        <f>'A) Base RI'!A180</f>
        <v>5702</v>
      </c>
      <c r="B179" s="32" t="str">
        <f>'A) Base RI'!B180</f>
        <v>Arzier-Le Muids</v>
      </c>
      <c r="C179" s="286">
        <f>'B) D RI'!U180</f>
        <v>174862.96255208339</v>
      </c>
      <c r="D179" s="32">
        <f>'B) D RI'!AA180</f>
        <v>2947</v>
      </c>
      <c r="E179" s="198">
        <f t="shared" si="17"/>
        <v>59.335922141867457</v>
      </c>
      <c r="F179" s="354">
        <f t="shared" si="18"/>
        <v>1.2262541241491436</v>
      </c>
      <c r="G179" s="365">
        <f t="shared" si="19"/>
        <v>10.94797304278601</v>
      </c>
      <c r="H179" s="362">
        <f t="shared" si="20"/>
        <v>1.2703832229697269</v>
      </c>
      <c r="I179" s="365">
        <f t="shared" si="21"/>
        <v>0</v>
      </c>
      <c r="J179" s="362">
        <f t="shared" si="22"/>
        <v>0</v>
      </c>
      <c r="K179" s="357">
        <f t="shared" si="23"/>
        <v>0</v>
      </c>
      <c r="L179" s="361">
        <f t="shared" si="24"/>
        <v>2.3166329308541749</v>
      </c>
      <c r="M179" s="112">
        <f>L179*D179*'B) D RI'!S180</f>
        <v>436935.50382254424</v>
      </c>
    </row>
    <row r="180" spans="1:13" x14ac:dyDescent="0.25">
      <c r="A180" s="288">
        <f>'A) Base RI'!A181</f>
        <v>5703</v>
      </c>
      <c r="B180" s="32" t="str">
        <f>'A) Base RI'!B181</f>
        <v>Bassins</v>
      </c>
      <c r="C180" s="286">
        <f>'B) D RI'!U181</f>
        <v>66800.247822660094</v>
      </c>
      <c r="D180" s="32">
        <f>'B) D RI'!AA181</f>
        <v>1487</v>
      </c>
      <c r="E180" s="198">
        <f t="shared" si="17"/>
        <v>44.922829739515869</v>
      </c>
      <c r="F180" s="354">
        <f t="shared" si="18"/>
        <v>0.92838879464657131</v>
      </c>
      <c r="G180" s="365">
        <f t="shared" si="19"/>
        <v>0</v>
      </c>
      <c r="H180" s="362">
        <f t="shared" si="20"/>
        <v>0</v>
      </c>
      <c r="I180" s="365">
        <f t="shared" si="21"/>
        <v>0</v>
      </c>
      <c r="J180" s="362">
        <f t="shared" si="22"/>
        <v>0</v>
      </c>
      <c r="K180" s="357">
        <f t="shared" si="23"/>
        <v>0</v>
      </c>
      <c r="L180" s="361">
        <f t="shared" si="24"/>
        <v>0</v>
      </c>
      <c r="M180" s="112">
        <f>L180*D180*'B) D RI'!S181</f>
        <v>0</v>
      </c>
    </row>
    <row r="181" spans="1:13" x14ac:dyDescent="0.25">
      <c r="A181" s="288">
        <f>'A) Base RI'!A182</f>
        <v>5704</v>
      </c>
      <c r="B181" s="32" t="str">
        <f>'A) Base RI'!B182</f>
        <v>Begnins</v>
      </c>
      <c r="C181" s="286">
        <f>'B) D RI'!U182</f>
        <v>202343.35360000003</v>
      </c>
      <c r="D181" s="32">
        <f>'B) D RI'!AA182</f>
        <v>1941</v>
      </c>
      <c r="E181" s="198">
        <f t="shared" si="17"/>
        <v>104.24696218444103</v>
      </c>
      <c r="F181" s="354">
        <f t="shared" si="18"/>
        <v>2.1543992693507228</v>
      </c>
      <c r="G181" s="365">
        <f t="shared" si="19"/>
        <v>55.859013085359585</v>
      </c>
      <c r="H181" s="362">
        <f t="shared" si="20"/>
        <v>46.181423265543302</v>
      </c>
      <c r="I181" s="365">
        <f t="shared" si="21"/>
        <v>31.665038535818866</v>
      </c>
      <c r="J181" s="362">
        <f t="shared" si="22"/>
        <v>7.4710639862781392</v>
      </c>
      <c r="K181" s="357">
        <f t="shared" si="23"/>
        <v>0</v>
      </c>
      <c r="L181" s="361">
        <f t="shared" si="24"/>
        <v>19.703555195835946</v>
      </c>
      <c r="M181" s="112">
        <f>L181*D181*'B) D RI'!S182</f>
        <v>2390287.5396948485</v>
      </c>
    </row>
    <row r="182" spans="1:13" x14ac:dyDescent="0.25">
      <c r="A182" s="288">
        <f>'A) Base RI'!A183</f>
        <v>5705</v>
      </c>
      <c r="B182" s="32" t="str">
        <f>'A) Base RI'!B183</f>
        <v>Bogis-Bossey</v>
      </c>
      <c r="C182" s="286">
        <f>'B) D RI'!U183</f>
        <v>51953.338389261742</v>
      </c>
      <c r="D182" s="32">
        <f>'B) D RI'!AA183</f>
        <v>888</v>
      </c>
      <c r="E182" s="198">
        <f t="shared" si="17"/>
        <v>58.50601169961908</v>
      </c>
      <c r="F182" s="354">
        <f t="shared" si="18"/>
        <v>1.2091029437891532</v>
      </c>
      <c r="G182" s="365">
        <f t="shared" si="19"/>
        <v>10.118062600537634</v>
      </c>
      <c r="H182" s="362">
        <f t="shared" si="20"/>
        <v>0.44047278072135043</v>
      </c>
      <c r="I182" s="365">
        <f t="shared" si="21"/>
        <v>0</v>
      </c>
      <c r="J182" s="362">
        <f t="shared" si="22"/>
        <v>0</v>
      </c>
      <c r="K182" s="357">
        <f t="shared" si="23"/>
        <v>0</v>
      </c>
      <c r="L182" s="361">
        <f t="shared" si="24"/>
        <v>2.0676597981796618</v>
      </c>
      <c r="M182" s="112">
        <f>L182*D182*'B) D RI'!S183</f>
        <v>136788.10160837372</v>
      </c>
    </row>
    <row r="183" spans="1:13" x14ac:dyDescent="0.25">
      <c r="A183" s="288">
        <f>'A) Base RI'!A184</f>
        <v>5706</v>
      </c>
      <c r="B183" s="32" t="str">
        <f>'A) Base RI'!B184</f>
        <v>Borex</v>
      </c>
      <c r="C183" s="286">
        <f>'B) D RI'!U184</f>
        <v>71207.99596491229</v>
      </c>
      <c r="D183" s="32">
        <f>'B) D RI'!AA184</f>
        <v>1165</v>
      </c>
      <c r="E183" s="198">
        <f t="shared" si="17"/>
        <v>61.122743317521277</v>
      </c>
      <c r="F183" s="354">
        <f t="shared" si="18"/>
        <v>1.2631811113209916</v>
      </c>
      <c r="G183" s="365">
        <f t="shared" si="19"/>
        <v>12.734794218439831</v>
      </c>
      <c r="H183" s="362">
        <f t="shared" si="20"/>
        <v>3.0572043986235471</v>
      </c>
      <c r="I183" s="365">
        <f t="shared" si="21"/>
        <v>0</v>
      </c>
      <c r="J183" s="362">
        <f t="shared" si="22"/>
        <v>0</v>
      </c>
      <c r="K183" s="357">
        <f t="shared" si="23"/>
        <v>0</v>
      </c>
      <c r="L183" s="361">
        <f t="shared" si="24"/>
        <v>2.8526792835503207</v>
      </c>
      <c r="M183" s="112">
        <f>L183*D183*'B) D RI'!S184</f>
        <v>189432.16782415906</v>
      </c>
    </row>
    <row r="184" spans="1:13" x14ac:dyDescent="0.25">
      <c r="A184" s="288">
        <f>'A) Base RI'!A185</f>
        <v>5707</v>
      </c>
      <c r="B184" s="32" t="str">
        <f>'A) Base RI'!B185</f>
        <v>Chavannes-de-Bogis</v>
      </c>
      <c r="C184" s="286">
        <f>'B) D RI'!U185</f>
        <v>88021.415574712664</v>
      </c>
      <c r="D184" s="32">
        <f>'B) D RI'!AA185</f>
        <v>1330</v>
      </c>
      <c r="E184" s="198">
        <f t="shared" si="17"/>
        <v>66.181515469708771</v>
      </c>
      <c r="F184" s="354">
        <f t="shared" si="18"/>
        <v>1.3677272275828922</v>
      </c>
      <c r="G184" s="365">
        <f t="shared" si="19"/>
        <v>17.793566370627325</v>
      </c>
      <c r="H184" s="362">
        <f t="shared" si="20"/>
        <v>8.1159765508110411</v>
      </c>
      <c r="I184" s="365">
        <f t="shared" si="21"/>
        <v>0</v>
      </c>
      <c r="J184" s="362">
        <f t="shared" si="22"/>
        <v>0</v>
      </c>
      <c r="K184" s="357">
        <f t="shared" si="23"/>
        <v>0</v>
      </c>
      <c r="L184" s="361">
        <f t="shared" si="24"/>
        <v>4.3703109292065694</v>
      </c>
      <c r="M184" s="112">
        <f>L184*D184*'B) D RI'!S185</f>
        <v>337125.78507899476</v>
      </c>
    </row>
    <row r="185" spans="1:13" x14ac:dyDescent="0.25">
      <c r="A185" s="288">
        <f>'A) Base RI'!A186</f>
        <v>5708</v>
      </c>
      <c r="B185" s="32" t="str">
        <f>'A) Base RI'!B186</f>
        <v>Chavannes-des-Bois</v>
      </c>
      <c r="C185" s="286">
        <f>'B) D RI'!U186</f>
        <v>67001.640000000014</v>
      </c>
      <c r="D185" s="32">
        <f>'B) D RI'!AA186</f>
        <v>1005</v>
      </c>
      <c r="E185" s="198">
        <f t="shared" si="17"/>
        <v>66.668298507462694</v>
      </c>
      <c r="F185" s="354">
        <f t="shared" si="18"/>
        <v>1.3777872331590153</v>
      </c>
      <c r="G185" s="365">
        <f t="shared" si="19"/>
        <v>18.280349408381248</v>
      </c>
      <c r="H185" s="362">
        <f t="shared" si="20"/>
        <v>8.6027595885649646</v>
      </c>
      <c r="I185" s="365">
        <f t="shared" si="21"/>
        <v>0</v>
      </c>
      <c r="J185" s="362">
        <f t="shared" si="22"/>
        <v>0</v>
      </c>
      <c r="K185" s="357">
        <f t="shared" si="23"/>
        <v>0</v>
      </c>
      <c r="L185" s="361">
        <f t="shared" si="24"/>
        <v>4.5163458405327459</v>
      </c>
      <c r="M185" s="112">
        <f>L185*D185*'B) D RI'!S186</f>
        <v>308647.07474200788</v>
      </c>
    </row>
    <row r="186" spans="1:13" x14ac:dyDescent="0.25">
      <c r="A186" s="288">
        <f>'A) Base RI'!A187</f>
        <v>5709</v>
      </c>
      <c r="B186" s="32" t="str">
        <f>'A) Base RI'!B187</f>
        <v>Chéserex</v>
      </c>
      <c r="C186" s="286">
        <f>'B) D RI'!U187</f>
        <v>88342.385614035084</v>
      </c>
      <c r="D186" s="32">
        <f>'B) D RI'!AA187</f>
        <v>1263</v>
      </c>
      <c r="E186" s="198">
        <f t="shared" si="17"/>
        <v>69.946465252601016</v>
      </c>
      <c r="F186" s="354">
        <f t="shared" si="18"/>
        <v>1.4455348192041646</v>
      </c>
      <c r="G186" s="365">
        <f t="shared" si="19"/>
        <v>21.55851615351957</v>
      </c>
      <c r="H186" s="362">
        <f t="shared" si="20"/>
        <v>11.880926333703286</v>
      </c>
      <c r="I186" s="365">
        <f t="shared" si="21"/>
        <v>0</v>
      </c>
      <c r="J186" s="362">
        <f t="shared" si="22"/>
        <v>0</v>
      </c>
      <c r="K186" s="357">
        <f t="shared" si="23"/>
        <v>0</v>
      </c>
      <c r="L186" s="361">
        <f t="shared" si="24"/>
        <v>5.4997958640742421</v>
      </c>
      <c r="M186" s="112">
        <f>L186*D186*'B) D RI'!S187</f>
        <v>395935.80405056878</v>
      </c>
    </row>
    <row r="187" spans="1:13" x14ac:dyDescent="0.25">
      <c r="A187" s="288">
        <f>'A) Base RI'!A188</f>
        <v>5710</v>
      </c>
      <c r="B187" s="32" t="str">
        <f>'A) Base RI'!B188</f>
        <v>Coinsins</v>
      </c>
      <c r="C187" s="286">
        <f>'B) D RI'!U188</f>
        <v>43412.265098039228</v>
      </c>
      <c r="D187" s="32">
        <f>'B) D RI'!AA188</f>
        <v>508</v>
      </c>
      <c r="E187" s="198">
        <f t="shared" si="17"/>
        <v>85.457214759919736</v>
      </c>
      <c r="F187" s="354">
        <f t="shared" si="18"/>
        <v>1.7660846626281579</v>
      </c>
      <c r="G187" s="365">
        <f t="shared" si="19"/>
        <v>37.06926566083829</v>
      </c>
      <c r="H187" s="362">
        <f t="shared" si="20"/>
        <v>27.391675841022007</v>
      </c>
      <c r="I187" s="365">
        <f t="shared" si="21"/>
        <v>12.875291111297571</v>
      </c>
      <c r="J187" s="362">
        <f t="shared" si="22"/>
        <v>0</v>
      </c>
      <c r="K187" s="357">
        <f t="shared" si="23"/>
        <v>0</v>
      </c>
      <c r="L187" s="361">
        <f t="shared" si="24"/>
        <v>11.440549827399614</v>
      </c>
      <c r="M187" s="112">
        <f>L187*D187*'B) D RI'!S188</f>
        <v>296401.7649282692</v>
      </c>
    </row>
    <row r="188" spans="1:13" x14ac:dyDescent="0.25">
      <c r="A188" s="288">
        <f>'A) Base RI'!A189</f>
        <v>5711</v>
      </c>
      <c r="B188" s="32" t="str">
        <f>'A) Base RI'!B189</f>
        <v>Commugny</v>
      </c>
      <c r="C188" s="286">
        <f>'B) D RI'!U189</f>
        <v>286273.03470547468</v>
      </c>
      <c r="D188" s="32">
        <f>'B) D RI'!AA189</f>
        <v>3001</v>
      </c>
      <c r="E188" s="198">
        <f t="shared" si="17"/>
        <v>95.392547386029548</v>
      </c>
      <c r="F188" s="354">
        <f t="shared" si="18"/>
        <v>1.9714112534651813</v>
      </c>
      <c r="G188" s="365">
        <f t="shared" si="19"/>
        <v>47.004598286948102</v>
      </c>
      <c r="H188" s="362">
        <f t="shared" si="20"/>
        <v>37.327008467131819</v>
      </c>
      <c r="I188" s="365">
        <f t="shared" si="21"/>
        <v>22.810623737407383</v>
      </c>
      <c r="J188" s="362">
        <f t="shared" si="22"/>
        <v>0</v>
      </c>
      <c r="K188" s="357">
        <f t="shared" si="23"/>
        <v>0</v>
      </c>
      <c r="L188" s="361">
        <f t="shared" si="24"/>
        <v>15.414682877843539</v>
      </c>
      <c r="M188" s="112">
        <f>L188*D188*'B) D RI'!S189</f>
        <v>2567400.2140606693</v>
      </c>
    </row>
    <row r="189" spans="1:13" x14ac:dyDescent="0.25">
      <c r="A189" s="288">
        <f>'A) Base RI'!A190</f>
        <v>5712</v>
      </c>
      <c r="B189" s="32" t="str">
        <f>'A) Base RI'!B190</f>
        <v>Coppet</v>
      </c>
      <c r="C189" s="286">
        <f>'B) D RI'!U190</f>
        <v>333754.3945283019</v>
      </c>
      <c r="D189" s="32">
        <f>'B) D RI'!AA190</f>
        <v>3211</v>
      </c>
      <c r="E189" s="198">
        <f t="shared" si="17"/>
        <v>103.94095127010337</v>
      </c>
      <c r="F189" s="354">
        <f t="shared" si="18"/>
        <v>2.1480751551852091</v>
      </c>
      <c r="G189" s="365">
        <f t="shared" si="19"/>
        <v>55.553002171021923</v>
      </c>
      <c r="H189" s="362">
        <f t="shared" si="20"/>
        <v>45.87541235120564</v>
      </c>
      <c r="I189" s="365">
        <f t="shared" si="21"/>
        <v>31.359027621481204</v>
      </c>
      <c r="J189" s="362">
        <f t="shared" si="22"/>
        <v>7.165053071940477</v>
      </c>
      <c r="K189" s="357">
        <f t="shared" si="23"/>
        <v>0</v>
      </c>
      <c r="L189" s="361">
        <f t="shared" si="24"/>
        <v>19.550549738667115</v>
      </c>
      <c r="M189" s="112">
        <f>L189*D189*'B) D RI'!S190</f>
        <v>3327171.2061755857</v>
      </c>
    </row>
    <row r="190" spans="1:13" x14ac:dyDescent="0.25">
      <c r="A190" s="288">
        <f>'A) Base RI'!A191</f>
        <v>5713</v>
      </c>
      <c r="B190" s="32" t="str">
        <f>'A) Base RI'!B191</f>
        <v>Crans</v>
      </c>
      <c r="C190" s="286">
        <f>'B) D RI'!U191</f>
        <v>302504.79982142855</v>
      </c>
      <c r="D190" s="32">
        <f>'B) D RI'!AA191</f>
        <v>2373</v>
      </c>
      <c r="E190" s="198">
        <f t="shared" si="17"/>
        <v>127.47779174944313</v>
      </c>
      <c r="F190" s="354">
        <f t="shared" si="18"/>
        <v>2.6344946236182398</v>
      </c>
      <c r="G190" s="365">
        <f t="shared" si="19"/>
        <v>79.089842650361675</v>
      </c>
      <c r="H190" s="362">
        <f t="shared" si="20"/>
        <v>69.412252830545398</v>
      </c>
      <c r="I190" s="365">
        <f t="shared" si="21"/>
        <v>54.895868100820962</v>
      </c>
      <c r="J190" s="362">
        <f t="shared" si="22"/>
        <v>30.701893551280236</v>
      </c>
      <c r="K190" s="357">
        <f t="shared" si="23"/>
        <v>0</v>
      </c>
      <c r="L190" s="361">
        <f t="shared" si="24"/>
        <v>31.318969978336995</v>
      </c>
      <c r="M190" s="112">
        <f>L190*D190*'B) D RI'!S191</f>
        <v>4161915.2824812466</v>
      </c>
    </row>
    <row r="191" spans="1:13" x14ac:dyDescent="0.25">
      <c r="A191" s="288">
        <f>'A) Base RI'!A192</f>
        <v>5714</v>
      </c>
      <c r="B191" s="32" t="str">
        <f>'A) Base RI'!B192</f>
        <v>Crassier</v>
      </c>
      <c r="C191" s="286">
        <f>'B) D RI'!U192</f>
        <v>62136.029852941167</v>
      </c>
      <c r="D191" s="32">
        <f>'B) D RI'!AA192</f>
        <v>1228</v>
      </c>
      <c r="E191" s="198">
        <f t="shared" si="17"/>
        <v>50.599372844414631</v>
      </c>
      <c r="F191" s="354">
        <f t="shared" si="18"/>
        <v>1.0457019523767161</v>
      </c>
      <c r="G191" s="365">
        <f t="shared" si="19"/>
        <v>2.2114237453331853</v>
      </c>
      <c r="H191" s="362">
        <f t="shared" si="20"/>
        <v>0</v>
      </c>
      <c r="I191" s="365">
        <f t="shared" si="21"/>
        <v>0</v>
      </c>
      <c r="J191" s="362">
        <f t="shared" si="22"/>
        <v>0</v>
      </c>
      <c r="K191" s="357">
        <f t="shared" si="23"/>
        <v>0</v>
      </c>
      <c r="L191" s="361">
        <f t="shared" si="24"/>
        <v>0.44228474906663706</v>
      </c>
      <c r="M191" s="112">
        <f>L191*D191*'B) D RI'!S192</f>
        <v>36932.545686060461</v>
      </c>
    </row>
    <row r="192" spans="1:13" x14ac:dyDescent="0.25">
      <c r="A192" s="288">
        <f>'A) Base RI'!A193</f>
        <v>5715</v>
      </c>
      <c r="B192" s="32" t="str">
        <f>'A) Base RI'!B193</f>
        <v>Duillier</v>
      </c>
      <c r="C192" s="286">
        <f>'B) D RI'!U193</f>
        <v>70395.129393939395</v>
      </c>
      <c r="D192" s="32">
        <f>'B) D RI'!AA193</f>
        <v>1146</v>
      </c>
      <c r="E192" s="198">
        <f t="shared" si="17"/>
        <v>61.426814479877308</v>
      </c>
      <c r="F192" s="354">
        <f t="shared" si="18"/>
        <v>1.269465137985015</v>
      </c>
      <c r="G192" s="365">
        <f t="shared" si="19"/>
        <v>13.038865380795862</v>
      </c>
      <c r="H192" s="362">
        <f t="shared" si="20"/>
        <v>3.3612755609795784</v>
      </c>
      <c r="I192" s="365">
        <f t="shared" si="21"/>
        <v>0</v>
      </c>
      <c r="J192" s="362">
        <f t="shared" si="22"/>
        <v>0</v>
      </c>
      <c r="K192" s="357">
        <f t="shared" si="23"/>
        <v>0</v>
      </c>
      <c r="L192" s="361">
        <f t="shared" si="24"/>
        <v>2.9439006322571304</v>
      </c>
      <c r="M192" s="112">
        <f>L192*D192*'B) D RI'!S193</f>
        <v>222664.86822140031</v>
      </c>
    </row>
    <row r="193" spans="1:13" x14ac:dyDescent="0.25">
      <c r="A193" s="288">
        <f>'A) Base RI'!A194</f>
        <v>5716</v>
      </c>
      <c r="B193" s="32" t="str">
        <f>'A) Base RI'!B194</f>
        <v>Eysins</v>
      </c>
      <c r="C193" s="286">
        <f>'B) D RI'!U194</f>
        <v>203854.36605042018</v>
      </c>
      <c r="D193" s="32">
        <f>'B) D RI'!AA194</f>
        <v>1736</v>
      </c>
      <c r="E193" s="198">
        <f t="shared" si="17"/>
        <v>117.42763021337568</v>
      </c>
      <c r="F193" s="354">
        <f t="shared" si="18"/>
        <v>2.4267949437767102</v>
      </c>
      <c r="G193" s="365">
        <f t="shared" si="19"/>
        <v>69.03968111429424</v>
      </c>
      <c r="H193" s="362">
        <f t="shared" si="20"/>
        <v>59.362091294477949</v>
      </c>
      <c r="I193" s="365">
        <f t="shared" si="21"/>
        <v>44.845706564753513</v>
      </c>
      <c r="J193" s="362">
        <f t="shared" si="22"/>
        <v>20.651732015212787</v>
      </c>
      <c r="K193" s="357">
        <f t="shared" si="23"/>
        <v>0</v>
      </c>
      <c r="L193" s="361">
        <f t="shared" si="24"/>
        <v>26.293889210303274</v>
      </c>
      <c r="M193" s="112">
        <f>L193*D193*'B) D RI'!S194</f>
        <v>2715948.4043106455</v>
      </c>
    </row>
    <row r="194" spans="1:13" x14ac:dyDescent="0.25">
      <c r="A194" s="288">
        <f>'A) Base RI'!A195</f>
        <v>5717</v>
      </c>
      <c r="B194" s="32" t="str">
        <f>'A) Base RI'!B195</f>
        <v>Founex</v>
      </c>
      <c r="C194" s="286">
        <f>'B) D RI'!U195</f>
        <v>390728.72</v>
      </c>
      <c r="D194" s="32">
        <f>'B) D RI'!AA195</f>
        <v>3822</v>
      </c>
      <c r="E194" s="198">
        <f t="shared" si="17"/>
        <v>102.23148090005232</v>
      </c>
      <c r="F194" s="354">
        <f t="shared" si="18"/>
        <v>2.112746723171059</v>
      </c>
      <c r="G194" s="365">
        <f t="shared" si="19"/>
        <v>53.843531800970872</v>
      </c>
      <c r="H194" s="362">
        <f t="shared" si="20"/>
        <v>44.165941981154589</v>
      </c>
      <c r="I194" s="365">
        <f t="shared" si="21"/>
        <v>29.649557251430153</v>
      </c>
      <c r="J194" s="362">
        <f t="shared" si="22"/>
        <v>5.4555827018894263</v>
      </c>
      <c r="K194" s="357">
        <f t="shared" si="23"/>
        <v>0</v>
      </c>
      <c r="L194" s="361">
        <f t="shared" si="24"/>
        <v>18.69581455364159</v>
      </c>
      <c r="M194" s="112">
        <f>L194*D194*'B) D RI'!S195</f>
        <v>4072957.983769035</v>
      </c>
    </row>
    <row r="195" spans="1:13" x14ac:dyDescent="0.25">
      <c r="A195" s="288">
        <f>'A) Base RI'!A196</f>
        <v>5718</v>
      </c>
      <c r="B195" s="32" t="str">
        <f>'A) Base RI'!B196</f>
        <v>Genolier</v>
      </c>
      <c r="C195" s="286">
        <f>'B) D RI'!U196</f>
        <v>192274.57272727272</v>
      </c>
      <c r="D195" s="32">
        <f>'B) D RI'!AA196</f>
        <v>2022</v>
      </c>
      <c r="E195" s="198">
        <f t="shared" si="17"/>
        <v>95.091282258789676</v>
      </c>
      <c r="F195" s="354">
        <f t="shared" si="18"/>
        <v>1.9651852171720749</v>
      </c>
      <c r="G195" s="365">
        <f t="shared" si="19"/>
        <v>46.70333315970823</v>
      </c>
      <c r="H195" s="362">
        <f t="shared" si="20"/>
        <v>37.025743339891946</v>
      </c>
      <c r="I195" s="365">
        <f t="shared" si="21"/>
        <v>22.50935861016751</v>
      </c>
      <c r="J195" s="362">
        <f t="shared" si="22"/>
        <v>0</v>
      </c>
      <c r="K195" s="357">
        <f t="shared" si="23"/>
        <v>0</v>
      </c>
      <c r="L195" s="361">
        <f t="shared" si="24"/>
        <v>15.294176826947592</v>
      </c>
      <c r="M195" s="112">
        <f>L195*D195*'B) D RI'!S196</f>
        <v>1700865.4049248416</v>
      </c>
    </row>
    <row r="196" spans="1:13" x14ac:dyDescent="0.25">
      <c r="A196" s="288">
        <f>'A) Base RI'!A197</f>
        <v>5719</v>
      </c>
      <c r="B196" s="32" t="str">
        <f>'A) Base RI'!B197</f>
        <v>Gingins</v>
      </c>
      <c r="C196" s="286">
        <f>'B) D RI'!U197</f>
        <v>151294.23883333337</v>
      </c>
      <c r="D196" s="32">
        <f>'B) D RI'!AA197</f>
        <v>1265</v>
      </c>
      <c r="E196" s="198">
        <f t="shared" si="17"/>
        <v>119.60018880105405</v>
      </c>
      <c r="F196" s="354">
        <f t="shared" si="18"/>
        <v>2.4716936970433498</v>
      </c>
      <c r="G196" s="365">
        <f t="shared" si="19"/>
        <v>71.212239701972607</v>
      </c>
      <c r="H196" s="362">
        <f t="shared" si="20"/>
        <v>61.534649882156316</v>
      </c>
      <c r="I196" s="365">
        <f t="shared" si="21"/>
        <v>47.01826515243188</v>
      </c>
      <c r="J196" s="362">
        <f t="shared" si="22"/>
        <v>22.824290602891153</v>
      </c>
      <c r="K196" s="357">
        <f t="shared" si="23"/>
        <v>0</v>
      </c>
      <c r="L196" s="361">
        <f t="shared" si="24"/>
        <v>27.380168504142457</v>
      </c>
      <c r="M196" s="112">
        <f>L196*D196*'B) D RI'!S197</f>
        <v>2078154.7894644125</v>
      </c>
    </row>
    <row r="197" spans="1:13" x14ac:dyDescent="0.25">
      <c r="A197" s="288">
        <f>'A) Base RI'!A198</f>
        <v>5720</v>
      </c>
      <c r="B197" s="32" t="str">
        <f>'A) Base RI'!B198</f>
        <v>Givrins</v>
      </c>
      <c r="C197" s="286">
        <f>'B) D RI'!U198</f>
        <v>74789.829883913771</v>
      </c>
      <c r="D197" s="32">
        <f>'B) D RI'!AA198</f>
        <v>1010</v>
      </c>
      <c r="E197" s="198">
        <f t="shared" si="17"/>
        <v>74.049336518726506</v>
      </c>
      <c r="F197" s="354">
        <f t="shared" si="18"/>
        <v>1.5303259984650226</v>
      </c>
      <c r="G197" s="365">
        <f t="shared" si="19"/>
        <v>25.66138741964506</v>
      </c>
      <c r="H197" s="362">
        <f t="shared" si="20"/>
        <v>15.983797599828776</v>
      </c>
      <c r="I197" s="365">
        <f t="shared" si="21"/>
        <v>1.4674128701043401</v>
      </c>
      <c r="J197" s="362">
        <f t="shared" si="22"/>
        <v>0</v>
      </c>
      <c r="K197" s="357">
        <f t="shared" si="23"/>
        <v>0</v>
      </c>
      <c r="L197" s="361">
        <f t="shared" si="24"/>
        <v>6.8773985309223233</v>
      </c>
      <c r="M197" s="112">
        <f>L197*D197*'B) D RI'!S198</f>
        <v>465393.55858751363</v>
      </c>
    </row>
    <row r="198" spans="1:13" x14ac:dyDescent="0.25">
      <c r="A198" s="288">
        <f>'A) Base RI'!A199</f>
        <v>5721</v>
      </c>
      <c r="B198" s="32" t="str">
        <f>'A) Base RI'!B199</f>
        <v>Gland</v>
      </c>
      <c r="C198" s="286">
        <f>'B) D RI'!U199</f>
        <v>723023.81196721317</v>
      </c>
      <c r="D198" s="32">
        <f>'B) D RI'!AA199</f>
        <v>13306</v>
      </c>
      <c r="E198" s="198">
        <f t="shared" si="17"/>
        <v>54.338179164828887</v>
      </c>
      <c r="F198" s="354">
        <f t="shared" si="18"/>
        <v>1.1229692552904746</v>
      </c>
      <c r="G198" s="365">
        <f t="shared" si="19"/>
        <v>5.9502300657474407</v>
      </c>
      <c r="H198" s="362">
        <f t="shared" si="20"/>
        <v>0</v>
      </c>
      <c r="I198" s="365">
        <f t="shared" si="21"/>
        <v>0</v>
      </c>
      <c r="J198" s="362">
        <f t="shared" si="22"/>
        <v>0</v>
      </c>
      <c r="K198" s="357">
        <f t="shared" si="23"/>
        <v>0</v>
      </c>
      <c r="L198" s="361">
        <f t="shared" si="24"/>
        <v>1.1900460131494881</v>
      </c>
      <c r="M198" s="112">
        <f>L198*D198*'B) D RI'!S199</f>
        <v>965919.88730899245</v>
      </c>
    </row>
    <row r="199" spans="1:13" x14ac:dyDescent="0.25">
      <c r="A199" s="288">
        <f>'A) Base RI'!A200</f>
        <v>5722</v>
      </c>
      <c r="B199" s="32" t="str">
        <f>'A) Base RI'!B200</f>
        <v>Grens</v>
      </c>
      <c r="C199" s="286">
        <f>'B) D RI'!U200</f>
        <v>22316.761129032264</v>
      </c>
      <c r="D199" s="32">
        <f>'B) D RI'!AA200</f>
        <v>401</v>
      </c>
      <c r="E199" s="198">
        <f t="shared" ref="E199:E262" si="25">C199/D199</f>
        <v>55.652770895342307</v>
      </c>
      <c r="F199" s="354">
        <f t="shared" ref="F199:F262" si="26">E199/$E$314</f>
        <v>1.1501370058355866</v>
      </c>
      <c r="G199" s="365">
        <f t="shared" ref="G199:G262" si="27">IF(E199-$G$3&lt;0,0,E199-$G$3)</f>
        <v>7.2648217962608612</v>
      </c>
      <c r="H199" s="362">
        <f t="shared" ref="H199:H262" si="28">IF(E199-$H$3&lt;0,0,E199-$H$3)</f>
        <v>0</v>
      </c>
      <c r="I199" s="365">
        <f t="shared" ref="I199:I262" si="29">IF(E199-$I$3&lt;0,0,E199-$I$3)</f>
        <v>0</v>
      </c>
      <c r="J199" s="362">
        <f t="shared" ref="J199:J262" si="30">IF(E199-$J$3&lt;0,0,E199-$J$3)</f>
        <v>0</v>
      </c>
      <c r="K199" s="357">
        <f t="shared" ref="K199:K262" si="31">IF(E199-$K$3&lt;0,0,E199-$K$3)</f>
        <v>0</v>
      </c>
      <c r="L199" s="361">
        <f t="shared" ref="L199:L262" si="32">(G199-H199)*$G$4+(H199-I199)*$H$4+(I199-J199)*$I$4+(J199-K199)*$J$4+(K199*$K$4)</f>
        <v>1.4529643592521724</v>
      </c>
      <c r="M199" s="112">
        <f>L199*D199*'B) D RI'!S200</f>
        <v>36123.599899727509</v>
      </c>
    </row>
    <row r="200" spans="1:13" x14ac:dyDescent="0.25">
      <c r="A200" s="288">
        <f>'A) Base RI'!A201</f>
        <v>5723</v>
      </c>
      <c r="B200" s="32" t="str">
        <f>'A) Base RI'!B201</f>
        <v>Mies</v>
      </c>
      <c r="C200" s="286">
        <f>'B) D RI'!U201</f>
        <v>245974.84538461536</v>
      </c>
      <c r="D200" s="32">
        <f>'B) D RI'!AA201</f>
        <v>2195</v>
      </c>
      <c r="E200" s="198">
        <f t="shared" si="25"/>
        <v>112.06143297704573</v>
      </c>
      <c r="F200" s="354">
        <f t="shared" si="26"/>
        <v>2.3158954876881319</v>
      </c>
      <c r="G200" s="365">
        <f t="shared" si="27"/>
        <v>63.67348387796428</v>
      </c>
      <c r="H200" s="362">
        <f t="shared" si="28"/>
        <v>53.995894058147996</v>
      </c>
      <c r="I200" s="365">
        <f t="shared" si="29"/>
        <v>39.479509328423561</v>
      </c>
      <c r="J200" s="362">
        <f t="shared" si="30"/>
        <v>15.285534778882834</v>
      </c>
      <c r="K200" s="357">
        <f t="shared" si="31"/>
        <v>0</v>
      </c>
      <c r="L200" s="361">
        <f t="shared" si="32"/>
        <v>23.610790592138294</v>
      </c>
      <c r="M200" s="112">
        <f>L200*D200*'B) D RI'!S201</f>
        <v>2694935.6381866648</v>
      </c>
    </row>
    <row r="201" spans="1:13" x14ac:dyDescent="0.25">
      <c r="A201" s="288">
        <f>'A) Base RI'!A202</f>
        <v>5724</v>
      </c>
      <c r="B201" s="32" t="str">
        <f>'A) Base RI'!B202</f>
        <v>Nyon</v>
      </c>
      <c r="C201" s="286">
        <f>'B) D RI'!U202</f>
        <v>1461873.0345355188</v>
      </c>
      <c r="D201" s="32">
        <f>'B) D RI'!AA202</f>
        <v>22124</v>
      </c>
      <c r="E201" s="198">
        <f t="shared" si="25"/>
        <v>66.076343994554279</v>
      </c>
      <c r="F201" s="354">
        <f t="shared" si="26"/>
        <v>1.3655537220487117</v>
      </c>
      <c r="G201" s="365">
        <f t="shared" si="27"/>
        <v>17.688394895472833</v>
      </c>
      <c r="H201" s="362">
        <f t="shared" si="28"/>
        <v>8.010805075656549</v>
      </c>
      <c r="I201" s="365">
        <f t="shared" si="29"/>
        <v>0</v>
      </c>
      <c r="J201" s="362">
        <f t="shared" si="30"/>
        <v>0</v>
      </c>
      <c r="K201" s="357">
        <f t="shared" si="31"/>
        <v>0</v>
      </c>
      <c r="L201" s="361">
        <f t="shared" si="32"/>
        <v>4.338759486660221</v>
      </c>
      <c r="M201" s="112">
        <f>L201*D201*'B) D RI'!S202</f>
        <v>5855433.6078551142</v>
      </c>
    </row>
    <row r="202" spans="1:13" x14ac:dyDescent="0.25">
      <c r="A202" s="288">
        <f>'A) Base RI'!A203</f>
        <v>5725</v>
      </c>
      <c r="B202" s="32" t="str">
        <f>'A) Base RI'!B203</f>
        <v>Prangins</v>
      </c>
      <c r="C202" s="286">
        <f>'B) D RI'!U203</f>
        <v>355082.58820779232</v>
      </c>
      <c r="D202" s="32">
        <f>'B) D RI'!AA203</f>
        <v>4060</v>
      </c>
      <c r="E202" s="198">
        <f t="shared" si="25"/>
        <v>87.458765568421754</v>
      </c>
      <c r="F202" s="354">
        <f t="shared" si="26"/>
        <v>1.8074493173772888</v>
      </c>
      <c r="G202" s="365">
        <f t="shared" si="27"/>
        <v>39.070816469340308</v>
      </c>
      <c r="H202" s="362">
        <f t="shared" si="28"/>
        <v>29.393226649524024</v>
      </c>
      <c r="I202" s="365">
        <f t="shared" si="29"/>
        <v>14.876841919799588</v>
      </c>
      <c r="J202" s="362">
        <f t="shared" si="30"/>
        <v>0</v>
      </c>
      <c r="K202" s="357">
        <f t="shared" si="31"/>
        <v>0</v>
      </c>
      <c r="L202" s="361">
        <f t="shared" si="32"/>
        <v>12.241170150800421</v>
      </c>
      <c r="M202" s="112">
        <f>L202*D202*'B) D RI'!S203</f>
        <v>2733453.2946737339</v>
      </c>
    </row>
    <row r="203" spans="1:13" x14ac:dyDescent="0.25">
      <c r="A203" s="288">
        <f>'A) Base RI'!A204</f>
        <v>5726</v>
      </c>
      <c r="B203" s="32" t="str">
        <f>'A) Base RI'!B204</f>
        <v>La Rippe</v>
      </c>
      <c r="C203" s="286">
        <f>'B) D RI'!U204</f>
        <v>70366.469687500008</v>
      </c>
      <c r="D203" s="32">
        <f>'B) D RI'!AA204</f>
        <v>1165</v>
      </c>
      <c r="E203" s="198">
        <f t="shared" si="25"/>
        <v>60.400403165236057</v>
      </c>
      <c r="F203" s="354">
        <f t="shared" si="26"/>
        <v>1.2482530111279844</v>
      </c>
      <c r="G203" s="365">
        <f t="shared" si="27"/>
        <v>12.012454066154611</v>
      </c>
      <c r="H203" s="362">
        <f t="shared" si="28"/>
        <v>2.3348642463383271</v>
      </c>
      <c r="I203" s="365">
        <f t="shared" si="29"/>
        <v>0</v>
      </c>
      <c r="J203" s="362">
        <f t="shared" si="30"/>
        <v>0</v>
      </c>
      <c r="K203" s="357">
        <f t="shared" si="31"/>
        <v>0</v>
      </c>
      <c r="L203" s="361">
        <f t="shared" si="32"/>
        <v>2.635977237864755</v>
      </c>
      <c r="M203" s="112">
        <f>L203*D203*'B) D RI'!S204</f>
        <v>196538.46285519612</v>
      </c>
    </row>
    <row r="204" spans="1:13" x14ac:dyDescent="0.25">
      <c r="A204" s="288">
        <f>'A) Base RI'!A205</f>
        <v>5727</v>
      </c>
      <c r="B204" s="32" t="str">
        <f>'A) Base RI'!B205</f>
        <v>Saint-Cergue</v>
      </c>
      <c r="C204" s="286">
        <f>'B) D RI'!U205</f>
        <v>106173.30404040407</v>
      </c>
      <c r="D204" s="32">
        <f>'B) D RI'!AA205</f>
        <v>2755</v>
      </c>
      <c r="E204" s="198">
        <f t="shared" si="25"/>
        <v>38.538404370382601</v>
      </c>
      <c r="F204" s="354">
        <f t="shared" si="26"/>
        <v>0.79644632781334768</v>
      </c>
      <c r="G204" s="365">
        <f t="shared" si="27"/>
        <v>0</v>
      </c>
      <c r="H204" s="362">
        <f t="shared" si="28"/>
        <v>0</v>
      </c>
      <c r="I204" s="365">
        <f t="shared" si="29"/>
        <v>0</v>
      </c>
      <c r="J204" s="362">
        <f t="shared" si="30"/>
        <v>0</v>
      </c>
      <c r="K204" s="357">
        <f t="shared" si="31"/>
        <v>0</v>
      </c>
      <c r="L204" s="361">
        <f t="shared" si="32"/>
        <v>0</v>
      </c>
      <c r="M204" s="112">
        <f>L204*D204*'B) D RI'!S205</f>
        <v>0</v>
      </c>
    </row>
    <row r="205" spans="1:13" x14ac:dyDescent="0.25">
      <c r="A205" s="288">
        <f>'A) Base RI'!A206</f>
        <v>5728</v>
      </c>
      <c r="B205" s="32" t="str">
        <f>'A) Base RI'!B206</f>
        <v>Signy-Avenex</v>
      </c>
      <c r="C205" s="286">
        <f>'B) D RI'!U206</f>
        <v>56477.02620689656</v>
      </c>
      <c r="D205" s="32">
        <f>'B) D RI'!AA206</f>
        <v>584</v>
      </c>
      <c r="E205" s="198">
        <f t="shared" si="25"/>
        <v>96.707236655644792</v>
      </c>
      <c r="F205" s="354">
        <f t="shared" si="26"/>
        <v>1.9985810197828904</v>
      </c>
      <c r="G205" s="365">
        <f t="shared" si="27"/>
        <v>48.319287556563346</v>
      </c>
      <c r="H205" s="362">
        <f t="shared" si="28"/>
        <v>38.641697736747062</v>
      </c>
      <c r="I205" s="365">
        <f t="shared" si="29"/>
        <v>24.125313007022626</v>
      </c>
      <c r="J205" s="362">
        <f t="shared" si="30"/>
        <v>0</v>
      </c>
      <c r="K205" s="357">
        <f t="shared" si="31"/>
        <v>0</v>
      </c>
      <c r="L205" s="361">
        <f t="shared" si="32"/>
        <v>15.940558585689637</v>
      </c>
      <c r="M205" s="112">
        <f>L205*D205*'B) D RI'!S206</f>
        <v>539938.60041447938</v>
      </c>
    </row>
    <row r="206" spans="1:13" x14ac:dyDescent="0.25">
      <c r="A206" s="288">
        <f>'A) Base RI'!A207</f>
        <v>5729</v>
      </c>
      <c r="B206" s="32" t="str">
        <f>'A) Base RI'!B207</f>
        <v>Tannay</v>
      </c>
      <c r="C206" s="286">
        <f>'B) D RI'!U207</f>
        <v>161688.04044077132</v>
      </c>
      <c r="D206" s="32">
        <f>'B) D RI'!AA207</f>
        <v>1644</v>
      </c>
      <c r="E206" s="198">
        <f t="shared" si="25"/>
        <v>98.350389562512973</v>
      </c>
      <c r="F206" s="354">
        <f t="shared" si="26"/>
        <v>2.032538915032875</v>
      </c>
      <c r="G206" s="365">
        <f t="shared" si="27"/>
        <v>49.962440463431527</v>
      </c>
      <c r="H206" s="362">
        <f t="shared" si="28"/>
        <v>40.284850643615243</v>
      </c>
      <c r="I206" s="365">
        <f t="shared" si="29"/>
        <v>25.768465913890807</v>
      </c>
      <c r="J206" s="362">
        <f t="shared" si="30"/>
        <v>1.5744913643500809</v>
      </c>
      <c r="K206" s="357">
        <f t="shared" si="31"/>
        <v>0</v>
      </c>
      <c r="L206" s="361">
        <f t="shared" si="32"/>
        <v>16.755268884871917</v>
      </c>
      <c r="M206" s="112">
        <f>L206*D206*'B) D RI'!S207</f>
        <v>1666512.5538271305</v>
      </c>
    </row>
    <row r="207" spans="1:13" x14ac:dyDescent="0.25">
      <c r="A207" s="288">
        <f>'A) Base RI'!A208</f>
        <v>5730</v>
      </c>
      <c r="B207" s="32" t="str">
        <f>'A) Base RI'!B208</f>
        <v>Trélex</v>
      </c>
      <c r="C207" s="286">
        <f>'B) D RI'!U208</f>
        <v>125085.64878878882</v>
      </c>
      <c r="D207" s="32">
        <f>'B) D RI'!AA208</f>
        <v>1439</v>
      </c>
      <c r="E207" s="198">
        <f t="shared" si="25"/>
        <v>86.925398741340388</v>
      </c>
      <c r="F207" s="354">
        <f t="shared" si="26"/>
        <v>1.7964265971130093</v>
      </c>
      <c r="G207" s="365">
        <f t="shared" si="27"/>
        <v>38.537449642258942</v>
      </c>
      <c r="H207" s="362">
        <f t="shared" si="28"/>
        <v>28.859859822442658</v>
      </c>
      <c r="I207" s="365">
        <f t="shared" si="29"/>
        <v>14.343475092718222</v>
      </c>
      <c r="J207" s="362">
        <f t="shared" si="30"/>
        <v>0</v>
      </c>
      <c r="K207" s="357">
        <f t="shared" si="31"/>
        <v>0</v>
      </c>
      <c r="L207" s="361">
        <f t="shared" si="32"/>
        <v>12.027823419967877</v>
      </c>
      <c r="M207" s="112">
        <f>L207*D207*'B) D RI'!S208</f>
        <v>960596.10352402437</v>
      </c>
    </row>
    <row r="208" spans="1:13" x14ac:dyDescent="0.25">
      <c r="A208" s="288">
        <f>'A) Base RI'!A209</f>
        <v>5731</v>
      </c>
      <c r="B208" s="32" t="str">
        <f>'A) Base RI'!B209</f>
        <v>Le Vaud</v>
      </c>
      <c r="C208" s="286">
        <f>'B) D RI'!U209</f>
        <v>69596.613288288281</v>
      </c>
      <c r="D208" s="32">
        <f>'B) D RI'!AA209</f>
        <v>1387</v>
      </c>
      <c r="E208" s="198">
        <f t="shared" si="25"/>
        <v>50.177803380164583</v>
      </c>
      <c r="F208" s="354">
        <f t="shared" si="26"/>
        <v>1.0369896702465762</v>
      </c>
      <c r="G208" s="365">
        <f t="shared" si="27"/>
        <v>1.7898542810831373</v>
      </c>
      <c r="H208" s="362">
        <f t="shared" si="28"/>
        <v>0</v>
      </c>
      <c r="I208" s="365">
        <f t="shared" si="29"/>
        <v>0</v>
      </c>
      <c r="J208" s="362">
        <f t="shared" si="30"/>
        <v>0</v>
      </c>
      <c r="K208" s="357">
        <f t="shared" si="31"/>
        <v>0</v>
      </c>
      <c r="L208" s="361">
        <f t="shared" si="32"/>
        <v>0.3579708562166275</v>
      </c>
      <c r="M208" s="112">
        <f>L208*D208*'B) D RI'!S209</f>
        <v>36741.412740362211</v>
      </c>
    </row>
    <row r="209" spans="1:13" x14ac:dyDescent="0.25">
      <c r="A209" s="288">
        <f>'A) Base RI'!A210</f>
        <v>5732</v>
      </c>
      <c r="B209" s="32" t="str">
        <f>'A) Base RI'!B210</f>
        <v>Vich</v>
      </c>
      <c r="C209" s="286">
        <f>'B) D RI'!U210</f>
        <v>86538.031587301579</v>
      </c>
      <c r="D209" s="32">
        <f>'B) D RI'!AA210</f>
        <v>1157</v>
      </c>
      <c r="E209" s="198">
        <f t="shared" si="25"/>
        <v>74.795187197322022</v>
      </c>
      <c r="F209" s="354">
        <f t="shared" si="26"/>
        <v>1.5457399743098819</v>
      </c>
      <c r="G209" s="365">
        <f t="shared" si="27"/>
        <v>26.407238098240576</v>
      </c>
      <c r="H209" s="362">
        <f t="shared" si="28"/>
        <v>16.729648278424293</v>
      </c>
      <c r="I209" s="365">
        <f t="shared" si="29"/>
        <v>2.2132635486998566</v>
      </c>
      <c r="J209" s="362">
        <f t="shared" si="30"/>
        <v>0</v>
      </c>
      <c r="K209" s="357">
        <f t="shared" si="31"/>
        <v>0</v>
      </c>
      <c r="L209" s="361">
        <f t="shared" si="32"/>
        <v>7.17573880236053</v>
      </c>
      <c r="M209" s="112">
        <f>L209*D209*'B) D RI'!S210</f>
        <v>523046.77704286145</v>
      </c>
    </row>
    <row r="210" spans="1:13" x14ac:dyDescent="0.25">
      <c r="A210" s="288">
        <f>'A) Base RI'!A211</f>
        <v>5741</v>
      </c>
      <c r="B210" s="32" t="str">
        <f>'A) Base RI'!B211</f>
        <v>L'Abergement</v>
      </c>
      <c r="C210" s="286">
        <f>'B) D RI'!U211</f>
        <v>8987.3782921810707</v>
      </c>
      <c r="D210" s="32">
        <f>'B) D RI'!AA211</f>
        <v>254</v>
      </c>
      <c r="E210" s="198">
        <f t="shared" si="25"/>
        <v>35.383379103075079</v>
      </c>
      <c r="F210" s="354">
        <f t="shared" si="26"/>
        <v>0.73124362081605077</v>
      </c>
      <c r="G210" s="365">
        <f t="shared" si="27"/>
        <v>0</v>
      </c>
      <c r="H210" s="362">
        <f t="shared" si="28"/>
        <v>0</v>
      </c>
      <c r="I210" s="365">
        <f t="shared" si="29"/>
        <v>0</v>
      </c>
      <c r="J210" s="362">
        <f t="shared" si="30"/>
        <v>0</v>
      </c>
      <c r="K210" s="357">
        <f t="shared" si="31"/>
        <v>0</v>
      </c>
      <c r="L210" s="361">
        <f t="shared" si="32"/>
        <v>0</v>
      </c>
      <c r="M210" s="112">
        <f>L210*D210*'B) D RI'!S211</f>
        <v>0</v>
      </c>
    </row>
    <row r="211" spans="1:13" x14ac:dyDescent="0.25">
      <c r="A211" s="288">
        <f>'A) Base RI'!A212</f>
        <v>5742</v>
      </c>
      <c r="B211" s="32" t="str">
        <f>'A) Base RI'!B212</f>
        <v>Agiez</v>
      </c>
      <c r="C211" s="286">
        <f>'B) D RI'!U212</f>
        <v>10160.069605263159</v>
      </c>
      <c r="D211" s="32">
        <f>'B) D RI'!AA212</f>
        <v>375</v>
      </c>
      <c r="E211" s="198">
        <f t="shared" si="25"/>
        <v>27.093518947368423</v>
      </c>
      <c r="F211" s="354">
        <f t="shared" si="26"/>
        <v>0.55992286203100805</v>
      </c>
      <c r="G211" s="365">
        <f t="shared" si="27"/>
        <v>0</v>
      </c>
      <c r="H211" s="362">
        <f t="shared" si="28"/>
        <v>0</v>
      </c>
      <c r="I211" s="365">
        <f t="shared" si="29"/>
        <v>0</v>
      </c>
      <c r="J211" s="362">
        <f t="shared" si="30"/>
        <v>0</v>
      </c>
      <c r="K211" s="357">
        <f t="shared" si="31"/>
        <v>0</v>
      </c>
      <c r="L211" s="361">
        <f t="shared" si="32"/>
        <v>0</v>
      </c>
      <c r="M211" s="112">
        <f>L211*D211*'B) D RI'!S212</f>
        <v>0</v>
      </c>
    </row>
    <row r="212" spans="1:13" x14ac:dyDescent="0.25">
      <c r="A212" s="288">
        <f>'A) Base RI'!A213</f>
        <v>5743</v>
      </c>
      <c r="B212" s="32" t="str">
        <f>'A) Base RI'!B213</f>
        <v>Arnex-sur-Orbe</v>
      </c>
      <c r="C212" s="286">
        <f>'B) D RI'!U213</f>
        <v>18533.117816901413</v>
      </c>
      <c r="D212" s="32">
        <f>'B) D RI'!AA213</f>
        <v>665</v>
      </c>
      <c r="E212" s="198">
        <f t="shared" si="25"/>
        <v>27.869350100603629</v>
      </c>
      <c r="F212" s="354">
        <f t="shared" si="26"/>
        <v>0.57595642343793152</v>
      </c>
      <c r="G212" s="365">
        <f t="shared" si="27"/>
        <v>0</v>
      </c>
      <c r="H212" s="362">
        <f t="shared" si="28"/>
        <v>0</v>
      </c>
      <c r="I212" s="365">
        <f t="shared" si="29"/>
        <v>0</v>
      </c>
      <c r="J212" s="362">
        <f t="shared" si="30"/>
        <v>0</v>
      </c>
      <c r="K212" s="357">
        <f t="shared" si="31"/>
        <v>0</v>
      </c>
      <c r="L212" s="361">
        <f t="shared" si="32"/>
        <v>0</v>
      </c>
      <c r="M212" s="112">
        <f>L212*D212*'B) D RI'!S213</f>
        <v>0</v>
      </c>
    </row>
    <row r="213" spans="1:13" x14ac:dyDescent="0.25">
      <c r="A213" s="288">
        <f>'A) Base RI'!A214</f>
        <v>5744</v>
      </c>
      <c r="B213" s="32" t="str">
        <f>'A) Base RI'!B214</f>
        <v>Ballaigues</v>
      </c>
      <c r="C213" s="286">
        <f>'B) D RI'!U214</f>
        <v>49245.2596923077</v>
      </c>
      <c r="D213" s="32">
        <f>'B) D RI'!AA214</f>
        <v>1173</v>
      </c>
      <c r="E213" s="198">
        <f t="shared" si="25"/>
        <v>41.982318578267432</v>
      </c>
      <c r="F213" s="354">
        <f t="shared" si="26"/>
        <v>0.8676193010847072</v>
      </c>
      <c r="G213" s="365">
        <f t="shared" si="27"/>
        <v>0</v>
      </c>
      <c r="H213" s="362">
        <f t="shared" si="28"/>
        <v>0</v>
      </c>
      <c r="I213" s="365">
        <f t="shared" si="29"/>
        <v>0</v>
      </c>
      <c r="J213" s="362">
        <f t="shared" si="30"/>
        <v>0</v>
      </c>
      <c r="K213" s="357">
        <f t="shared" si="31"/>
        <v>0</v>
      </c>
      <c r="L213" s="361">
        <f t="shared" si="32"/>
        <v>0</v>
      </c>
      <c r="M213" s="112">
        <f>L213*D213*'B) D RI'!S214</f>
        <v>0</v>
      </c>
    </row>
    <row r="214" spans="1:13" x14ac:dyDescent="0.25">
      <c r="A214" s="288">
        <f>'A) Base RI'!A215</f>
        <v>5745</v>
      </c>
      <c r="B214" s="32" t="str">
        <f>'A) Base RI'!B215</f>
        <v>Baulmes</v>
      </c>
      <c r="C214" s="286">
        <f>'B) D RI'!U215</f>
        <v>28471.572156862745</v>
      </c>
      <c r="D214" s="32">
        <f>'B) D RI'!AA215</f>
        <v>1126</v>
      </c>
      <c r="E214" s="198">
        <f t="shared" si="25"/>
        <v>25.285588061156968</v>
      </c>
      <c r="F214" s="354">
        <f t="shared" si="26"/>
        <v>0.52255961519222494</v>
      </c>
      <c r="G214" s="365">
        <f t="shared" si="27"/>
        <v>0</v>
      </c>
      <c r="H214" s="362">
        <f t="shared" si="28"/>
        <v>0</v>
      </c>
      <c r="I214" s="365">
        <f t="shared" si="29"/>
        <v>0</v>
      </c>
      <c r="J214" s="362">
        <f t="shared" si="30"/>
        <v>0</v>
      </c>
      <c r="K214" s="357">
        <f t="shared" si="31"/>
        <v>0</v>
      </c>
      <c r="L214" s="361">
        <f t="shared" si="32"/>
        <v>0</v>
      </c>
      <c r="M214" s="112">
        <f>L214*D214*'B) D RI'!S215</f>
        <v>0</v>
      </c>
    </row>
    <row r="215" spans="1:13" x14ac:dyDescent="0.25">
      <c r="A215" s="288">
        <f>'A) Base RI'!A216</f>
        <v>5746</v>
      </c>
      <c r="B215" s="32" t="str">
        <f>'A) Base RI'!B216</f>
        <v>Bavois</v>
      </c>
      <c r="C215" s="286">
        <f>'B) D RI'!U216</f>
        <v>27408.124908675796</v>
      </c>
      <c r="D215" s="32">
        <f>'B) D RI'!AA216</f>
        <v>978</v>
      </c>
      <c r="E215" s="198">
        <f t="shared" si="25"/>
        <v>28.024667595783022</v>
      </c>
      <c r="F215" s="354">
        <f t="shared" si="26"/>
        <v>0.57916626179791975</v>
      </c>
      <c r="G215" s="365">
        <f t="shared" si="27"/>
        <v>0</v>
      </c>
      <c r="H215" s="362">
        <f t="shared" si="28"/>
        <v>0</v>
      </c>
      <c r="I215" s="365">
        <f t="shared" si="29"/>
        <v>0</v>
      </c>
      <c r="J215" s="362">
        <f t="shared" si="30"/>
        <v>0</v>
      </c>
      <c r="K215" s="357">
        <f t="shared" si="31"/>
        <v>0</v>
      </c>
      <c r="L215" s="361">
        <f t="shared" si="32"/>
        <v>0</v>
      </c>
      <c r="M215" s="112">
        <f>L215*D215*'B) D RI'!S216</f>
        <v>0</v>
      </c>
    </row>
    <row r="216" spans="1:13" x14ac:dyDescent="0.25">
      <c r="A216" s="288">
        <f>'A) Base RI'!A217</f>
        <v>5747</v>
      </c>
      <c r="B216" s="32" t="str">
        <f>'A) Base RI'!B217</f>
        <v>Bofflens</v>
      </c>
      <c r="C216" s="286">
        <f>'B) D RI'!U217</f>
        <v>5808.1759420289845</v>
      </c>
      <c r="D216" s="32">
        <f>'B) D RI'!AA217</f>
        <v>206</v>
      </c>
      <c r="E216" s="198">
        <f t="shared" si="25"/>
        <v>28.195028844800895</v>
      </c>
      <c r="F216" s="354">
        <f t="shared" si="26"/>
        <v>0.5826869989275103</v>
      </c>
      <c r="G216" s="365">
        <f t="shared" si="27"/>
        <v>0</v>
      </c>
      <c r="H216" s="362">
        <f t="shared" si="28"/>
        <v>0</v>
      </c>
      <c r="I216" s="365">
        <f t="shared" si="29"/>
        <v>0</v>
      </c>
      <c r="J216" s="362">
        <f t="shared" si="30"/>
        <v>0</v>
      </c>
      <c r="K216" s="357">
        <f t="shared" si="31"/>
        <v>0</v>
      </c>
      <c r="L216" s="361">
        <f t="shared" si="32"/>
        <v>0</v>
      </c>
      <c r="M216" s="112">
        <f>L216*D216*'B) D RI'!S217</f>
        <v>0</v>
      </c>
    </row>
    <row r="217" spans="1:13" x14ac:dyDescent="0.25">
      <c r="A217" s="288">
        <f>'A) Base RI'!A218</f>
        <v>5748</v>
      </c>
      <c r="B217" s="32" t="str">
        <f>'A) Base RI'!B218</f>
        <v>Bretonnières</v>
      </c>
      <c r="C217" s="286">
        <f>'B) D RI'!U218</f>
        <v>6643.6153664302601</v>
      </c>
      <c r="D217" s="32">
        <f>'B) D RI'!AA218</f>
        <v>266</v>
      </c>
      <c r="E217" s="198">
        <f t="shared" si="25"/>
        <v>24.975997618158871</v>
      </c>
      <c r="F217" s="354">
        <f t="shared" si="26"/>
        <v>0.51616152540412163</v>
      </c>
      <c r="G217" s="365">
        <f t="shared" si="27"/>
        <v>0</v>
      </c>
      <c r="H217" s="362">
        <f t="shared" si="28"/>
        <v>0</v>
      </c>
      <c r="I217" s="365">
        <f t="shared" si="29"/>
        <v>0</v>
      </c>
      <c r="J217" s="362">
        <f t="shared" si="30"/>
        <v>0</v>
      </c>
      <c r="K217" s="357">
        <f t="shared" si="31"/>
        <v>0</v>
      </c>
      <c r="L217" s="361">
        <f t="shared" si="32"/>
        <v>0</v>
      </c>
      <c r="M217" s="112">
        <f>L217*D217*'B) D RI'!S218</f>
        <v>0</v>
      </c>
    </row>
    <row r="218" spans="1:13" x14ac:dyDescent="0.25">
      <c r="A218" s="288">
        <f>'A) Base RI'!A219</f>
        <v>5749</v>
      </c>
      <c r="B218" s="32" t="str">
        <f>'A) Base RI'!B219</f>
        <v>Chavornay</v>
      </c>
      <c r="C218" s="286">
        <f>'B) D RI'!U219</f>
        <v>153338.61687943264</v>
      </c>
      <c r="D218" s="32">
        <f>'B) D RI'!AA219</f>
        <v>5366</v>
      </c>
      <c r="E218" s="198">
        <f t="shared" si="25"/>
        <v>28.575962892179025</v>
      </c>
      <c r="F218" s="354">
        <f t="shared" si="26"/>
        <v>0.59055949723484946</v>
      </c>
      <c r="G218" s="365">
        <f t="shared" si="27"/>
        <v>0</v>
      </c>
      <c r="H218" s="362">
        <f t="shared" si="28"/>
        <v>0</v>
      </c>
      <c r="I218" s="365">
        <f t="shared" si="29"/>
        <v>0</v>
      </c>
      <c r="J218" s="362">
        <f t="shared" si="30"/>
        <v>0</v>
      </c>
      <c r="K218" s="357">
        <f t="shared" si="31"/>
        <v>0</v>
      </c>
      <c r="L218" s="361">
        <f t="shared" si="32"/>
        <v>0</v>
      </c>
      <c r="M218" s="112">
        <f>L218*D218*'B) D RI'!S219</f>
        <v>0</v>
      </c>
    </row>
    <row r="219" spans="1:13" x14ac:dyDescent="0.25">
      <c r="A219" s="288">
        <f>'A) Base RI'!A220</f>
        <v>5750</v>
      </c>
      <c r="B219" s="32" t="str">
        <f>'A) Base RI'!B220</f>
        <v>Les Clées</v>
      </c>
      <c r="C219" s="286">
        <f>'B) D RI'!U220</f>
        <v>4819.774166666667</v>
      </c>
      <c r="D219" s="32">
        <f>'B) D RI'!AA220</f>
        <v>182</v>
      </c>
      <c r="E219" s="198">
        <f t="shared" si="25"/>
        <v>26.482275641025645</v>
      </c>
      <c r="F219" s="354">
        <f t="shared" si="26"/>
        <v>0.54729072287811353</v>
      </c>
      <c r="G219" s="365">
        <f t="shared" si="27"/>
        <v>0</v>
      </c>
      <c r="H219" s="362">
        <f t="shared" si="28"/>
        <v>0</v>
      </c>
      <c r="I219" s="365">
        <f t="shared" si="29"/>
        <v>0</v>
      </c>
      <c r="J219" s="362">
        <f t="shared" si="30"/>
        <v>0</v>
      </c>
      <c r="K219" s="357">
        <f t="shared" si="31"/>
        <v>0</v>
      </c>
      <c r="L219" s="361">
        <f t="shared" si="32"/>
        <v>0</v>
      </c>
      <c r="M219" s="112">
        <f>L219*D219*'B) D RI'!S220</f>
        <v>0</v>
      </c>
    </row>
    <row r="220" spans="1:13" x14ac:dyDescent="0.25">
      <c r="A220" s="288">
        <f>'A) Base RI'!A221</f>
        <v>5752</v>
      </c>
      <c r="B220" s="32" t="str">
        <f>'A) Base RI'!B221</f>
        <v>Croy</v>
      </c>
      <c r="C220" s="286">
        <f>'B) D RI'!U221</f>
        <v>9670.9952316602321</v>
      </c>
      <c r="D220" s="32">
        <f>'B) D RI'!AA221</f>
        <v>390</v>
      </c>
      <c r="E220" s="198">
        <f t="shared" si="25"/>
        <v>24.797423670923671</v>
      </c>
      <c r="F220" s="354">
        <f t="shared" si="26"/>
        <v>0.51247106216771654</v>
      </c>
      <c r="G220" s="365">
        <f t="shared" si="27"/>
        <v>0</v>
      </c>
      <c r="H220" s="362">
        <f t="shared" si="28"/>
        <v>0</v>
      </c>
      <c r="I220" s="365">
        <f t="shared" si="29"/>
        <v>0</v>
      </c>
      <c r="J220" s="362">
        <f t="shared" si="30"/>
        <v>0</v>
      </c>
      <c r="K220" s="357">
        <f t="shared" si="31"/>
        <v>0</v>
      </c>
      <c r="L220" s="361">
        <f t="shared" si="32"/>
        <v>0</v>
      </c>
      <c r="M220" s="112">
        <f>L220*D220*'B) D RI'!S221</f>
        <v>0</v>
      </c>
    </row>
    <row r="221" spans="1:13" x14ac:dyDescent="0.25">
      <c r="A221" s="288">
        <f>'A) Base RI'!A222</f>
        <v>5754</v>
      </c>
      <c r="B221" s="32" t="str">
        <f>'A) Base RI'!B222</f>
        <v>Juriens</v>
      </c>
      <c r="C221" s="286">
        <f>'B) D RI'!U222</f>
        <v>9073.6935443037964</v>
      </c>
      <c r="D221" s="32">
        <f>'B) D RI'!AA222</f>
        <v>348</v>
      </c>
      <c r="E221" s="198">
        <f t="shared" si="25"/>
        <v>26.073832023861485</v>
      </c>
      <c r="F221" s="354">
        <f t="shared" si="26"/>
        <v>0.53884970347619976</v>
      </c>
      <c r="G221" s="365">
        <f t="shared" si="27"/>
        <v>0</v>
      </c>
      <c r="H221" s="362">
        <f t="shared" si="28"/>
        <v>0</v>
      </c>
      <c r="I221" s="365">
        <f t="shared" si="29"/>
        <v>0</v>
      </c>
      <c r="J221" s="362">
        <f t="shared" si="30"/>
        <v>0</v>
      </c>
      <c r="K221" s="357">
        <f t="shared" si="31"/>
        <v>0</v>
      </c>
      <c r="L221" s="361">
        <f t="shared" si="32"/>
        <v>0</v>
      </c>
      <c r="M221" s="112">
        <f>L221*D221*'B) D RI'!S222</f>
        <v>0</v>
      </c>
    </row>
    <row r="222" spans="1:13" x14ac:dyDescent="0.25">
      <c r="A222" s="288">
        <f>'A) Base RI'!A223</f>
        <v>5755</v>
      </c>
      <c r="B222" s="32" t="str">
        <f>'A) Base RI'!B223</f>
        <v>Lignerolle</v>
      </c>
      <c r="C222" s="286">
        <f>'B) D RI'!U223</f>
        <v>10746.718034576888</v>
      </c>
      <c r="D222" s="32">
        <f>'B) D RI'!AA223</f>
        <v>409</v>
      </c>
      <c r="E222" s="198">
        <f t="shared" si="25"/>
        <v>26.275594216569409</v>
      </c>
      <c r="F222" s="354">
        <f t="shared" si="26"/>
        <v>0.54301938201113387</v>
      </c>
      <c r="G222" s="365">
        <f t="shared" si="27"/>
        <v>0</v>
      </c>
      <c r="H222" s="362">
        <f t="shared" si="28"/>
        <v>0</v>
      </c>
      <c r="I222" s="365">
        <f t="shared" si="29"/>
        <v>0</v>
      </c>
      <c r="J222" s="362">
        <f t="shared" si="30"/>
        <v>0</v>
      </c>
      <c r="K222" s="357">
        <f t="shared" si="31"/>
        <v>0</v>
      </c>
      <c r="L222" s="361">
        <f t="shared" si="32"/>
        <v>0</v>
      </c>
      <c r="M222" s="112">
        <f>L222*D222*'B) D RI'!S223</f>
        <v>0</v>
      </c>
    </row>
    <row r="223" spans="1:13" x14ac:dyDescent="0.25">
      <c r="A223" s="288">
        <f>'A) Base RI'!A224</f>
        <v>5756</v>
      </c>
      <c r="B223" s="32" t="str">
        <f>'A) Base RI'!B224</f>
        <v>Montcherand</v>
      </c>
      <c r="C223" s="286">
        <f>'B) D RI'!U224</f>
        <v>17739.52444444444</v>
      </c>
      <c r="D223" s="32">
        <f>'B) D RI'!AA224</f>
        <v>502</v>
      </c>
      <c r="E223" s="198">
        <f t="shared" si="25"/>
        <v>35.337698096502869</v>
      </c>
      <c r="F223" s="354">
        <f t="shared" si="26"/>
        <v>0.73029956330952839</v>
      </c>
      <c r="G223" s="365">
        <f t="shared" si="27"/>
        <v>0</v>
      </c>
      <c r="H223" s="362">
        <f t="shared" si="28"/>
        <v>0</v>
      </c>
      <c r="I223" s="365">
        <f t="shared" si="29"/>
        <v>0</v>
      </c>
      <c r="J223" s="362">
        <f t="shared" si="30"/>
        <v>0</v>
      </c>
      <c r="K223" s="357">
        <f t="shared" si="31"/>
        <v>0</v>
      </c>
      <c r="L223" s="361">
        <f t="shared" si="32"/>
        <v>0</v>
      </c>
      <c r="M223" s="112">
        <f>L223*D223*'B) D RI'!S224</f>
        <v>0</v>
      </c>
    </row>
    <row r="224" spans="1:13" x14ac:dyDescent="0.25">
      <c r="A224" s="288">
        <f>'A) Base RI'!A225</f>
        <v>5757</v>
      </c>
      <c r="B224" s="32" t="str">
        <f>'A) Base RI'!B225</f>
        <v>Orbe</v>
      </c>
      <c r="C224" s="286">
        <f>'B) D RI'!U225</f>
        <v>216184.82317880794</v>
      </c>
      <c r="D224" s="32">
        <f>'B) D RI'!AA225</f>
        <v>7570</v>
      </c>
      <c r="E224" s="198">
        <f t="shared" si="25"/>
        <v>28.558100816222979</v>
      </c>
      <c r="F224" s="354">
        <f t="shared" si="26"/>
        <v>0.59019035416744081</v>
      </c>
      <c r="G224" s="365">
        <f t="shared" si="27"/>
        <v>0</v>
      </c>
      <c r="H224" s="362">
        <f t="shared" si="28"/>
        <v>0</v>
      </c>
      <c r="I224" s="365">
        <f t="shared" si="29"/>
        <v>0</v>
      </c>
      <c r="J224" s="362">
        <f t="shared" si="30"/>
        <v>0</v>
      </c>
      <c r="K224" s="357">
        <f t="shared" si="31"/>
        <v>0</v>
      </c>
      <c r="L224" s="361">
        <f t="shared" si="32"/>
        <v>0</v>
      </c>
      <c r="M224" s="112">
        <f>L224*D224*'B) D RI'!S225</f>
        <v>0</v>
      </c>
    </row>
    <row r="225" spans="1:13" x14ac:dyDescent="0.25">
      <c r="A225" s="288">
        <f>'A) Base RI'!A226</f>
        <v>5758</v>
      </c>
      <c r="B225" s="32" t="str">
        <f>'A) Base RI'!B226</f>
        <v>La Praz</v>
      </c>
      <c r="C225" s="286">
        <f>'B) D RI'!U226</f>
        <v>4771.8661445783146</v>
      </c>
      <c r="D225" s="32">
        <f>'B) D RI'!AA226</f>
        <v>182</v>
      </c>
      <c r="E225" s="198">
        <f t="shared" si="25"/>
        <v>26.219044750430299</v>
      </c>
      <c r="F225" s="354">
        <f t="shared" si="26"/>
        <v>0.54185071363001869</v>
      </c>
      <c r="G225" s="365">
        <f t="shared" si="27"/>
        <v>0</v>
      </c>
      <c r="H225" s="362">
        <f t="shared" si="28"/>
        <v>0</v>
      </c>
      <c r="I225" s="365">
        <f t="shared" si="29"/>
        <v>0</v>
      </c>
      <c r="J225" s="362">
        <f t="shared" si="30"/>
        <v>0</v>
      </c>
      <c r="K225" s="357">
        <f t="shared" si="31"/>
        <v>0</v>
      </c>
      <c r="L225" s="361">
        <f t="shared" si="32"/>
        <v>0</v>
      </c>
      <c r="M225" s="112">
        <f>L225*D225*'B) D RI'!S226</f>
        <v>0</v>
      </c>
    </row>
    <row r="226" spans="1:13" x14ac:dyDescent="0.25">
      <c r="A226" s="288">
        <f>'A) Base RI'!A227</f>
        <v>5759</v>
      </c>
      <c r="B226" s="32" t="str">
        <f>'A) Base RI'!B227</f>
        <v>Premier</v>
      </c>
      <c r="C226" s="286">
        <f>'B) D RI'!U227</f>
        <v>5900.0572327044019</v>
      </c>
      <c r="D226" s="32">
        <f>'B) D RI'!AA227</f>
        <v>232</v>
      </c>
      <c r="E226" s="198">
        <f t="shared" si="25"/>
        <v>25.431281175450007</v>
      </c>
      <c r="F226" s="354">
        <f t="shared" si="26"/>
        <v>0.52557055318413504</v>
      </c>
      <c r="G226" s="365">
        <f t="shared" si="27"/>
        <v>0</v>
      </c>
      <c r="H226" s="362">
        <f t="shared" si="28"/>
        <v>0</v>
      </c>
      <c r="I226" s="365">
        <f t="shared" si="29"/>
        <v>0</v>
      </c>
      <c r="J226" s="362">
        <f t="shared" si="30"/>
        <v>0</v>
      </c>
      <c r="K226" s="357">
        <f t="shared" si="31"/>
        <v>0</v>
      </c>
      <c r="L226" s="361">
        <f t="shared" si="32"/>
        <v>0</v>
      </c>
      <c r="M226" s="112">
        <f>L226*D226*'B) D RI'!S227</f>
        <v>0</v>
      </c>
    </row>
    <row r="227" spans="1:13" x14ac:dyDescent="0.25">
      <c r="A227" s="288">
        <f>'A) Base RI'!A228</f>
        <v>5760</v>
      </c>
      <c r="B227" s="32" t="str">
        <f>'A) Base RI'!B228</f>
        <v>Rances</v>
      </c>
      <c r="C227" s="286">
        <f>'B) D RI'!U228</f>
        <v>14481.892461873636</v>
      </c>
      <c r="D227" s="32">
        <f>'B) D RI'!AA228</f>
        <v>512</v>
      </c>
      <c r="E227" s="198">
        <f t="shared" si="25"/>
        <v>28.284946214596946</v>
      </c>
      <c r="F227" s="354">
        <f t="shared" si="26"/>
        <v>0.58454525850391714</v>
      </c>
      <c r="G227" s="365">
        <f t="shared" si="27"/>
        <v>0</v>
      </c>
      <c r="H227" s="362">
        <f t="shared" si="28"/>
        <v>0</v>
      </c>
      <c r="I227" s="365">
        <f t="shared" si="29"/>
        <v>0</v>
      </c>
      <c r="J227" s="362">
        <f t="shared" si="30"/>
        <v>0</v>
      </c>
      <c r="K227" s="357">
        <f t="shared" si="31"/>
        <v>0</v>
      </c>
      <c r="L227" s="361">
        <f t="shared" si="32"/>
        <v>0</v>
      </c>
      <c r="M227" s="112">
        <f>L227*D227*'B) D RI'!S228</f>
        <v>0</v>
      </c>
    </row>
    <row r="228" spans="1:13" x14ac:dyDescent="0.25">
      <c r="A228" s="288">
        <f>'A) Base RI'!A229</f>
        <v>5761</v>
      </c>
      <c r="B228" s="32" t="str">
        <f>'A) Base RI'!B229</f>
        <v>Romainmôtier-Envy</v>
      </c>
      <c r="C228" s="286">
        <f>'B) D RI'!U229</f>
        <v>12913.984792368126</v>
      </c>
      <c r="D228" s="32">
        <f>'B) D RI'!AA229</f>
        <v>551</v>
      </c>
      <c r="E228" s="198">
        <f t="shared" si="25"/>
        <v>23.437358969815111</v>
      </c>
      <c r="F228" s="354">
        <f t="shared" si="26"/>
        <v>0.48436355345054344</v>
      </c>
      <c r="G228" s="365">
        <f t="shared" si="27"/>
        <v>0</v>
      </c>
      <c r="H228" s="362">
        <f t="shared" si="28"/>
        <v>0</v>
      </c>
      <c r="I228" s="365">
        <f t="shared" si="29"/>
        <v>0</v>
      </c>
      <c r="J228" s="362">
        <f t="shared" si="30"/>
        <v>0</v>
      </c>
      <c r="K228" s="357">
        <f t="shared" si="31"/>
        <v>0</v>
      </c>
      <c r="L228" s="361">
        <f t="shared" si="32"/>
        <v>0</v>
      </c>
      <c r="M228" s="112">
        <f>L228*D228*'B) D RI'!S229</f>
        <v>0</v>
      </c>
    </row>
    <row r="229" spans="1:13" x14ac:dyDescent="0.25">
      <c r="A229" s="288">
        <f>'A) Base RI'!A230</f>
        <v>5762</v>
      </c>
      <c r="B229" s="32" t="str">
        <f>'A) Base RI'!B230</f>
        <v>Sergey</v>
      </c>
      <c r="C229" s="286">
        <f>'B) D RI'!U230</f>
        <v>3849.6283333333336</v>
      </c>
      <c r="D229" s="32">
        <f>'B) D RI'!AA230</f>
        <v>141</v>
      </c>
      <c r="E229" s="198">
        <f t="shared" si="25"/>
        <v>27.302328605200948</v>
      </c>
      <c r="F229" s="354">
        <f t="shared" si="26"/>
        <v>0.56423818561302141</v>
      </c>
      <c r="G229" s="365">
        <f t="shared" si="27"/>
        <v>0</v>
      </c>
      <c r="H229" s="362">
        <f t="shared" si="28"/>
        <v>0</v>
      </c>
      <c r="I229" s="365">
        <f t="shared" si="29"/>
        <v>0</v>
      </c>
      <c r="J229" s="362">
        <f t="shared" si="30"/>
        <v>0</v>
      </c>
      <c r="K229" s="357">
        <f t="shared" si="31"/>
        <v>0</v>
      </c>
      <c r="L229" s="361">
        <f t="shared" si="32"/>
        <v>0</v>
      </c>
      <c r="M229" s="112">
        <f>L229*D229*'B) D RI'!S230</f>
        <v>0</v>
      </c>
    </row>
    <row r="230" spans="1:13" x14ac:dyDescent="0.25">
      <c r="A230" s="288">
        <f>'A) Base RI'!A231</f>
        <v>5763</v>
      </c>
      <c r="B230" s="32" t="str">
        <f>'A) Base RI'!B231</f>
        <v>Valeyres-sous-Rances</v>
      </c>
      <c r="C230" s="286">
        <f>'B) D RI'!U231</f>
        <v>22663.97352941176</v>
      </c>
      <c r="D230" s="32">
        <f>'B) D RI'!AA231</f>
        <v>614</v>
      </c>
      <c r="E230" s="198">
        <f t="shared" si="25"/>
        <v>36.912009005556612</v>
      </c>
      <c r="F230" s="354">
        <f t="shared" si="26"/>
        <v>0.7628347489986369</v>
      </c>
      <c r="G230" s="365">
        <f t="shared" si="27"/>
        <v>0</v>
      </c>
      <c r="H230" s="362">
        <f t="shared" si="28"/>
        <v>0</v>
      </c>
      <c r="I230" s="365">
        <f t="shared" si="29"/>
        <v>0</v>
      </c>
      <c r="J230" s="362">
        <f t="shared" si="30"/>
        <v>0</v>
      </c>
      <c r="K230" s="357">
        <f t="shared" si="31"/>
        <v>0</v>
      </c>
      <c r="L230" s="361">
        <f t="shared" si="32"/>
        <v>0</v>
      </c>
      <c r="M230" s="112">
        <f>L230*D230*'B) D RI'!S231</f>
        <v>0</v>
      </c>
    </row>
    <row r="231" spans="1:13" x14ac:dyDescent="0.25">
      <c r="A231" s="288">
        <f>'A) Base RI'!A232</f>
        <v>5764</v>
      </c>
      <c r="B231" s="32" t="str">
        <f>'A) Base RI'!B232</f>
        <v>Vallorbe</v>
      </c>
      <c r="C231" s="286">
        <f>'B) D RI'!U232</f>
        <v>83682.382797202779</v>
      </c>
      <c r="D231" s="32">
        <f>'B) D RI'!AA232</f>
        <v>3924</v>
      </c>
      <c r="E231" s="198">
        <f t="shared" si="25"/>
        <v>21.325785626198467</v>
      </c>
      <c r="F231" s="354">
        <f t="shared" si="26"/>
        <v>0.44072513969399246</v>
      </c>
      <c r="G231" s="365">
        <f t="shared" si="27"/>
        <v>0</v>
      </c>
      <c r="H231" s="362">
        <f t="shared" si="28"/>
        <v>0</v>
      </c>
      <c r="I231" s="365">
        <f t="shared" si="29"/>
        <v>0</v>
      </c>
      <c r="J231" s="362">
        <f t="shared" si="30"/>
        <v>0</v>
      </c>
      <c r="K231" s="357">
        <f t="shared" si="31"/>
        <v>0</v>
      </c>
      <c r="L231" s="361">
        <f t="shared" si="32"/>
        <v>0</v>
      </c>
      <c r="M231" s="112">
        <f>L231*D231*'B) D RI'!S232</f>
        <v>0</v>
      </c>
    </row>
    <row r="232" spans="1:13" x14ac:dyDescent="0.25">
      <c r="A232" s="288">
        <f>'A) Base RI'!A233</f>
        <v>5765</v>
      </c>
      <c r="B232" s="32" t="str">
        <f>'A) Base RI'!B233</f>
        <v>Vaulion</v>
      </c>
      <c r="C232" s="286">
        <f>'B) D RI'!U233</f>
        <v>10279.479012345679</v>
      </c>
      <c r="D232" s="32">
        <f>'B) D RI'!AA233</f>
        <v>492</v>
      </c>
      <c r="E232" s="198">
        <f t="shared" si="25"/>
        <v>20.893250025092843</v>
      </c>
      <c r="F232" s="354">
        <f t="shared" si="26"/>
        <v>0.43178622806085126</v>
      </c>
      <c r="G232" s="365">
        <f t="shared" si="27"/>
        <v>0</v>
      </c>
      <c r="H232" s="362">
        <f t="shared" si="28"/>
        <v>0</v>
      </c>
      <c r="I232" s="365">
        <f t="shared" si="29"/>
        <v>0</v>
      </c>
      <c r="J232" s="362">
        <f t="shared" si="30"/>
        <v>0</v>
      </c>
      <c r="K232" s="357">
        <f t="shared" si="31"/>
        <v>0</v>
      </c>
      <c r="L232" s="361">
        <f t="shared" si="32"/>
        <v>0</v>
      </c>
      <c r="M232" s="112">
        <f>L232*D232*'B) D RI'!S233</f>
        <v>0</v>
      </c>
    </row>
    <row r="233" spans="1:13" x14ac:dyDescent="0.25">
      <c r="A233" s="288">
        <f>'A) Base RI'!A234</f>
        <v>5766</v>
      </c>
      <c r="B233" s="32" t="str">
        <f>'A) Base RI'!B234</f>
        <v>Vuiteboeuf</v>
      </c>
      <c r="C233" s="286">
        <f>'B) D RI'!U234</f>
        <v>15554.101904761903</v>
      </c>
      <c r="D233" s="32">
        <f>'B) D RI'!AA234</f>
        <v>591</v>
      </c>
      <c r="E233" s="198">
        <f t="shared" si="25"/>
        <v>26.318277334622508</v>
      </c>
      <c r="F233" s="354">
        <f t="shared" si="26"/>
        <v>0.5439014842462524</v>
      </c>
      <c r="G233" s="365">
        <f t="shared" si="27"/>
        <v>0</v>
      </c>
      <c r="H233" s="362">
        <f t="shared" si="28"/>
        <v>0</v>
      </c>
      <c r="I233" s="365">
        <f t="shared" si="29"/>
        <v>0</v>
      </c>
      <c r="J233" s="362">
        <f t="shared" si="30"/>
        <v>0</v>
      </c>
      <c r="K233" s="357">
        <f t="shared" si="31"/>
        <v>0</v>
      </c>
      <c r="L233" s="361">
        <f t="shared" si="32"/>
        <v>0</v>
      </c>
      <c r="M233" s="112">
        <f>L233*D233*'B) D RI'!S234</f>
        <v>0</v>
      </c>
    </row>
    <row r="234" spans="1:13" x14ac:dyDescent="0.25">
      <c r="A234" s="288">
        <f>'A) Base RI'!A235</f>
        <v>5785</v>
      </c>
      <c r="B234" s="32" t="str">
        <f>'A) Base RI'!B235</f>
        <v>Corcelles-le-Jorat</v>
      </c>
      <c r="C234" s="286">
        <f>'B) D RI'!U235</f>
        <v>14579.940909090908</v>
      </c>
      <c r="D234" s="32">
        <f>'B) D RI'!AA235</f>
        <v>489</v>
      </c>
      <c r="E234" s="198">
        <f t="shared" si="25"/>
        <v>29.815830079940508</v>
      </c>
      <c r="F234" s="354">
        <f t="shared" si="26"/>
        <v>0.61618296776513937</v>
      </c>
      <c r="G234" s="365">
        <f t="shared" si="27"/>
        <v>0</v>
      </c>
      <c r="H234" s="362">
        <f t="shared" si="28"/>
        <v>0</v>
      </c>
      <c r="I234" s="365">
        <f t="shared" si="29"/>
        <v>0</v>
      </c>
      <c r="J234" s="362">
        <f t="shared" si="30"/>
        <v>0</v>
      </c>
      <c r="K234" s="357">
        <f t="shared" si="31"/>
        <v>0</v>
      </c>
      <c r="L234" s="361">
        <f t="shared" si="32"/>
        <v>0</v>
      </c>
      <c r="M234" s="112">
        <f>L234*D234*'B) D RI'!S235</f>
        <v>0</v>
      </c>
    </row>
    <row r="235" spans="1:13" x14ac:dyDescent="0.25">
      <c r="A235" s="288">
        <f>'A) Base RI'!A236</f>
        <v>5788</v>
      </c>
      <c r="B235" s="32" t="str">
        <f>'A) Base RI'!B236</f>
        <v>Essertes</v>
      </c>
      <c r="C235" s="286">
        <f>'B) D RI'!U236</f>
        <v>13314.951048951047</v>
      </c>
      <c r="D235" s="32">
        <f>'B) D RI'!AA236</f>
        <v>397</v>
      </c>
      <c r="E235" s="198">
        <f t="shared" si="25"/>
        <v>33.538919518768381</v>
      </c>
      <c r="F235" s="354">
        <f t="shared" si="26"/>
        <v>0.69312546084754512</v>
      </c>
      <c r="G235" s="365">
        <f t="shared" si="27"/>
        <v>0</v>
      </c>
      <c r="H235" s="362">
        <f t="shared" si="28"/>
        <v>0</v>
      </c>
      <c r="I235" s="365">
        <f t="shared" si="29"/>
        <v>0</v>
      </c>
      <c r="J235" s="362">
        <f t="shared" si="30"/>
        <v>0</v>
      </c>
      <c r="K235" s="357">
        <f t="shared" si="31"/>
        <v>0</v>
      </c>
      <c r="L235" s="361">
        <f t="shared" si="32"/>
        <v>0</v>
      </c>
      <c r="M235" s="112">
        <f>L235*D235*'B) D RI'!S236</f>
        <v>0</v>
      </c>
    </row>
    <row r="236" spans="1:13" x14ac:dyDescent="0.25">
      <c r="A236" s="288">
        <f>'A) Base RI'!A237</f>
        <v>5790</v>
      </c>
      <c r="B236" s="32" t="str">
        <f>'A) Base RI'!B237</f>
        <v>Maracon</v>
      </c>
      <c r="C236" s="286">
        <f>'B) D RI'!U237</f>
        <v>15172.050604026846</v>
      </c>
      <c r="D236" s="32">
        <f>'B) D RI'!AA237</f>
        <v>547</v>
      </c>
      <c r="E236" s="198">
        <f t="shared" si="25"/>
        <v>27.736838398586556</v>
      </c>
      <c r="F236" s="354">
        <f t="shared" si="26"/>
        <v>0.57321789650128174</v>
      </c>
      <c r="G236" s="365">
        <f t="shared" si="27"/>
        <v>0</v>
      </c>
      <c r="H236" s="362">
        <f t="shared" si="28"/>
        <v>0</v>
      </c>
      <c r="I236" s="365">
        <f t="shared" si="29"/>
        <v>0</v>
      </c>
      <c r="J236" s="362">
        <f t="shared" si="30"/>
        <v>0</v>
      </c>
      <c r="K236" s="357">
        <f t="shared" si="31"/>
        <v>0</v>
      </c>
      <c r="L236" s="361">
        <f t="shared" si="32"/>
        <v>0</v>
      </c>
      <c r="M236" s="112">
        <f>L236*D236*'B) D RI'!S237</f>
        <v>0</v>
      </c>
    </row>
    <row r="237" spans="1:13" x14ac:dyDescent="0.25">
      <c r="A237" s="288">
        <f>'A) Base RI'!A238</f>
        <v>5792</v>
      </c>
      <c r="B237" s="32" t="str">
        <f>'A) Base RI'!B238</f>
        <v>Montpreveyres</v>
      </c>
      <c r="C237" s="286">
        <f>'B) D RI'!U238</f>
        <v>20145.836291390729</v>
      </c>
      <c r="D237" s="32">
        <f>'B) D RI'!AA238</f>
        <v>662</v>
      </c>
      <c r="E237" s="198">
        <f t="shared" si="25"/>
        <v>30.431776875212581</v>
      </c>
      <c r="F237" s="354">
        <f t="shared" si="26"/>
        <v>0.62891231064369024</v>
      </c>
      <c r="G237" s="365">
        <f t="shared" si="27"/>
        <v>0</v>
      </c>
      <c r="H237" s="362">
        <f t="shared" si="28"/>
        <v>0</v>
      </c>
      <c r="I237" s="365">
        <f t="shared" si="29"/>
        <v>0</v>
      </c>
      <c r="J237" s="362">
        <f t="shared" si="30"/>
        <v>0</v>
      </c>
      <c r="K237" s="357">
        <f t="shared" si="31"/>
        <v>0</v>
      </c>
      <c r="L237" s="361">
        <f t="shared" si="32"/>
        <v>0</v>
      </c>
      <c r="M237" s="112">
        <f>L237*D237*'B) D RI'!S238</f>
        <v>0</v>
      </c>
    </row>
    <row r="238" spans="1:13" x14ac:dyDescent="0.25">
      <c r="A238" s="288">
        <f>'A) Base RI'!A239</f>
        <v>5798</v>
      </c>
      <c r="B238" s="32" t="str">
        <f>'A) Base RI'!B239</f>
        <v>Ropraz</v>
      </c>
      <c r="C238" s="286">
        <f>'B) D RI'!U239</f>
        <v>17444.805161290325</v>
      </c>
      <c r="D238" s="32">
        <f>'B) D RI'!AA239</f>
        <v>534</v>
      </c>
      <c r="E238" s="198">
        <f t="shared" si="25"/>
        <v>32.668174459345181</v>
      </c>
      <c r="F238" s="354">
        <f t="shared" si="26"/>
        <v>0.67513037993100899</v>
      </c>
      <c r="G238" s="365">
        <f t="shared" si="27"/>
        <v>0</v>
      </c>
      <c r="H238" s="362">
        <f t="shared" si="28"/>
        <v>0</v>
      </c>
      <c r="I238" s="365">
        <f t="shared" si="29"/>
        <v>0</v>
      </c>
      <c r="J238" s="362">
        <f t="shared" si="30"/>
        <v>0</v>
      </c>
      <c r="K238" s="357">
        <f t="shared" si="31"/>
        <v>0</v>
      </c>
      <c r="L238" s="361">
        <f t="shared" si="32"/>
        <v>0</v>
      </c>
      <c r="M238" s="112">
        <f>L238*D238*'B) D RI'!S239</f>
        <v>0</v>
      </c>
    </row>
    <row r="239" spans="1:13" x14ac:dyDescent="0.25">
      <c r="A239" s="288">
        <f>'A) Base RI'!A240</f>
        <v>5799</v>
      </c>
      <c r="B239" s="32" t="str">
        <f>'A) Base RI'!B240</f>
        <v>Servion</v>
      </c>
      <c r="C239" s="286">
        <f>'B) D RI'!U240</f>
        <v>71744.263478260895</v>
      </c>
      <c r="D239" s="32">
        <f>'B) D RI'!AA240</f>
        <v>2107</v>
      </c>
      <c r="E239" s="198">
        <f t="shared" si="25"/>
        <v>34.050433544499711</v>
      </c>
      <c r="F239" s="354">
        <f t="shared" si="26"/>
        <v>0.70369656450568796</v>
      </c>
      <c r="G239" s="365">
        <f t="shared" si="27"/>
        <v>0</v>
      </c>
      <c r="H239" s="362">
        <f t="shared" si="28"/>
        <v>0</v>
      </c>
      <c r="I239" s="365">
        <f t="shared" si="29"/>
        <v>0</v>
      </c>
      <c r="J239" s="362">
        <f t="shared" si="30"/>
        <v>0</v>
      </c>
      <c r="K239" s="357">
        <f t="shared" si="31"/>
        <v>0</v>
      </c>
      <c r="L239" s="361">
        <f t="shared" si="32"/>
        <v>0</v>
      </c>
      <c r="M239" s="112">
        <f>L239*D239*'B) D RI'!S240</f>
        <v>0</v>
      </c>
    </row>
    <row r="240" spans="1:13" x14ac:dyDescent="0.25">
      <c r="A240" s="288">
        <f>'A) Base RI'!A241</f>
        <v>5803</v>
      </c>
      <c r="B240" s="32" t="str">
        <f>'A) Base RI'!B241</f>
        <v>Vulliens</v>
      </c>
      <c r="C240" s="286">
        <f>'B) D RI'!U241</f>
        <v>17996.188026315795</v>
      </c>
      <c r="D240" s="32">
        <f>'B) D RI'!AA241</f>
        <v>631</v>
      </c>
      <c r="E240" s="198">
        <f t="shared" si="25"/>
        <v>28.520107807156567</v>
      </c>
      <c r="F240" s="354">
        <f t="shared" si="26"/>
        <v>0.58940517914403545</v>
      </c>
      <c r="G240" s="365">
        <f t="shared" si="27"/>
        <v>0</v>
      </c>
      <c r="H240" s="362">
        <f t="shared" si="28"/>
        <v>0</v>
      </c>
      <c r="I240" s="365">
        <f t="shared" si="29"/>
        <v>0</v>
      </c>
      <c r="J240" s="362">
        <f t="shared" si="30"/>
        <v>0</v>
      </c>
      <c r="K240" s="357">
        <f t="shared" si="31"/>
        <v>0</v>
      </c>
      <c r="L240" s="361">
        <f t="shared" si="32"/>
        <v>0</v>
      </c>
      <c r="M240" s="112">
        <f>L240*D240*'B) D RI'!S241</f>
        <v>0</v>
      </c>
    </row>
    <row r="241" spans="1:13" x14ac:dyDescent="0.25">
      <c r="A241" s="288">
        <f>'A) Base RI'!A242</f>
        <v>5804</v>
      </c>
      <c r="B241" s="32" t="str">
        <f>'A) Base RI'!B242</f>
        <v>Jorat-Menthue</v>
      </c>
      <c r="C241" s="286">
        <f>'B) D RI'!U242</f>
        <v>46854.424539007086</v>
      </c>
      <c r="D241" s="32">
        <f>'B) D RI'!AA242</f>
        <v>1603</v>
      </c>
      <c r="E241" s="198">
        <f t="shared" si="25"/>
        <v>29.229210567066179</v>
      </c>
      <c r="F241" s="354">
        <f t="shared" si="26"/>
        <v>0.60405971138010151</v>
      </c>
      <c r="G241" s="365">
        <f t="shared" si="27"/>
        <v>0</v>
      </c>
      <c r="H241" s="362">
        <f t="shared" si="28"/>
        <v>0</v>
      </c>
      <c r="I241" s="365">
        <f t="shared" si="29"/>
        <v>0</v>
      </c>
      <c r="J241" s="362">
        <f t="shared" si="30"/>
        <v>0</v>
      </c>
      <c r="K241" s="357">
        <f t="shared" si="31"/>
        <v>0</v>
      </c>
      <c r="L241" s="361">
        <f t="shared" si="32"/>
        <v>0</v>
      </c>
      <c r="M241" s="112">
        <f>L241*D241*'B) D RI'!S242</f>
        <v>0</v>
      </c>
    </row>
    <row r="242" spans="1:13" x14ac:dyDescent="0.25">
      <c r="A242" s="288">
        <f>'A) Base RI'!A243</f>
        <v>5805</v>
      </c>
      <c r="B242" s="32" t="str">
        <f>'A) Base RI'!B243</f>
        <v>Oron</v>
      </c>
      <c r="C242" s="286">
        <f>'B) D RI'!U243</f>
        <v>162115.58504611329</v>
      </c>
      <c r="D242" s="32">
        <f>'B) D RI'!AA243</f>
        <v>5703</v>
      </c>
      <c r="E242" s="198">
        <f t="shared" si="25"/>
        <v>28.426369462758775</v>
      </c>
      <c r="F242" s="354">
        <f t="shared" si="26"/>
        <v>0.58746795415014597</v>
      </c>
      <c r="G242" s="365">
        <f t="shared" si="27"/>
        <v>0</v>
      </c>
      <c r="H242" s="362">
        <f t="shared" si="28"/>
        <v>0</v>
      </c>
      <c r="I242" s="365">
        <f t="shared" si="29"/>
        <v>0</v>
      </c>
      <c r="J242" s="362">
        <f t="shared" si="30"/>
        <v>0</v>
      </c>
      <c r="K242" s="357">
        <f t="shared" si="31"/>
        <v>0</v>
      </c>
      <c r="L242" s="361">
        <f t="shared" si="32"/>
        <v>0</v>
      </c>
      <c r="M242" s="112">
        <f>L242*D242*'B) D RI'!S243</f>
        <v>0</v>
      </c>
    </row>
    <row r="243" spans="1:13" x14ac:dyDescent="0.25">
      <c r="A243" s="288">
        <f>'A) Base RI'!A244</f>
        <v>5806</v>
      </c>
      <c r="B243" s="32" t="str">
        <f>'A) Base RI'!B244</f>
        <v>Jorat-Mézières</v>
      </c>
      <c r="C243" s="286">
        <f>'B) D RI'!U244</f>
        <v>102077.74465753423</v>
      </c>
      <c r="D243" s="32">
        <f>'B) D RI'!AA244</f>
        <v>3095</v>
      </c>
      <c r="E243" s="198">
        <f t="shared" si="25"/>
        <v>32.981500697103144</v>
      </c>
      <c r="F243" s="354">
        <f t="shared" si="26"/>
        <v>0.68160567478420442</v>
      </c>
      <c r="G243" s="365">
        <f t="shared" si="27"/>
        <v>0</v>
      </c>
      <c r="H243" s="362">
        <f t="shared" si="28"/>
        <v>0</v>
      </c>
      <c r="I243" s="365">
        <f t="shared" si="29"/>
        <v>0</v>
      </c>
      <c r="J243" s="362">
        <f t="shared" si="30"/>
        <v>0</v>
      </c>
      <c r="K243" s="357">
        <f t="shared" si="31"/>
        <v>0</v>
      </c>
      <c r="L243" s="361">
        <f t="shared" si="32"/>
        <v>0</v>
      </c>
      <c r="M243" s="112">
        <f>L243*D243*'B) D RI'!S244</f>
        <v>0</v>
      </c>
    </row>
    <row r="244" spans="1:13" x14ac:dyDescent="0.25">
      <c r="A244" s="288">
        <f>'A) Base RI'!A245</f>
        <v>5812</v>
      </c>
      <c r="B244" s="32" t="str">
        <f>'A) Base RI'!B245</f>
        <v>Champtauroz</v>
      </c>
      <c r="C244" s="286">
        <f>'B) D RI'!U245</f>
        <v>3349.1505194805191</v>
      </c>
      <c r="D244" s="32">
        <f>'B) D RI'!AA245</f>
        <v>169</v>
      </c>
      <c r="E244" s="198">
        <f t="shared" si="25"/>
        <v>19.817458695151</v>
      </c>
      <c r="F244" s="354">
        <f t="shared" si="26"/>
        <v>0.40955359886346571</v>
      </c>
      <c r="G244" s="365">
        <f t="shared" si="27"/>
        <v>0</v>
      </c>
      <c r="H244" s="362">
        <f t="shared" si="28"/>
        <v>0</v>
      </c>
      <c r="I244" s="365">
        <f t="shared" si="29"/>
        <v>0</v>
      </c>
      <c r="J244" s="362">
        <f t="shared" si="30"/>
        <v>0</v>
      </c>
      <c r="K244" s="357">
        <f t="shared" si="31"/>
        <v>0</v>
      </c>
      <c r="L244" s="361">
        <f t="shared" si="32"/>
        <v>0</v>
      </c>
      <c r="M244" s="112">
        <f>L244*D244*'B) D RI'!S245</f>
        <v>0</v>
      </c>
    </row>
    <row r="245" spans="1:13" x14ac:dyDescent="0.25">
      <c r="A245" s="288">
        <f>'A) Base RI'!A246</f>
        <v>5813</v>
      </c>
      <c r="B245" s="32" t="str">
        <f>'A) Base RI'!B246</f>
        <v>Chevroux</v>
      </c>
      <c r="C245" s="286">
        <f>'B) D RI'!U246</f>
        <v>15276.905328467155</v>
      </c>
      <c r="D245" s="32">
        <f>'B) D RI'!AA246</f>
        <v>506</v>
      </c>
      <c r="E245" s="198">
        <f t="shared" si="25"/>
        <v>30.191512506852085</v>
      </c>
      <c r="F245" s="354">
        <f t="shared" si="26"/>
        <v>0.62394693449458916</v>
      </c>
      <c r="G245" s="365">
        <f t="shared" si="27"/>
        <v>0</v>
      </c>
      <c r="H245" s="362">
        <f t="shared" si="28"/>
        <v>0</v>
      </c>
      <c r="I245" s="365">
        <f t="shared" si="29"/>
        <v>0</v>
      </c>
      <c r="J245" s="362">
        <f t="shared" si="30"/>
        <v>0</v>
      </c>
      <c r="K245" s="357">
        <f t="shared" si="31"/>
        <v>0</v>
      </c>
      <c r="L245" s="361">
        <f t="shared" si="32"/>
        <v>0</v>
      </c>
      <c r="M245" s="112">
        <f>L245*D245*'B) D RI'!S246</f>
        <v>0</v>
      </c>
    </row>
    <row r="246" spans="1:13" x14ac:dyDescent="0.25">
      <c r="A246" s="288">
        <f>'A) Base RI'!A247</f>
        <v>5816</v>
      </c>
      <c r="B246" s="32" t="str">
        <f>'A) Base RI'!B247</f>
        <v>Corcelles-près-Payerne</v>
      </c>
      <c r="C246" s="286">
        <f>'B) D RI'!U247</f>
        <v>65651.255161626686</v>
      </c>
      <c r="D246" s="32">
        <f>'B) D RI'!AA247</f>
        <v>2722</v>
      </c>
      <c r="E246" s="198">
        <f t="shared" si="25"/>
        <v>24.118756488474169</v>
      </c>
      <c r="F246" s="354">
        <f t="shared" si="26"/>
        <v>0.49844552078633186</v>
      </c>
      <c r="G246" s="365">
        <f t="shared" si="27"/>
        <v>0</v>
      </c>
      <c r="H246" s="362">
        <f t="shared" si="28"/>
        <v>0</v>
      </c>
      <c r="I246" s="365">
        <f t="shared" si="29"/>
        <v>0</v>
      </c>
      <c r="J246" s="362">
        <f t="shared" si="30"/>
        <v>0</v>
      </c>
      <c r="K246" s="357">
        <f t="shared" si="31"/>
        <v>0</v>
      </c>
      <c r="L246" s="361">
        <f t="shared" si="32"/>
        <v>0</v>
      </c>
      <c r="M246" s="112">
        <f>L246*D246*'B) D RI'!S247</f>
        <v>0</v>
      </c>
    </row>
    <row r="247" spans="1:13" x14ac:dyDescent="0.25">
      <c r="A247" s="288">
        <f>'A) Base RI'!A248</f>
        <v>5817</v>
      </c>
      <c r="B247" s="32" t="str">
        <f>'A) Base RI'!B248</f>
        <v>Grandcour</v>
      </c>
      <c r="C247" s="286">
        <f>'B) D RI'!U248</f>
        <v>24623.103809523807</v>
      </c>
      <c r="D247" s="32">
        <f>'B) D RI'!AA248</f>
        <v>987</v>
      </c>
      <c r="E247" s="198">
        <f t="shared" si="25"/>
        <v>24.947420273073767</v>
      </c>
      <c r="F247" s="354">
        <f t="shared" si="26"/>
        <v>0.51557093734206949</v>
      </c>
      <c r="G247" s="365">
        <f t="shared" si="27"/>
        <v>0</v>
      </c>
      <c r="H247" s="362">
        <f t="shared" si="28"/>
        <v>0</v>
      </c>
      <c r="I247" s="365">
        <f t="shared" si="29"/>
        <v>0</v>
      </c>
      <c r="J247" s="362">
        <f t="shared" si="30"/>
        <v>0</v>
      </c>
      <c r="K247" s="357">
        <f t="shared" si="31"/>
        <v>0</v>
      </c>
      <c r="L247" s="361">
        <f t="shared" si="32"/>
        <v>0</v>
      </c>
      <c r="M247" s="112">
        <f>L247*D247*'B) D RI'!S248</f>
        <v>0</v>
      </c>
    </row>
    <row r="248" spans="1:13" x14ac:dyDescent="0.25">
      <c r="A248" s="288">
        <f>'A) Base RI'!A249</f>
        <v>5819</v>
      </c>
      <c r="B248" s="32" t="str">
        <f>'A) Base RI'!B249</f>
        <v>Henniez</v>
      </c>
      <c r="C248" s="286">
        <f>'B) D RI'!U249</f>
        <v>10062.980434782607</v>
      </c>
      <c r="D248" s="32">
        <f>'B) D RI'!AA249</f>
        <v>407</v>
      </c>
      <c r="E248" s="198">
        <f t="shared" si="25"/>
        <v>24.724767653028518</v>
      </c>
      <c r="F248" s="354">
        <f t="shared" si="26"/>
        <v>0.51096953091359421</v>
      </c>
      <c r="G248" s="365">
        <f t="shared" si="27"/>
        <v>0</v>
      </c>
      <c r="H248" s="362">
        <f t="shared" si="28"/>
        <v>0</v>
      </c>
      <c r="I248" s="365">
        <f t="shared" si="29"/>
        <v>0</v>
      </c>
      <c r="J248" s="362">
        <f t="shared" si="30"/>
        <v>0</v>
      </c>
      <c r="K248" s="357">
        <f t="shared" si="31"/>
        <v>0</v>
      </c>
      <c r="L248" s="361">
        <f t="shared" si="32"/>
        <v>0</v>
      </c>
      <c r="M248" s="112">
        <f>L248*D248*'B) D RI'!S249</f>
        <v>0</v>
      </c>
    </row>
    <row r="249" spans="1:13" x14ac:dyDescent="0.25">
      <c r="A249" s="288">
        <f>'A) Base RI'!A250</f>
        <v>5821</v>
      </c>
      <c r="B249" s="32" t="str">
        <f>'A) Base RI'!B250</f>
        <v>Missy</v>
      </c>
      <c r="C249" s="286">
        <f>'B) D RI'!U250</f>
        <v>8044.6855555555558</v>
      </c>
      <c r="D249" s="32">
        <f>'B) D RI'!AA250</f>
        <v>366</v>
      </c>
      <c r="E249" s="198">
        <f t="shared" si="25"/>
        <v>21.98001517911354</v>
      </c>
      <c r="F249" s="354">
        <f t="shared" si="26"/>
        <v>0.45424564562772074</v>
      </c>
      <c r="G249" s="365">
        <f t="shared" si="27"/>
        <v>0</v>
      </c>
      <c r="H249" s="362">
        <f t="shared" si="28"/>
        <v>0</v>
      </c>
      <c r="I249" s="365">
        <f t="shared" si="29"/>
        <v>0</v>
      </c>
      <c r="J249" s="362">
        <f t="shared" si="30"/>
        <v>0</v>
      </c>
      <c r="K249" s="357">
        <f t="shared" si="31"/>
        <v>0</v>
      </c>
      <c r="L249" s="361">
        <f t="shared" si="32"/>
        <v>0</v>
      </c>
      <c r="M249" s="112">
        <f>L249*D249*'B) D RI'!S250</f>
        <v>0</v>
      </c>
    </row>
    <row r="250" spans="1:13" x14ac:dyDescent="0.25">
      <c r="A250" s="288">
        <f>'A) Base RI'!A251</f>
        <v>5822</v>
      </c>
      <c r="B250" s="32" t="str">
        <f>'A) Base RI'!B251</f>
        <v>Payerne</v>
      </c>
      <c r="C250" s="286">
        <f>'B) D RI'!U251</f>
        <v>239984.44424657538</v>
      </c>
      <c r="D250" s="32">
        <f>'B) D RI'!AA251</f>
        <v>10258</v>
      </c>
      <c r="E250" s="198">
        <f t="shared" si="25"/>
        <v>23.394857111188866</v>
      </c>
      <c r="F250" s="354">
        <f t="shared" si="26"/>
        <v>0.48348519717759586</v>
      </c>
      <c r="G250" s="365">
        <f t="shared" si="27"/>
        <v>0</v>
      </c>
      <c r="H250" s="362">
        <f t="shared" si="28"/>
        <v>0</v>
      </c>
      <c r="I250" s="365">
        <f t="shared" si="29"/>
        <v>0</v>
      </c>
      <c r="J250" s="362">
        <f t="shared" si="30"/>
        <v>0</v>
      </c>
      <c r="K250" s="357">
        <f t="shared" si="31"/>
        <v>0</v>
      </c>
      <c r="L250" s="361">
        <f t="shared" si="32"/>
        <v>0</v>
      </c>
      <c r="M250" s="112">
        <f>L250*D250*'B) D RI'!S251</f>
        <v>0</v>
      </c>
    </row>
    <row r="251" spans="1:13" x14ac:dyDescent="0.25">
      <c r="A251" s="288">
        <f>'A) Base RI'!A252</f>
        <v>5827</v>
      </c>
      <c r="B251" s="32" t="str">
        <f>'A) Base RI'!B252</f>
        <v>Trey</v>
      </c>
      <c r="C251" s="286">
        <f>'B) D RI'!U252</f>
        <v>7747.4438461538457</v>
      </c>
      <c r="D251" s="32">
        <f>'B) D RI'!AA252</f>
        <v>321</v>
      </c>
      <c r="E251" s="198">
        <f t="shared" si="25"/>
        <v>24.135339084591418</v>
      </c>
      <c r="F251" s="354">
        <f t="shared" si="26"/>
        <v>0.49878822173617565</v>
      </c>
      <c r="G251" s="365">
        <f t="shared" si="27"/>
        <v>0</v>
      </c>
      <c r="H251" s="362">
        <f t="shared" si="28"/>
        <v>0</v>
      </c>
      <c r="I251" s="365">
        <f t="shared" si="29"/>
        <v>0</v>
      </c>
      <c r="J251" s="362">
        <f t="shared" si="30"/>
        <v>0</v>
      </c>
      <c r="K251" s="357">
        <f t="shared" si="31"/>
        <v>0</v>
      </c>
      <c r="L251" s="361">
        <f t="shared" si="32"/>
        <v>0</v>
      </c>
      <c r="M251" s="112">
        <f>L251*D251*'B) D RI'!S252</f>
        <v>0</v>
      </c>
    </row>
    <row r="252" spans="1:13" x14ac:dyDescent="0.25">
      <c r="A252" s="288">
        <f>'A) Base RI'!A253</f>
        <v>5828</v>
      </c>
      <c r="B252" s="32" t="str">
        <f>'A) Base RI'!B253</f>
        <v>Treytorrens (Payerne)</v>
      </c>
      <c r="C252" s="286">
        <f>'B) D RI'!U253</f>
        <v>2899.2203232323236</v>
      </c>
      <c r="D252" s="32">
        <f>'B) D RI'!AA253</f>
        <v>110</v>
      </c>
      <c r="E252" s="198">
        <f t="shared" si="25"/>
        <v>26.356548393021125</v>
      </c>
      <c r="F252" s="354">
        <f t="shared" si="26"/>
        <v>0.54469240552130482</v>
      </c>
      <c r="G252" s="365">
        <f t="shared" si="27"/>
        <v>0</v>
      </c>
      <c r="H252" s="362">
        <f t="shared" si="28"/>
        <v>0</v>
      </c>
      <c r="I252" s="365">
        <f t="shared" si="29"/>
        <v>0</v>
      </c>
      <c r="J252" s="362">
        <f t="shared" si="30"/>
        <v>0</v>
      </c>
      <c r="K252" s="357">
        <f t="shared" si="31"/>
        <v>0</v>
      </c>
      <c r="L252" s="361">
        <f t="shared" si="32"/>
        <v>0</v>
      </c>
      <c r="M252" s="112">
        <f>L252*D252*'B) D RI'!S253</f>
        <v>0</v>
      </c>
    </row>
    <row r="253" spans="1:13" x14ac:dyDescent="0.25">
      <c r="A253" s="288">
        <f>'A) Base RI'!A254</f>
        <v>5830</v>
      </c>
      <c r="B253" s="32" t="str">
        <f>'A) Base RI'!B254</f>
        <v>Villarzel</v>
      </c>
      <c r="C253" s="286">
        <f>'B) D RI'!U254</f>
        <v>12409.986933333334</v>
      </c>
      <c r="D253" s="32">
        <f>'B) D RI'!AA254</f>
        <v>500</v>
      </c>
      <c r="E253" s="198">
        <f t="shared" si="25"/>
        <v>24.819973866666668</v>
      </c>
      <c r="F253" s="354">
        <f t="shared" si="26"/>
        <v>0.51293709133743448</v>
      </c>
      <c r="G253" s="365">
        <f t="shared" si="27"/>
        <v>0</v>
      </c>
      <c r="H253" s="362">
        <f t="shared" si="28"/>
        <v>0</v>
      </c>
      <c r="I253" s="365">
        <f t="shared" si="29"/>
        <v>0</v>
      </c>
      <c r="J253" s="362">
        <f t="shared" si="30"/>
        <v>0</v>
      </c>
      <c r="K253" s="357">
        <f t="shared" si="31"/>
        <v>0</v>
      </c>
      <c r="L253" s="361">
        <f t="shared" si="32"/>
        <v>0</v>
      </c>
      <c r="M253" s="112">
        <f>L253*D253*'B) D RI'!S254</f>
        <v>0</v>
      </c>
    </row>
    <row r="254" spans="1:13" x14ac:dyDescent="0.25">
      <c r="A254" s="288">
        <f>'A) Base RI'!A255</f>
        <v>5831</v>
      </c>
      <c r="B254" s="32" t="str">
        <f>'A) Base RI'!B255</f>
        <v>Valbroye</v>
      </c>
      <c r="C254" s="286">
        <f>'B) D RI'!U255</f>
        <v>81068.822458628842</v>
      </c>
      <c r="D254" s="32">
        <f>'B) D RI'!AA255</f>
        <v>3349</v>
      </c>
      <c r="E254" s="198">
        <f t="shared" si="25"/>
        <v>24.206874427778097</v>
      </c>
      <c r="F254" s="354">
        <f t="shared" si="26"/>
        <v>0.50026659278761654</v>
      </c>
      <c r="G254" s="365">
        <f t="shared" si="27"/>
        <v>0</v>
      </c>
      <c r="H254" s="362">
        <f t="shared" si="28"/>
        <v>0</v>
      </c>
      <c r="I254" s="365">
        <f t="shared" si="29"/>
        <v>0</v>
      </c>
      <c r="J254" s="362">
        <f t="shared" si="30"/>
        <v>0</v>
      </c>
      <c r="K254" s="357">
        <f t="shared" si="31"/>
        <v>0</v>
      </c>
      <c r="L254" s="361">
        <f t="shared" si="32"/>
        <v>0</v>
      </c>
      <c r="M254" s="112">
        <f>L254*D254*'B) D RI'!S255</f>
        <v>0</v>
      </c>
    </row>
    <row r="255" spans="1:13" x14ac:dyDescent="0.25">
      <c r="A255" s="288">
        <f>'A) Base RI'!A256</f>
        <v>5841</v>
      </c>
      <c r="B255" s="32" t="str">
        <f>'A) Base RI'!B256</f>
        <v>Château-d'Oex</v>
      </c>
      <c r="C255" s="286">
        <f>'B) D RI'!U256</f>
        <v>110857.63779141105</v>
      </c>
      <c r="D255" s="32">
        <f>'B) D RI'!AA256</f>
        <v>3549</v>
      </c>
      <c r="E255" s="198">
        <f t="shared" si="25"/>
        <v>31.236302561682461</v>
      </c>
      <c r="F255" s="354">
        <f t="shared" si="26"/>
        <v>0.64553888195843012</v>
      </c>
      <c r="G255" s="365">
        <f t="shared" si="27"/>
        <v>0</v>
      </c>
      <c r="H255" s="362">
        <f t="shared" si="28"/>
        <v>0</v>
      </c>
      <c r="I255" s="365">
        <f t="shared" si="29"/>
        <v>0</v>
      </c>
      <c r="J255" s="362">
        <f t="shared" si="30"/>
        <v>0</v>
      </c>
      <c r="K255" s="357">
        <f t="shared" si="31"/>
        <v>0</v>
      </c>
      <c r="L255" s="361">
        <f t="shared" si="32"/>
        <v>0</v>
      </c>
      <c r="M255" s="112">
        <f>L255*D255*'B) D RI'!S256</f>
        <v>0</v>
      </c>
    </row>
    <row r="256" spans="1:13" x14ac:dyDescent="0.25">
      <c r="A256" s="288">
        <f>'A) Base RI'!A257</f>
        <v>5842</v>
      </c>
      <c r="B256" s="32" t="str">
        <f>'A) Base RI'!B257</f>
        <v>Rossinière</v>
      </c>
      <c r="C256" s="286">
        <f>'B) D RI'!U257</f>
        <v>14944.680411522633</v>
      </c>
      <c r="D256" s="32">
        <f>'B) D RI'!AA257</f>
        <v>534</v>
      </c>
      <c r="E256" s="198">
        <f t="shared" si="25"/>
        <v>27.986292905473096</v>
      </c>
      <c r="F256" s="354">
        <f t="shared" si="26"/>
        <v>0.57837319883442551</v>
      </c>
      <c r="G256" s="365">
        <f t="shared" si="27"/>
        <v>0</v>
      </c>
      <c r="H256" s="362">
        <f t="shared" si="28"/>
        <v>0</v>
      </c>
      <c r="I256" s="365">
        <f t="shared" si="29"/>
        <v>0</v>
      </c>
      <c r="J256" s="362">
        <f t="shared" si="30"/>
        <v>0</v>
      </c>
      <c r="K256" s="357">
        <f t="shared" si="31"/>
        <v>0</v>
      </c>
      <c r="L256" s="361">
        <f t="shared" si="32"/>
        <v>0</v>
      </c>
      <c r="M256" s="112">
        <f>L256*D256*'B) D RI'!S257</f>
        <v>0</v>
      </c>
    </row>
    <row r="257" spans="1:13" x14ac:dyDescent="0.25">
      <c r="A257" s="288">
        <f>'A) Base RI'!A258</f>
        <v>5843</v>
      </c>
      <c r="B257" s="32" t="str">
        <f>'A) Base RI'!B258</f>
        <v>Rougemont</v>
      </c>
      <c r="C257" s="286">
        <f>'B) D RI'!U258</f>
        <v>97088.109459459462</v>
      </c>
      <c r="D257" s="32">
        <f>'B) D RI'!AA258</f>
        <v>862</v>
      </c>
      <c r="E257" s="198">
        <f t="shared" si="25"/>
        <v>112.6312174703706</v>
      </c>
      <c r="F257" s="354">
        <f t="shared" si="26"/>
        <v>2.3276708264642836</v>
      </c>
      <c r="G257" s="365">
        <f t="shared" si="27"/>
        <v>64.243268371289162</v>
      </c>
      <c r="H257" s="362">
        <f t="shared" si="28"/>
        <v>54.565678551472871</v>
      </c>
      <c r="I257" s="365">
        <f t="shared" si="29"/>
        <v>40.049293821748435</v>
      </c>
      <c r="J257" s="362">
        <f t="shared" si="30"/>
        <v>15.855319272207709</v>
      </c>
      <c r="K257" s="357">
        <f t="shared" si="31"/>
        <v>0</v>
      </c>
      <c r="L257" s="361">
        <f t="shared" si="32"/>
        <v>23.895682838800735</v>
      </c>
      <c r="M257" s="112">
        <f>L257*D257*'B) D RI'!S258</f>
        <v>1524257.8169214213</v>
      </c>
    </row>
    <row r="258" spans="1:13" x14ac:dyDescent="0.25">
      <c r="A258" s="288">
        <f>'A) Base RI'!A259</f>
        <v>5851</v>
      </c>
      <c r="B258" s="32" t="str">
        <f>'A) Base RI'!B259</f>
        <v>Allaman</v>
      </c>
      <c r="C258" s="286">
        <f>'B) D RI'!U259</f>
        <v>24875.935818181821</v>
      </c>
      <c r="D258" s="32">
        <f>'B) D RI'!AA259</f>
        <v>430</v>
      </c>
      <c r="E258" s="198">
        <f t="shared" si="25"/>
        <v>57.851013530655393</v>
      </c>
      <c r="F258" s="354">
        <f t="shared" si="26"/>
        <v>1.1955665534035536</v>
      </c>
      <c r="G258" s="365">
        <f t="shared" si="27"/>
        <v>9.4630644315739474</v>
      </c>
      <c r="H258" s="362">
        <f t="shared" si="28"/>
        <v>0</v>
      </c>
      <c r="I258" s="365">
        <f t="shared" si="29"/>
        <v>0</v>
      </c>
      <c r="J258" s="362">
        <f t="shared" si="30"/>
        <v>0</v>
      </c>
      <c r="K258" s="357">
        <f t="shared" si="31"/>
        <v>0</v>
      </c>
      <c r="L258" s="361">
        <f t="shared" si="32"/>
        <v>1.8926128863147895</v>
      </c>
      <c r="M258" s="112">
        <f>L258*D258*'B) D RI'!S259</f>
        <v>48829.412466921567</v>
      </c>
    </row>
    <row r="259" spans="1:13" x14ac:dyDescent="0.25">
      <c r="A259" s="288">
        <f>'A) Base RI'!A260</f>
        <v>5852</v>
      </c>
      <c r="B259" s="32" t="str">
        <f>'A) Base RI'!B260</f>
        <v>Bursinel</v>
      </c>
      <c r="C259" s="286">
        <f>'B) D RI'!U260</f>
        <v>34636.657688172039</v>
      </c>
      <c r="D259" s="32">
        <f>'B) D RI'!AA260</f>
        <v>515</v>
      </c>
      <c r="E259" s="198">
        <f t="shared" si="25"/>
        <v>67.255645996450568</v>
      </c>
      <c r="F259" s="354">
        <f t="shared" si="26"/>
        <v>1.3899255341187273</v>
      </c>
      <c r="G259" s="365">
        <f t="shared" si="27"/>
        <v>18.867696897369122</v>
      </c>
      <c r="H259" s="362">
        <f t="shared" si="28"/>
        <v>9.1901070775528382</v>
      </c>
      <c r="I259" s="365">
        <f t="shared" si="29"/>
        <v>0</v>
      </c>
      <c r="J259" s="362">
        <f t="shared" si="30"/>
        <v>0</v>
      </c>
      <c r="K259" s="357">
        <f t="shared" si="31"/>
        <v>0</v>
      </c>
      <c r="L259" s="361">
        <f t="shared" si="32"/>
        <v>4.6925500872291082</v>
      </c>
      <c r="M259" s="112">
        <f>L259*D259*'B) D RI'!S260</f>
        <v>149833.12428522541</v>
      </c>
    </row>
    <row r="260" spans="1:13" x14ac:dyDescent="0.25">
      <c r="A260" s="288">
        <f>'A) Base RI'!A261</f>
        <v>5853</v>
      </c>
      <c r="B260" s="32" t="str">
        <f>'A) Base RI'!B261</f>
        <v>Bursins</v>
      </c>
      <c r="C260" s="286">
        <f>'B) D RI'!U261</f>
        <v>44486.311690140843</v>
      </c>
      <c r="D260" s="32">
        <f>'B) D RI'!AA261</f>
        <v>773</v>
      </c>
      <c r="E260" s="198">
        <f t="shared" si="25"/>
        <v>57.550209172239121</v>
      </c>
      <c r="F260" s="354">
        <f t="shared" si="26"/>
        <v>1.1893500394984007</v>
      </c>
      <c r="G260" s="365">
        <f t="shared" si="27"/>
        <v>9.1622600731576753</v>
      </c>
      <c r="H260" s="362">
        <f t="shared" si="28"/>
        <v>0</v>
      </c>
      <c r="I260" s="365">
        <f t="shared" si="29"/>
        <v>0</v>
      </c>
      <c r="J260" s="362">
        <f t="shared" si="30"/>
        <v>0</v>
      </c>
      <c r="K260" s="357">
        <f t="shared" si="31"/>
        <v>0</v>
      </c>
      <c r="L260" s="361">
        <f t="shared" si="32"/>
        <v>1.8324520146315351</v>
      </c>
      <c r="M260" s="112">
        <f>L260*D260*'B) D RI'!S261</f>
        <v>100570.46391902254</v>
      </c>
    </row>
    <row r="261" spans="1:13" x14ac:dyDescent="0.25">
      <c r="A261" s="288">
        <f>'A) Base RI'!A262</f>
        <v>5854</v>
      </c>
      <c r="B261" s="32" t="str">
        <f>'A) Base RI'!B262</f>
        <v>Burtigny</v>
      </c>
      <c r="C261" s="286">
        <f>'B) D RI'!U262</f>
        <v>15255.967208333332</v>
      </c>
      <c r="D261" s="32">
        <f>'B) D RI'!AA262</f>
        <v>416</v>
      </c>
      <c r="E261" s="198">
        <f t="shared" si="25"/>
        <v>36.672998096955126</v>
      </c>
      <c r="F261" s="354">
        <f t="shared" si="26"/>
        <v>0.75789527722825711</v>
      </c>
      <c r="G261" s="365">
        <f t="shared" si="27"/>
        <v>0</v>
      </c>
      <c r="H261" s="362">
        <f t="shared" si="28"/>
        <v>0</v>
      </c>
      <c r="I261" s="365">
        <f t="shared" si="29"/>
        <v>0</v>
      </c>
      <c r="J261" s="362">
        <f t="shared" si="30"/>
        <v>0</v>
      </c>
      <c r="K261" s="357">
        <f t="shared" si="31"/>
        <v>0</v>
      </c>
      <c r="L261" s="361">
        <f t="shared" si="32"/>
        <v>0</v>
      </c>
      <c r="M261" s="112">
        <f>L261*D261*'B) D RI'!S262</f>
        <v>0</v>
      </c>
    </row>
    <row r="262" spans="1:13" x14ac:dyDescent="0.25">
      <c r="A262" s="288">
        <f>'A) Base RI'!A263</f>
        <v>5855</v>
      </c>
      <c r="B262" s="32" t="str">
        <f>'A) Base RI'!B263</f>
        <v>Dully</v>
      </c>
      <c r="C262" s="286">
        <f>'B) D RI'!U263</f>
        <v>93684.152857142864</v>
      </c>
      <c r="D262" s="32">
        <f>'B) D RI'!AA263</f>
        <v>634</v>
      </c>
      <c r="E262" s="198">
        <f t="shared" si="25"/>
        <v>147.76680261379002</v>
      </c>
      <c r="F262" s="354">
        <f t="shared" si="26"/>
        <v>3.0537934623188048</v>
      </c>
      <c r="G262" s="365">
        <f t="shared" si="27"/>
        <v>99.378853514708567</v>
      </c>
      <c r="H262" s="362">
        <f t="shared" si="28"/>
        <v>89.70126369489229</v>
      </c>
      <c r="I262" s="365">
        <f t="shared" si="29"/>
        <v>75.184878965167854</v>
      </c>
      <c r="J262" s="362">
        <f t="shared" si="30"/>
        <v>50.990904415627128</v>
      </c>
      <c r="K262" s="357">
        <f t="shared" si="31"/>
        <v>2.6029553165456889</v>
      </c>
      <c r="L262" s="361">
        <f t="shared" si="32"/>
        <v>41.723770942165011</v>
      </c>
      <c r="M262" s="112">
        <f>L262*D262*'B) D RI'!S263</f>
        <v>1296190.6680892983</v>
      </c>
    </row>
    <row r="263" spans="1:13" x14ac:dyDescent="0.25">
      <c r="A263" s="288">
        <f>'A) Base RI'!A264</f>
        <v>5856</v>
      </c>
      <c r="B263" s="32" t="str">
        <f>'A) Base RI'!B264</f>
        <v>Essertines-sur-Rolle</v>
      </c>
      <c r="C263" s="286">
        <f>'B) D RI'!U264</f>
        <v>42060.670213996527</v>
      </c>
      <c r="D263" s="32">
        <f>'B) D RI'!AA264</f>
        <v>753</v>
      </c>
      <c r="E263" s="198">
        <f t="shared" ref="E263:E313" si="33">C263/D263</f>
        <v>55.857463763607605</v>
      </c>
      <c r="F263" s="354">
        <f t="shared" ref="F263:F313" si="34">E263/$E$314</f>
        <v>1.1543672505985163</v>
      </c>
      <c r="G263" s="365">
        <f t="shared" ref="G263:G313" si="35">IF(E263-$G$3&lt;0,0,E263-$G$3)</f>
        <v>7.4695146645261588</v>
      </c>
      <c r="H263" s="362">
        <f t="shared" ref="H263:H313" si="36">IF(E263-$H$3&lt;0,0,E263-$H$3)</f>
        <v>0</v>
      </c>
      <c r="I263" s="365">
        <f t="shared" ref="I263:I313" si="37">IF(E263-$I$3&lt;0,0,E263-$I$3)</f>
        <v>0</v>
      </c>
      <c r="J263" s="362">
        <f t="shared" ref="J263:J313" si="38">IF(E263-$J$3&lt;0,0,E263-$J$3)</f>
        <v>0</v>
      </c>
      <c r="K263" s="357">
        <f t="shared" ref="K263:K313" si="39">IF(E263-$K$3&lt;0,0,E263-$K$3)</f>
        <v>0</v>
      </c>
      <c r="L263" s="361">
        <f t="shared" ref="L263:L313" si="40">(G263-H263)*$G$4+(H263-I263)*$H$4+(I263-J263)*$I$4+(J263-K263)*$J$4+(K263*$K$4)</f>
        <v>1.4939029329052318</v>
      </c>
      <c r="M263" s="112">
        <f>L263*D263*'B) D RI'!S264</f>
        <v>74806.442413763027</v>
      </c>
    </row>
    <row r="264" spans="1:13" x14ac:dyDescent="0.25">
      <c r="A264" s="288">
        <f>'A) Base RI'!A265</f>
        <v>5857</v>
      </c>
      <c r="B264" s="32" t="str">
        <f>'A) Base RI'!B265</f>
        <v>Gilly</v>
      </c>
      <c r="C264" s="286">
        <f>'B) D RI'!U265</f>
        <v>88866.553953488372</v>
      </c>
      <c r="D264" s="32">
        <f>'B) D RI'!AA265</f>
        <v>1438</v>
      </c>
      <c r="E264" s="198">
        <f t="shared" si="33"/>
        <v>61.798716240256169</v>
      </c>
      <c r="F264" s="354">
        <f t="shared" si="34"/>
        <v>1.277150972315735</v>
      </c>
      <c r="G264" s="365">
        <f t="shared" si="35"/>
        <v>13.410767141174723</v>
      </c>
      <c r="H264" s="362">
        <f t="shared" si="36"/>
        <v>3.7331773213584398</v>
      </c>
      <c r="I264" s="365">
        <f t="shared" si="37"/>
        <v>0</v>
      </c>
      <c r="J264" s="362">
        <f t="shared" si="38"/>
        <v>0</v>
      </c>
      <c r="K264" s="357">
        <f t="shared" si="39"/>
        <v>0</v>
      </c>
      <c r="L264" s="361">
        <f t="shared" si="40"/>
        <v>3.0554711603707885</v>
      </c>
      <c r="M264" s="112">
        <f>L264*D264*'B) D RI'!S265</f>
        <v>283398.00559555099</v>
      </c>
    </row>
    <row r="265" spans="1:13" x14ac:dyDescent="0.25">
      <c r="A265" s="288">
        <f>'A) Base RI'!A266</f>
        <v>5858</v>
      </c>
      <c r="B265" s="32" t="str">
        <f>'A) Base RI'!B266</f>
        <v>Luins</v>
      </c>
      <c r="C265" s="286">
        <f>'B) D RI'!U266</f>
        <v>38253.397207977199</v>
      </c>
      <c r="D265" s="32">
        <f>'B) D RI'!AA266</f>
        <v>630</v>
      </c>
      <c r="E265" s="198">
        <f t="shared" si="33"/>
        <v>60.719678107900315</v>
      </c>
      <c r="F265" s="354">
        <f t="shared" si="34"/>
        <v>1.2548512437170636</v>
      </c>
      <c r="G265" s="365">
        <f t="shared" si="35"/>
        <v>12.331729008818868</v>
      </c>
      <c r="H265" s="362">
        <f t="shared" si="36"/>
        <v>2.6541391890025849</v>
      </c>
      <c r="I265" s="365">
        <f t="shared" si="37"/>
        <v>0</v>
      </c>
      <c r="J265" s="362">
        <f t="shared" si="38"/>
        <v>0</v>
      </c>
      <c r="K265" s="357">
        <f t="shared" si="39"/>
        <v>0</v>
      </c>
      <c r="L265" s="361">
        <f t="shared" si="40"/>
        <v>2.7317597206640323</v>
      </c>
      <c r="M265" s="112">
        <f>L265*D265*'B) D RI'!S266</f>
        <v>100679.00450507291</v>
      </c>
    </row>
    <row r="266" spans="1:13" x14ac:dyDescent="0.25">
      <c r="A266" s="288">
        <f>'A) Base RI'!A267</f>
        <v>5859</v>
      </c>
      <c r="B266" s="32" t="str">
        <f>'A) Base RI'!B267</f>
        <v>Mont-sur-Rolle</v>
      </c>
      <c r="C266" s="286">
        <f>'B) D RI'!U267</f>
        <v>160910.93779527559</v>
      </c>
      <c r="D266" s="32">
        <f>'B) D RI'!AA267</f>
        <v>2739</v>
      </c>
      <c r="E266" s="198">
        <f t="shared" si="33"/>
        <v>58.748060531316391</v>
      </c>
      <c r="F266" s="354">
        <f t="shared" si="34"/>
        <v>1.2141051981976152</v>
      </c>
      <c r="G266" s="365">
        <f t="shared" si="35"/>
        <v>10.360111432234945</v>
      </c>
      <c r="H266" s="362">
        <f t="shared" si="36"/>
        <v>0.68252161241866105</v>
      </c>
      <c r="I266" s="365">
        <f t="shared" si="37"/>
        <v>0</v>
      </c>
      <c r="J266" s="362">
        <f t="shared" si="38"/>
        <v>0</v>
      </c>
      <c r="K266" s="357">
        <f t="shared" si="39"/>
        <v>0</v>
      </c>
      <c r="L266" s="361">
        <f t="shared" si="40"/>
        <v>2.1402744476888551</v>
      </c>
      <c r="M266" s="112">
        <f>L266*D266*'B) D RI'!S267</f>
        <v>372250.44372595567</v>
      </c>
    </row>
    <row r="267" spans="1:13" x14ac:dyDescent="0.25">
      <c r="A267" s="288">
        <f>'A) Base RI'!A268</f>
        <v>5860</v>
      </c>
      <c r="B267" s="32" t="str">
        <f>'A) Base RI'!B268</f>
        <v>Perroy</v>
      </c>
      <c r="C267" s="286">
        <f>'B) D RI'!U268</f>
        <v>124242.10120973046</v>
      </c>
      <c r="D267" s="32">
        <f>'B) D RI'!AA268</f>
        <v>1514</v>
      </c>
      <c r="E267" s="198">
        <f t="shared" si="33"/>
        <v>82.062154035489073</v>
      </c>
      <c r="F267" s="354">
        <f t="shared" si="34"/>
        <v>1.6959213102306678</v>
      </c>
      <c r="G267" s="365">
        <f t="shared" si="35"/>
        <v>33.674204936407627</v>
      </c>
      <c r="H267" s="362">
        <f t="shared" si="36"/>
        <v>23.996615116591343</v>
      </c>
      <c r="I267" s="365">
        <f t="shared" si="37"/>
        <v>9.4802303868669071</v>
      </c>
      <c r="J267" s="362">
        <f t="shared" si="38"/>
        <v>0</v>
      </c>
      <c r="K267" s="357">
        <f t="shared" si="39"/>
        <v>0</v>
      </c>
      <c r="L267" s="361">
        <f t="shared" si="40"/>
        <v>10.082525537627351</v>
      </c>
      <c r="M267" s="112">
        <f>L267*D267*'B) D RI'!S268</f>
        <v>892999.20434211683</v>
      </c>
    </row>
    <row r="268" spans="1:13" x14ac:dyDescent="0.25">
      <c r="A268" s="288">
        <f>'A) Base RI'!A269</f>
        <v>5861</v>
      </c>
      <c r="B268" s="32" t="str">
        <f>'A) Base RI'!B269</f>
        <v>Rolle</v>
      </c>
      <c r="C268" s="286">
        <f>'B) D RI'!U269</f>
        <v>638128.58403361356</v>
      </c>
      <c r="D268" s="32">
        <f>'B) D RI'!AA269</f>
        <v>6291</v>
      </c>
      <c r="E268" s="198">
        <f t="shared" si="33"/>
        <v>101.43515880362638</v>
      </c>
      <c r="F268" s="354">
        <f t="shared" si="34"/>
        <v>2.0962896897308658</v>
      </c>
      <c r="G268" s="365">
        <f t="shared" si="35"/>
        <v>53.047209704544933</v>
      </c>
      <c r="H268" s="362">
        <f t="shared" si="36"/>
        <v>43.36961988472865</v>
      </c>
      <c r="I268" s="365">
        <f t="shared" si="37"/>
        <v>28.853235155004214</v>
      </c>
      <c r="J268" s="362">
        <f t="shared" si="38"/>
        <v>4.6592606054634871</v>
      </c>
      <c r="K268" s="357">
        <f t="shared" si="39"/>
        <v>0</v>
      </c>
      <c r="L268" s="361">
        <f t="shared" si="40"/>
        <v>18.29765350542862</v>
      </c>
      <c r="M268" s="112">
        <f>L268*D268*'B) D RI'!S269</f>
        <v>6849077.0230577616</v>
      </c>
    </row>
    <row r="269" spans="1:13" x14ac:dyDescent="0.25">
      <c r="A269" s="288">
        <f>'A) Base RI'!A270</f>
        <v>5862</v>
      </c>
      <c r="B269" s="32" t="str">
        <f>'A) Base RI'!B270</f>
        <v>Tartegnin</v>
      </c>
      <c r="C269" s="286">
        <f>'B) D RI'!U270</f>
        <v>7891.022278481013</v>
      </c>
      <c r="D269" s="32">
        <f>'B) D RI'!AA270</f>
        <v>241</v>
      </c>
      <c r="E269" s="198">
        <f t="shared" si="33"/>
        <v>32.742831031041547</v>
      </c>
      <c r="F269" s="354">
        <f t="shared" si="34"/>
        <v>0.6766732552354261</v>
      </c>
      <c r="G269" s="365">
        <f t="shared" si="35"/>
        <v>0</v>
      </c>
      <c r="H269" s="362">
        <f t="shared" si="36"/>
        <v>0</v>
      </c>
      <c r="I269" s="365">
        <f t="shared" si="37"/>
        <v>0</v>
      </c>
      <c r="J269" s="362">
        <f t="shared" si="38"/>
        <v>0</v>
      </c>
      <c r="K269" s="357">
        <f t="shared" si="39"/>
        <v>0</v>
      </c>
      <c r="L269" s="361">
        <f t="shared" si="40"/>
        <v>0</v>
      </c>
      <c r="M269" s="112">
        <f>L269*D269*'B) D RI'!S270</f>
        <v>0</v>
      </c>
    </row>
    <row r="270" spans="1:13" x14ac:dyDescent="0.25">
      <c r="A270" s="288">
        <f>'A) Base RI'!A271</f>
        <v>5863</v>
      </c>
      <c r="B270" s="32" t="str">
        <f>'A) Base RI'!B271</f>
        <v>Vinzel</v>
      </c>
      <c r="C270" s="286">
        <f>'B) D RI'!U271</f>
        <v>21424.128507462683</v>
      </c>
      <c r="D270" s="32">
        <f>'B) D RI'!AA271</f>
        <v>369</v>
      </c>
      <c r="E270" s="198">
        <f t="shared" si="33"/>
        <v>58.05996885491242</v>
      </c>
      <c r="F270" s="354">
        <f t="shared" si="34"/>
        <v>1.1998848873719796</v>
      </c>
      <c r="G270" s="365">
        <f t="shared" si="35"/>
        <v>9.6720197558309735</v>
      </c>
      <c r="H270" s="362">
        <f t="shared" si="36"/>
        <v>0</v>
      </c>
      <c r="I270" s="365">
        <f t="shared" si="37"/>
        <v>0</v>
      </c>
      <c r="J270" s="362">
        <f t="shared" si="38"/>
        <v>0</v>
      </c>
      <c r="K270" s="357">
        <f t="shared" si="39"/>
        <v>0</v>
      </c>
      <c r="L270" s="361">
        <f t="shared" si="40"/>
        <v>1.9344039511661948</v>
      </c>
      <c r="M270" s="112">
        <f>L270*D270*'B) D RI'!S271</f>
        <v>47824.268884681835</v>
      </c>
    </row>
    <row r="271" spans="1:13" x14ac:dyDescent="0.25">
      <c r="A271" s="288">
        <f>'A) Base RI'!A272</f>
        <v>5871</v>
      </c>
      <c r="B271" s="32" t="str">
        <f>'A) Base RI'!B272</f>
        <v>L'Abbaye</v>
      </c>
      <c r="C271" s="286">
        <f>'B) D RI'!U272</f>
        <v>52137.53921442369</v>
      </c>
      <c r="D271" s="32">
        <f>'B) D RI'!AA272</f>
        <v>1521</v>
      </c>
      <c r="E271" s="198">
        <f t="shared" si="33"/>
        <v>34.278461021974813</v>
      </c>
      <c r="F271" s="354">
        <f t="shared" si="34"/>
        <v>0.70840904936443205</v>
      </c>
      <c r="G271" s="365">
        <f t="shared" si="35"/>
        <v>0</v>
      </c>
      <c r="H271" s="362">
        <f t="shared" si="36"/>
        <v>0</v>
      </c>
      <c r="I271" s="365">
        <f t="shared" si="37"/>
        <v>0</v>
      </c>
      <c r="J271" s="362">
        <f t="shared" si="38"/>
        <v>0</v>
      </c>
      <c r="K271" s="357">
        <f t="shared" si="39"/>
        <v>0</v>
      </c>
      <c r="L271" s="361">
        <f t="shared" si="40"/>
        <v>0</v>
      </c>
      <c r="M271" s="112">
        <f>L271*D271*'B) D RI'!S272</f>
        <v>0</v>
      </c>
    </row>
    <row r="272" spans="1:13" x14ac:dyDescent="0.25">
      <c r="A272" s="288">
        <f>'A) Base RI'!A273</f>
        <v>5872</v>
      </c>
      <c r="B272" s="32" t="str">
        <f>'A) Base RI'!B273</f>
        <v>Le Chenit</v>
      </c>
      <c r="C272" s="286">
        <f>'B) D RI'!U273</f>
        <v>199146.55575459031</v>
      </c>
      <c r="D272" s="32">
        <f>'B) D RI'!AA273</f>
        <v>4569</v>
      </c>
      <c r="E272" s="198">
        <f t="shared" si="33"/>
        <v>43.586464380518784</v>
      </c>
      <c r="F272" s="354">
        <f t="shared" si="34"/>
        <v>0.90077106370573967</v>
      </c>
      <c r="G272" s="365">
        <f t="shared" si="35"/>
        <v>0</v>
      </c>
      <c r="H272" s="362">
        <f t="shared" si="36"/>
        <v>0</v>
      </c>
      <c r="I272" s="365">
        <f t="shared" si="37"/>
        <v>0</v>
      </c>
      <c r="J272" s="362">
        <f t="shared" si="38"/>
        <v>0</v>
      </c>
      <c r="K272" s="357">
        <f t="shared" si="39"/>
        <v>0</v>
      </c>
      <c r="L272" s="361">
        <f t="shared" si="40"/>
        <v>0</v>
      </c>
      <c r="M272" s="112">
        <f>L272*D272*'B) D RI'!S273</f>
        <v>0</v>
      </c>
    </row>
    <row r="273" spans="1:13" x14ac:dyDescent="0.25">
      <c r="A273" s="288">
        <f>'A) Base RI'!A274</f>
        <v>5873</v>
      </c>
      <c r="B273" s="32" t="str">
        <f>'A) Base RI'!B274</f>
        <v>Le Lieu</v>
      </c>
      <c r="C273" s="286">
        <f>'B) D RI'!U274</f>
        <v>31475.129392857143</v>
      </c>
      <c r="D273" s="32">
        <f>'B) D RI'!AA274</f>
        <v>881</v>
      </c>
      <c r="E273" s="198">
        <f t="shared" si="33"/>
        <v>35.726594089508673</v>
      </c>
      <c r="F273" s="354">
        <f t="shared" si="34"/>
        <v>0.73833660559477765</v>
      </c>
      <c r="G273" s="365">
        <f t="shared" si="35"/>
        <v>0</v>
      </c>
      <c r="H273" s="362">
        <f t="shared" si="36"/>
        <v>0</v>
      </c>
      <c r="I273" s="365">
        <f t="shared" si="37"/>
        <v>0</v>
      </c>
      <c r="J273" s="362">
        <f t="shared" si="38"/>
        <v>0</v>
      </c>
      <c r="K273" s="357">
        <f t="shared" si="39"/>
        <v>0</v>
      </c>
      <c r="L273" s="361">
        <f t="shared" si="40"/>
        <v>0</v>
      </c>
      <c r="M273" s="112">
        <f>L273*D273*'B) D RI'!S274</f>
        <v>0</v>
      </c>
    </row>
    <row r="274" spans="1:13" x14ac:dyDescent="0.25">
      <c r="A274" s="288">
        <f>'A) Base RI'!A275</f>
        <v>5881</v>
      </c>
      <c r="B274" s="32" t="str">
        <f>'A) Base RI'!B275</f>
        <v>Blonay</v>
      </c>
      <c r="C274" s="286">
        <f>'B) D RI'!U275</f>
        <v>371401.9382481752</v>
      </c>
      <c r="D274" s="32">
        <f>'B) D RI'!AA275</f>
        <v>6291</v>
      </c>
      <c r="E274" s="198">
        <f t="shared" si="33"/>
        <v>59.037027221137372</v>
      </c>
      <c r="F274" s="354">
        <f t="shared" si="34"/>
        <v>1.2200770712610773</v>
      </c>
      <c r="G274" s="365">
        <f t="shared" si="35"/>
        <v>10.649078122055926</v>
      </c>
      <c r="H274" s="362">
        <f t="shared" si="36"/>
        <v>0.97148830223964211</v>
      </c>
      <c r="I274" s="365">
        <f t="shared" si="37"/>
        <v>0</v>
      </c>
      <c r="J274" s="362">
        <f t="shared" si="38"/>
        <v>0</v>
      </c>
      <c r="K274" s="357">
        <f t="shared" si="39"/>
        <v>0</v>
      </c>
      <c r="L274" s="361">
        <f t="shared" si="40"/>
        <v>2.2269644546351492</v>
      </c>
      <c r="M274" s="112">
        <f>L274*D274*'B) D RI'!S275</f>
        <v>959673.58681151608</v>
      </c>
    </row>
    <row r="275" spans="1:13" x14ac:dyDescent="0.25">
      <c r="A275" s="288">
        <f>'A) Base RI'!A276</f>
        <v>5882</v>
      </c>
      <c r="B275" s="32" t="str">
        <f>'A) Base RI'!B276</f>
        <v>Chardonne</v>
      </c>
      <c r="C275" s="286">
        <f>'B) D RI'!U276</f>
        <v>186949.52411764706</v>
      </c>
      <c r="D275" s="32">
        <f>'B) D RI'!AA276</f>
        <v>3078</v>
      </c>
      <c r="E275" s="198">
        <f t="shared" si="33"/>
        <v>60.737337270190729</v>
      </c>
      <c r="F275" s="354">
        <f t="shared" si="34"/>
        <v>1.2552161933092492</v>
      </c>
      <c r="G275" s="365">
        <f t="shared" si="35"/>
        <v>12.349388171109283</v>
      </c>
      <c r="H275" s="362">
        <f t="shared" si="36"/>
        <v>2.671798351292999</v>
      </c>
      <c r="I275" s="365">
        <f t="shared" si="37"/>
        <v>0</v>
      </c>
      <c r="J275" s="362">
        <f t="shared" si="38"/>
        <v>0</v>
      </c>
      <c r="K275" s="357">
        <f t="shared" si="39"/>
        <v>0</v>
      </c>
      <c r="L275" s="361">
        <f t="shared" si="40"/>
        <v>2.7370574693511562</v>
      </c>
      <c r="M275" s="112">
        <f>L275*D275*'B) D RI'!S276</f>
        <v>572877.07656507439</v>
      </c>
    </row>
    <row r="276" spans="1:13" x14ac:dyDescent="0.25">
      <c r="A276" s="288">
        <f>'A) Base RI'!A277</f>
        <v>5883</v>
      </c>
      <c r="B276" s="32" t="str">
        <f>'A) Base RI'!B277</f>
        <v>Corseaux</v>
      </c>
      <c r="C276" s="286">
        <f>'B) D RI'!U277</f>
        <v>193095.30118518518</v>
      </c>
      <c r="D276" s="32">
        <f>'B) D RI'!AA277</f>
        <v>2330</v>
      </c>
      <c r="E276" s="198">
        <f t="shared" si="33"/>
        <v>82.873519821967889</v>
      </c>
      <c r="F276" s="354">
        <f t="shared" si="34"/>
        <v>1.7126892411222505</v>
      </c>
      <c r="G276" s="365">
        <f t="shared" si="35"/>
        <v>34.485570722886443</v>
      </c>
      <c r="H276" s="362">
        <f t="shared" si="36"/>
        <v>24.80798090307016</v>
      </c>
      <c r="I276" s="365">
        <f t="shared" si="37"/>
        <v>10.291596173345724</v>
      </c>
      <c r="J276" s="362">
        <f t="shared" si="38"/>
        <v>0</v>
      </c>
      <c r="K276" s="357">
        <f t="shared" si="39"/>
        <v>0</v>
      </c>
      <c r="L276" s="361">
        <f t="shared" si="40"/>
        <v>10.407071852218877</v>
      </c>
      <c r="M276" s="112">
        <f>L276*D276*'B) D RI'!S277</f>
        <v>1636772.2255577238</v>
      </c>
    </row>
    <row r="277" spans="1:13" x14ac:dyDescent="0.25">
      <c r="A277" s="288">
        <f>'A) Base RI'!A278</f>
        <v>5884</v>
      </c>
      <c r="B277" s="32" t="str">
        <f>'A) Base RI'!B278</f>
        <v>Corsier-sur-Vevey</v>
      </c>
      <c r="C277" s="286">
        <f>'B) D RI'!U278</f>
        <v>148896.79012919901</v>
      </c>
      <c r="D277" s="32">
        <f>'B) D RI'!AA278</f>
        <v>3390</v>
      </c>
      <c r="E277" s="198">
        <f t="shared" si="33"/>
        <v>43.922356970265199</v>
      </c>
      <c r="F277" s="354">
        <f t="shared" si="34"/>
        <v>0.90771272161851102</v>
      </c>
      <c r="G277" s="365">
        <f t="shared" si="35"/>
        <v>0</v>
      </c>
      <c r="H277" s="362">
        <f t="shared" si="36"/>
        <v>0</v>
      </c>
      <c r="I277" s="365">
        <f t="shared" si="37"/>
        <v>0</v>
      </c>
      <c r="J277" s="362">
        <f t="shared" si="38"/>
        <v>0</v>
      </c>
      <c r="K277" s="357">
        <f t="shared" si="39"/>
        <v>0</v>
      </c>
      <c r="L277" s="361">
        <f t="shared" si="40"/>
        <v>0</v>
      </c>
      <c r="M277" s="112">
        <f>L277*D277*'B) D RI'!S278</f>
        <v>0</v>
      </c>
    </row>
    <row r="278" spans="1:13" x14ac:dyDescent="0.25">
      <c r="A278" s="288">
        <f>'A) Base RI'!A279</f>
        <v>5885</v>
      </c>
      <c r="B278" s="32" t="str">
        <f>'A) Base RI'!B279</f>
        <v>Jongny</v>
      </c>
      <c r="C278" s="286">
        <f>'B) D RI'!U279</f>
        <v>97076.940527577928</v>
      </c>
      <c r="D278" s="32">
        <f>'B) D RI'!AA279</f>
        <v>1805</v>
      </c>
      <c r="E278" s="198">
        <f t="shared" si="33"/>
        <v>53.782238519433754</v>
      </c>
      <c r="F278" s="354">
        <f t="shared" si="34"/>
        <v>1.1114800176652808</v>
      </c>
      <c r="G278" s="365">
        <f t="shared" si="35"/>
        <v>5.3942894203523082</v>
      </c>
      <c r="H278" s="362">
        <f t="shared" si="36"/>
        <v>0</v>
      </c>
      <c r="I278" s="365">
        <f t="shared" si="37"/>
        <v>0</v>
      </c>
      <c r="J278" s="362">
        <f t="shared" si="38"/>
        <v>0</v>
      </c>
      <c r="K278" s="357">
        <f t="shared" si="39"/>
        <v>0</v>
      </c>
      <c r="L278" s="361">
        <f t="shared" si="40"/>
        <v>1.0788578840704617</v>
      </c>
      <c r="M278" s="112">
        <f>L278*D278*'B) D RI'!S279</f>
        <v>135340.02441192925</v>
      </c>
    </row>
    <row r="279" spans="1:13" x14ac:dyDescent="0.25">
      <c r="A279" s="288">
        <f>'A) Base RI'!A280</f>
        <v>5886</v>
      </c>
      <c r="B279" s="32" t="str">
        <f>'A) Base RI'!B280</f>
        <v>Montreux</v>
      </c>
      <c r="C279" s="286">
        <f>'B) D RI'!U280</f>
        <v>1223405.0430769229</v>
      </c>
      <c r="D279" s="32">
        <f>'B) D RI'!AA280</f>
        <v>26012</v>
      </c>
      <c r="E279" s="198">
        <f t="shared" si="33"/>
        <v>47.032332887779596</v>
      </c>
      <c r="F279" s="354">
        <f t="shared" si="34"/>
        <v>0.97198442511944394</v>
      </c>
      <c r="G279" s="365">
        <f t="shared" si="35"/>
        <v>0</v>
      </c>
      <c r="H279" s="362">
        <f t="shared" si="36"/>
        <v>0</v>
      </c>
      <c r="I279" s="365">
        <f t="shared" si="37"/>
        <v>0</v>
      </c>
      <c r="J279" s="362">
        <f t="shared" si="38"/>
        <v>0</v>
      </c>
      <c r="K279" s="357">
        <f t="shared" si="39"/>
        <v>0</v>
      </c>
      <c r="L279" s="361">
        <f t="shared" si="40"/>
        <v>0</v>
      </c>
      <c r="M279" s="112">
        <f>L279*D279*'B) D RI'!S280</f>
        <v>0</v>
      </c>
    </row>
    <row r="280" spans="1:13" x14ac:dyDescent="0.25">
      <c r="A280" s="288">
        <f>'A) Base RI'!A281</f>
        <v>5888</v>
      </c>
      <c r="B280" s="32" t="str">
        <f>'A) Base RI'!B281</f>
        <v>Saint-Légier-La Chiésaz</v>
      </c>
      <c r="C280" s="286">
        <f>'B) D RI'!U281</f>
        <v>334017.18953771284</v>
      </c>
      <c r="D280" s="32">
        <f>'B) D RI'!AA281</f>
        <v>5634</v>
      </c>
      <c r="E280" s="198">
        <f t="shared" si="33"/>
        <v>59.28597613377935</v>
      </c>
      <c r="F280" s="354">
        <f t="shared" si="34"/>
        <v>1.225221924830552</v>
      </c>
      <c r="G280" s="365">
        <f t="shared" si="35"/>
        <v>10.898027034697904</v>
      </c>
      <c r="H280" s="362">
        <f t="shared" si="36"/>
        <v>1.2204372148816205</v>
      </c>
      <c r="I280" s="365">
        <f t="shared" si="37"/>
        <v>0</v>
      </c>
      <c r="J280" s="362">
        <f t="shared" si="38"/>
        <v>0</v>
      </c>
      <c r="K280" s="357">
        <f t="shared" si="39"/>
        <v>0</v>
      </c>
      <c r="L280" s="361">
        <f t="shared" si="40"/>
        <v>2.3016491284277429</v>
      </c>
      <c r="M280" s="112">
        <f>L280*D280*'B) D RI'!S281</f>
        <v>888273.14648499049</v>
      </c>
    </row>
    <row r="281" spans="1:13" x14ac:dyDescent="0.25">
      <c r="A281" s="288">
        <f>'A) Base RI'!A282</f>
        <v>5889</v>
      </c>
      <c r="B281" s="32" t="str">
        <f>'A) Base RI'!B282</f>
        <v>La Tour-de-Peilz</v>
      </c>
      <c r="C281" s="286">
        <f>'B) D RI'!U282</f>
        <v>740535.59942708339</v>
      </c>
      <c r="D281" s="32">
        <f>'B) D RI'!AA282</f>
        <v>12222</v>
      </c>
      <c r="E281" s="198">
        <f t="shared" si="33"/>
        <v>60.590377959997006</v>
      </c>
      <c r="F281" s="354">
        <f t="shared" si="34"/>
        <v>1.2521790877296595</v>
      </c>
      <c r="G281" s="365">
        <f t="shared" si="35"/>
        <v>12.20242886091556</v>
      </c>
      <c r="H281" s="362">
        <f t="shared" si="36"/>
        <v>2.5248390410992769</v>
      </c>
      <c r="I281" s="365">
        <f t="shared" si="37"/>
        <v>0</v>
      </c>
      <c r="J281" s="362">
        <f t="shared" si="38"/>
        <v>0</v>
      </c>
      <c r="K281" s="357">
        <f t="shared" si="39"/>
        <v>0</v>
      </c>
      <c r="L281" s="361">
        <f t="shared" si="40"/>
        <v>2.69296967629304</v>
      </c>
      <c r="M281" s="112">
        <f>L281*D281*'B) D RI'!S282</f>
        <v>2106462.424553826</v>
      </c>
    </row>
    <row r="282" spans="1:13" x14ac:dyDescent="0.25">
      <c r="A282" s="288">
        <f>'A) Base RI'!A283</f>
        <v>5890</v>
      </c>
      <c r="B282" s="32" t="str">
        <f>'A) Base RI'!B283</f>
        <v>Vevey</v>
      </c>
      <c r="C282" s="286">
        <f>'B) D RI'!U283</f>
        <v>969776.79771812086</v>
      </c>
      <c r="D282" s="32">
        <f>'B) D RI'!AA283</f>
        <v>19721</v>
      </c>
      <c r="E282" s="198">
        <f t="shared" si="33"/>
        <v>49.174828746925655</v>
      </c>
      <c r="F282" s="354">
        <f t="shared" si="34"/>
        <v>1.0162618929401814</v>
      </c>
      <c r="G282" s="365">
        <f t="shared" si="35"/>
        <v>0.78687964784420927</v>
      </c>
      <c r="H282" s="362">
        <f t="shared" si="36"/>
        <v>0</v>
      </c>
      <c r="I282" s="365">
        <f t="shared" si="37"/>
        <v>0</v>
      </c>
      <c r="J282" s="362">
        <f t="shared" si="38"/>
        <v>0</v>
      </c>
      <c r="K282" s="357">
        <f t="shared" si="39"/>
        <v>0</v>
      </c>
      <c r="L282" s="361">
        <f t="shared" si="40"/>
        <v>0.15737592956884186</v>
      </c>
      <c r="M282" s="112">
        <f>L282*D282*'B) D RI'!S283</f>
        <v>231218.99767352123</v>
      </c>
    </row>
    <row r="283" spans="1:13" x14ac:dyDescent="0.25">
      <c r="A283" s="288">
        <f>'A) Base RI'!A284</f>
        <v>5891</v>
      </c>
      <c r="B283" s="32" t="str">
        <f>'A) Base RI'!B284</f>
        <v>Veytaux</v>
      </c>
      <c r="C283" s="286">
        <f>'B) D RI'!U284</f>
        <v>39123.353381294961</v>
      </c>
      <c r="D283" s="32">
        <f>'B) D RI'!AA284</f>
        <v>952</v>
      </c>
      <c r="E283" s="198">
        <f t="shared" si="33"/>
        <v>41.095959434133363</v>
      </c>
      <c r="F283" s="354">
        <f t="shared" si="34"/>
        <v>0.84930153476815762</v>
      </c>
      <c r="G283" s="365">
        <f t="shared" si="35"/>
        <v>0</v>
      </c>
      <c r="H283" s="362">
        <f t="shared" si="36"/>
        <v>0</v>
      </c>
      <c r="I283" s="365">
        <f t="shared" si="37"/>
        <v>0</v>
      </c>
      <c r="J283" s="362">
        <f t="shared" si="38"/>
        <v>0</v>
      </c>
      <c r="K283" s="357">
        <f t="shared" si="39"/>
        <v>0</v>
      </c>
      <c r="L283" s="361">
        <f t="shared" si="40"/>
        <v>0</v>
      </c>
      <c r="M283" s="112">
        <f>L283*D283*'B) D RI'!S284</f>
        <v>0</v>
      </c>
    </row>
    <row r="284" spans="1:13" x14ac:dyDescent="0.25">
      <c r="A284" s="288">
        <f>'A) Base RI'!A285</f>
        <v>5902</v>
      </c>
      <c r="B284" s="32" t="str">
        <f>'A) Base RI'!B285</f>
        <v>Belmont-sur-Yverdon</v>
      </c>
      <c r="C284" s="286">
        <f>'B) D RI'!U285</f>
        <v>12109.15</v>
      </c>
      <c r="D284" s="32">
        <f>'B) D RI'!AA285</f>
        <v>415</v>
      </c>
      <c r="E284" s="198">
        <f t="shared" si="33"/>
        <v>29.178674698795181</v>
      </c>
      <c r="F284" s="354">
        <f t="shared" si="34"/>
        <v>0.60301532183245776</v>
      </c>
      <c r="G284" s="365">
        <f t="shared" si="35"/>
        <v>0</v>
      </c>
      <c r="H284" s="362">
        <f t="shared" si="36"/>
        <v>0</v>
      </c>
      <c r="I284" s="365">
        <f t="shared" si="37"/>
        <v>0</v>
      </c>
      <c r="J284" s="362">
        <f t="shared" si="38"/>
        <v>0</v>
      </c>
      <c r="K284" s="357">
        <f t="shared" si="39"/>
        <v>0</v>
      </c>
      <c r="L284" s="361">
        <f t="shared" si="40"/>
        <v>0</v>
      </c>
      <c r="M284" s="112">
        <f>L284*D284*'B) D RI'!S285</f>
        <v>0</v>
      </c>
    </row>
    <row r="285" spans="1:13" x14ac:dyDescent="0.25">
      <c r="A285" s="288">
        <f>'A) Base RI'!A286</f>
        <v>5903</v>
      </c>
      <c r="B285" s="32" t="str">
        <f>'A) Base RI'!B286</f>
        <v>Bioley-Magnoux</v>
      </c>
      <c r="C285" s="286">
        <f>'B) D RI'!U286</f>
        <v>6059.1993849206356</v>
      </c>
      <c r="D285" s="32">
        <f>'B) D RI'!AA286</f>
        <v>234</v>
      </c>
      <c r="E285" s="198">
        <f t="shared" si="33"/>
        <v>25.8940144654728</v>
      </c>
      <c r="F285" s="354">
        <f t="shared" si="34"/>
        <v>0.5351335393953357</v>
      </c>
      <c r="G285" s="365">
        <f t="shared" si="35"/>
        <v>0</v>
      </c>
      <c r="H285" s="362">
        <f t="shared" si="36"/>
        <v>0</v>
      </c>
      <c r="I285" s="365">
        <f t="shared" si="37"/>
        <v>0</v>
      </c>
      <c r="J285" s="362">
        <f t="shared" si="38"/>
        <v>0</v>
      </c>
      <c r="K285" s="357">
        <f t="shared" si="39"/>
        <v>0</v>
      </c>
      <c r="L285" s="361">
        <f t="shared" si="40"/>
        <v>0</v>
      </c>
      <c r="M285" s="112">
        <f>L285*D285*'B) D RI'!S286</f>
        <v>0</v>
      </c>
    </row>
    <row r="286" spans="1:13" x14ac:dyDescent="0.25">
      <c r="A286" s="288">
        <f>'A) Base RI'!A287</f>
        <v>5904</v>
      </c>
      <c r="B286" s="32" t="str">
        <f>'A) Base RI'!B287</f>
        <v>Chamblon</v>
      </c>
      <c r="C286" s="286">
        <f>'B) D RI'!U287</f>
        <v>22178.215151515149</v>
      </c>
      <c r="D286" s="32">
        <f>'B) D RI'!AA287</f>
        <v>561</v>
      </c>
      <c r="E286" s="198">
        <f t="shared" si="33"/>
        <v>39.53336034138173</v>
      </c>
      <c r="F286" s="354">
        <f t="shared" si="34"/>
        <v>0.81700838901916173</v>
      </c>
      <c r="G286" s="365">
        <f t="shared" si="35"/>
        <v>0</v>
      </c>
      <c r="H286" s="362">
        <f t="shared" si="36"/>
        <v>0</v>
      </c>
      <c r="I286" s="365">
        <f t="shared" si="37"/>
        <v>0</v>
      </c>
      <c r="J286" s="362">
        <f t="shared" si="38"/>
        <v>0</v>
      </c>
      <c r="K286" s="357">
        <f t="shared" si="39"/>
        <v>0</v>
      </c>
      <c r="L286" s="361">
        <f t="shared" si="40"/>
        <v>0</v>
      </c>
      <c r="M286" s="112">
        <f>L286*D286*'B) D RI'!S287</f>
        <v>0</v>
      </c>
    </row>
    <row r="287" spans="1:13" x14ac:dyDescent="0.25">
      <c r="A287" s="288">
        <f>'A) Base RI'!A288</f>
        <v>5905</v>
      </c>
      <c r="B287" s="32" t="str">
        <f>'A) Base RI'!B288</f>
        <v>Champvent</v>
      </c>
      <c r="C287" s="286">
        <f>'B) D RI'!U288</f>
        <v>23298.236142857142</v>
      </c>
      <c r="D287" s="32">
        <f>'B) D RI'!AA288</f>
        <v>712</v>
      </c>
      <c r="E287" s="198">
        <f t="shared" si="33"/>
        <v>32.722241773675762</v>
      </c>
      <c r="F287" s="354">
        <f t="shared" si="34"/>
        <v>0.6762477514116616</v>
      </c>
      <c r="G287" s="365">
        <f t="shared" si="35"/>
        <v>0</v>
      </c>
      <c r="H287" s="362">
        <f t="shared" si="36"/>
        <v>0</v>
      </c>
      <c r="I287" s="365">
        <f t="shared" si="37"/>
        <v>0</v>
      </c>
      <c r="J287" s="362">
        <f t="shared" si="38"/>
        <v>0</v>
      </c>
      <c r="K287" s="357">
        <f t="shared" si="39"/>
        <v>0</v>
      </c>
      <c r="L287" s="361">
        <f t="shared" si="40"/>
        <v>0</v>
      </c>
      <c r="M287" s="112">
        <f>L287*D287*'B) D RI'!S288</f>
        <v>0</v>
      </c>
    </row>
    <row r="288" spans="1:13" x14ac:dyDescent="0.25">
      <c r="A288" s="288">
        <f>'A) Base RI'!A289</f>
        <v>5907</v>
      </c>
      <c r="B288" s="32" t="str">
        <f>'A) Base RI'!B289</f>
        <v>Chavannes-le-Chêne</v>
      </c>
      <c r="C288" s="286">
        <f>'B) D RI'!U289</f>
        <v>7818.3477333333331</v>
      </c>
      <c r="D288" s="32">
        <f>'B) D RI'!AA289</f>
        <v>325</v>
      </c>
      <c r="E288" s="198">
        <f t="shared" si="33"/>
        <v>24.056454564102562</v>
      </c>
      <c r="F288" s="354">
        <f t="shared" si="34"/>
        <v>0.49715797036248494</v>
      </c>
      <c r="G288" s="365">
        <f t="shared" si="35"/>
        <v>0</v>
      </c>
      <c r="H288" s="362">
        <f t="shared" si="36"/>
        <v>0</v>
      </c>
      <c r="I288" s="365">
        <f t="shared" si="37"/>
        <v>0</v>
      </c>
      <c r="J288" s="362">
        <f t="shared" si="38"/>
        <v>0</v>
      </c>
      <c r="K288" s="357">
        <f t="shared" si="39"/>
        <v>0</v>
      </c>
      <c r="L288" s="361">
        <f t="shared" si="40"/>
        <v>0</v>
      </c>
      <c r="M288" s="112">
        <f>L288*D288*'B) D RI'!S289</f>
        <v>0</v>
      </c>
    </row>
    <row r="289" spans="1:13" x14ac:dyDescent="0.25">
      <c r="A289" s="288">
        <f>'A) Base RI'!A290</f>
        <v>5908</v>
      </c>
      <c r="B289" s="32" t="str">
        <f>'A) Base RI'!B290</f>
        <v>Chêne-Pâquier</v>
      </c>
      <c r="C289" s="286">
        <f>'B) D RI'!U290</f>
        <v>4413.8781012658228</v>
      </c>
      <c r="D289" s="32">
        <f>'B) D RI'!AA290</f>
        <v>153</v>
      </c>
      <c r="E289" s="198">
        <f t="shared" si="33"/>
        <v>28.848876478861587</v>
      </c>
      <c r="F289" s="354">
        <f t="shared" si="34"/>
        <v>0.59619961201061178</v>
      </c>
      <c r="G289" s="365">
        <f t="shared" si="35"/>
        <v>0</v>
      </c>
      <c r="H289" s="362">
        <f t="shared" si="36"/>
        <v>0</v>
      </c>
      <c r="I289" s="365">
        <f t="shared" si="37"/>
        <v>0</v>
      </c>
      <c r="J289" s="362">
        <f t="shared" si="38"/>
        <v>0</v>
      </c>
      <c r="K289" s="357">
        <f t="shared" si="39"/>
        <v>0</v>
      </c>
      <c r="L289" s="361">
        <f t="shared" si="40"/>
        <v>0</v>
      </c>
      <c r="M289" s="112">
        <f>L289*D289*'B) D RI'!S290</f>
        <v>0</v>
      </c>
    </row>
    <row r="290" spans="1:13" x14ac:dyDescent="0.25">
      <c r="A290" s="288">
        <f>'A) Base RI'!A291</f>
        <v>5909</v>
      </c>
      <c r="B290" s="32" t="str">
        <f>'A) Base RI'!B291</f>
        <v>Cheseaux-Noréaz</v>
      </c>
      <c r="C290" s="286">
        <f>'B) D RI'!U291</f>
        <v>36898.573134328355</v>
      </c>
      <c r="D290" s="32">
        <f>'B) D RI'!AA291</f>
        <v>728</v>
      </c>
      <c r="E290" s="198">
        <f t="shared" si="33"/>
        <v>50.684853206494992</v>
      </c>
      <c r="F290" s="354">
        <f t="shared" si="34"/>
        <v>1.0474685154088736</v>
      </c>
      <c r="G290" s="365">
        <f t="shared" si="35"/>
        <v>2.2969041074135461</v>
      </c>
      <c r="H290" s="362">
        <f t="shared" si="36"/>
        <v>0</v>
      </c>
      <c r="I290" s="365">
        <f t="shared" si="37"/>
        <v>0</v>
      </c>
      <c r="J290" s="362">
        <f t="shared" si="38"/>
        <v>0</v>
      </c>
      <c r="K290" s="357">
        <f t="shared" si="39"/>
        <v>0</v>
      </c>
      <c r="L290" s="361">
        <f t="shared" si="40"/>
        <v>0.45938082148270926</v>
      </c>
      <c r="M290" s="112">
        <f>L290*D290*'B) D RI'!S291</f>
        <v>22406.758948640625</v>
      </c>
    </row>
    <row r="291" spans="1:13" x14ac:dyDescent="0.25">
      <c r="A291" s="288">
        <f>'A) Base RI'!A292</f>
        <v>5910</v>
      </c>
      <c r="B291" s="32" t="str">
        <f>'A) Base RI'!B292</f>
        <v>Cronay</v>
      </c>
      <c r="C291" s="286">
        <f>'B) D RI'!U292</f>
        <v>10600.416103896103</v>
      </c>
      <c r="D291" s="32">
        <f>'B) D RI'!AA292</f>
        <v>403</v>
      </c>
      <c r="E291" s="198">
        <f t="shared" si="33"/>
        <v>26.303762044407204</v>
      </c>
      <c r="F291" s="354">
        <f t="shared" si="34"/>
        <v>0.54360150686581865</v>
      </c>
      <c r="G291" s="365">
        <f t="shared" si="35"/>
        <v>0</v>
      </c>
      <c r="H291" s="362">
        <f t="shared" si="36"/>
        <v>0</v>
      </c>
      <c r="I291" s="365">
        <f t="shared" si="37"/>
        <v>0</v>
      </c>
      <c r="J291" s="362">
        <f t="shared" si="38"/>
        <v>0</v>
      </c>
      <c r="K291" s="357">
        <f t="shared" si="39"/>
        <v>0</v>
      </c>
      <c r="L291" s="361">
        <f t="shared" si="40"/>
        <v>0</v>
      </c>
      <c r="M291" s="112">
        <f>L291*D291*'B) D RI'!S292</f>
        <v>0</v>
      </c>
    </row>
    <row r="292" spans="1:13" x14ac:dyDescent="0.25">
      <c r="A292" s="288">
        <f>'A) Base RI'!A293</f>
        <v>5911</v>
      </c>
      <c r="B292" s="32" t="str">
        <f>'A) Base RI'!B293</f>
        <v>Cuarny</v>
      </c>
      <c r="C292" s="286">
        <f>'B) D RI'!U293</f>
        <v>7503.9646753246761</v>
      </c>
      <c r="D292" s="32">
        <f>'B) D RI'!AA293</f>
        <v>245</v>
      </c>
      <c r="E292" s="198">
        <f t="shared" si="33"/>
        <v>30.628427246223168</v>
      </c>
      <c r="F292" s="354">
        <f t="shared" si="34"/>
        <v>0.63297634672440772</v>
      </c>
      <c r="G292" s="365">
        <f t="shared" si="35"/>
        <v>0</v>
      </c>
      <c r="H292" s="362">
        <f t="shared" si="36"/>
        <v>0</v>
      </c>
      <c r="I292" s="365">
        <f t="shared" si="37"/>
        <v>0</v>
      </c>
      <c r="J292" s="362">
        <f t="shared" si="38"/>
        <v>0</v>
      </c>
      <c r="K292" s="357">
        <f t="shared" si="39"/>
        <v>0</v>
      </c>
      <c r="L292" s="361">
        <f t="shared" si="40"/>
        <v>0</v>
      </c>
      <c r="M292" s="112">
        <f>L292*D292*'B) D RI'!S293</f>
        <v>0</v>
      </c>
    </row>
    <row r="293" spans="1:13" x14ac:dyDescent="0.25">
      <c r="A293" s="288">
        <f>'A) Base RI'!A294</f>
        <v>5912</v>
      </c>
      <c r="B293" s="32" t="str">
        <f>'A) Base RI'!B294</f>
        <v>Démoret</v>
      </c>
      <c r="C293" s="286">
        <f>'B) D RI'!U294</f>
        <v>4722.5551851851851</v>
      </c>
      <c r="D293" s="32">
        <f>'B) D RI'!AA294</f>
        <v>164</v>
      </c>
      <c r="E293" s="198">
        <f t="shared" si="33"/>
        <v>28.796068202348689</v>
      </c>
      <c r="F293" s="354">
        <f t="shared" si="34"/>
        <v>0.59510826018652918</v>
      </c>
      <c r="G293" s="365">
        <f t="shared" si="35"/>
        <v>0</v>
      </c>
      <c r="H293" s="362">
        <f t="shared" si="36"/>
        <v>0</v>
      </c>
      <c r="I293" s="365">
        <f t="shared" si="37"/>
        <v>0</v>
      </c>
      <c r="J293" s="362">
        <f t="shared" si="38"/>
        <v>0</v>
      </c>
      <c r="K293" s="357">
        <f t="shared" si="39"/>
        <v>0</v>
      </c>
      <c r="L293" s="361">
        <f t="shared" si="40"/>
        <v>0</v>
      </c>
      <c r="M293" s="112">
        <f>L293*D293*'B) D RI'!S294</f>
        <v>0</v>
      </c>
    </row>
    <row r="294" spans="1:13" x14ac:dyDescent="0.25">
      <c r="A294" s="288">
        <f>'A) Base RI'!A295</f>
        <v>5913</v>
      </c>
      <c r="B294" s="32" t="str">
        <f>'A) Base RI'!B295</f>
        <v>Donneloye</v>
      </c>
      <c r="C294" s="286">
        <f>'B) D RI'!U295</f>
        <v>23893.322465753423</v>
      </c>
      <c r="D294" s="32">
        <f>'B) D RI'!AA295</f>
        <v>891</v>
      </c>
      <c r="E294" s="198">
        <f t="shared" si="33"/>
        <v>26.816299063696324</v>
      </c>
      <c r="F294" s="354">
        <f t="shared" si="34"/>
        <v>0.55419375201842103</v>
      </c>
      <c r="G294" s="365">
        <f t="shared" si="35"/>
        <v>0</v>
      </c>
      <c r="H294" s="362">
        <f t="shared" si="36"/>
        <v>0</v>
      </c>
      <c r="I294" s="365">
        <f t="shared" si="37"/>
        <v>0</v>
      </c>
      <c r="J294" s="362">
        <f t="shared" si="38"/>
        <v>0</v>
      </c>
      <c r="K294" s="357">
        <f t="shared" si="39"/>
        <v>0</v>
      </c>
      <c r="L294" s="361">
        <f t="shared" si="40"/>
        <v>0</v>
      </c>
      <c r="M294" s="112">
        <f>L294*D294*'B) D RI'!S295</f>
        <v>0</v>
      </c>
    </row>
    <row r="295" spans="1:13" x14ac:dyDescent="0.25">
      <c r="A295" s="288">
        <f>'A) Base RI'!A296</f>
        <v>5914</v>
      </c>
      <c r="B295" s="32" t="str">
        <f>'A) Base RI'!B296</f>
        <v>Ependes</v>
      </c>
      <c r="C295" s="286">
        <f>'B) D RI'!U296</f>
        <v>9829.5133333333324</v>
      </c>
      <c r="D295" s="32">
        <f>'B) D RI'!AA296</f>
        <v>381</v>
      </c>
      <c r="E295" s="198">
        <f t="shared" si="33"/>
        <v>25.79924759405074</v>
      </c>
      <c r="F295" s="354">
        <f t="shared" si="34"/>
        <v>0.5331750585506938</v>
      </c>
      <c r="G295" s="365">
        <f t="shared" si="35"/>
        <v>0</v>
      </c>
      <c r="H295" s="362">
        <f t="shared" si="36"/>
        <v>0</v>
      </c>
      <c r="I295" s="365">
        <f t="shared" si="37"/>
        <v>0</v>
      </c>
      <c r="J295" s="362">
        <f t="shared" si="38"/>
        <v>0</v>
      </c>
      <c r="K295" s="357">
        <f t="shared" si="39"/>
        <v>0</v>
      </c>
      <c r="L295" s="361">
        <f t="shared" si="40"/>
        <v>0</v>
      </c>
      <c r="M295" s="112">
        <f>L295*D295*'B) D RI'!S296</f>
        <v>0</v>
      </c>
    </row>
    <row r="296" spans="1:13" x14ac:dyDescent="0.25">
      <c r="A296" s="288">
        <f>'A) Base RI'!A297</f>
        <v>5919</v>
      </c>
      <c r="B296" s="32" t="str">
        <f>'A) Base RI'!B297</f>
        <v>Mathod</v>
      </c>
      <c r="C296" s="286">
        <f>'B) D RI'!U297</f>
        <v>18684.885972222222</v>
      </c>
      <c r="D296" s="32">
        <f>'B) D RI'!AA297</f>
        <v>655</v>
      </c>
      <c r="E296" s="198">
        <f t="shared" si="33"/>
        <v>28.52654346904156</v>
      </c>
      <c r="F296" s="354">
        <f t="shared" si="34"/>
        <v>0.58953818048021134</v>
      </c>
      <c r="G296" s="365">
        <f t="shared" si="35"/>
        <v>0</v>
      </c>
      <c r="H296" s="362">
        <f t="shared" si="36"/>
        <v>0</v>
      </c>
      <c r="I296" s="365">
        <f t="shared" si="37"/>
        <v>0</v>
      </c>
      <c r="J296" s="362">
        <f t="shared" si="38"/>
        <v>0</v>
      </c>
      <c r="K296" s="357">
        <f t="shared" si="39"/>
        <v>0</v>
      </c>
      <c r="L296" s="361">
        <f t="shared" si="40"/>
        <v>0</v>
      </c>
      <c r="M296" s="112">
        <f>L296*D296*'B) D RI'!S297</f>
        <v>0</v>
      </c>
    </row>
    <row r="297" spans="1:13" x14ac:dyDescent="0.25">
      <c r="A297" s="288">
        <f>'A) Base RI'!A298</f>
        <v>5921</v>
      </c>
      <c r="B297" s="32" t="str">
        <f>'A) Base RI'!B298</f>
        <v>Molondin</v>
      </c>
      <c r="C297" s="286">
        <f>'B) D RI'!U298</f>
        <v>5874.9966666666678</v>
      </c>
      <c r="D297" s="32">
        <f>'B) D RI'!AA298</f>
        <v>239</v>
      </c>
      <c r="E297" s="198">
        <f t="shared" si="33"/>
        <v>24.581576011157605</v>
      </c>
      <c r="F297" s="354">
        <f t="shared" si="34"/>
        <v>0.50801028910779444</v>
      </c>
      <c r="G297" s="365">
        <f t="shared" si="35"/>
        <v>0</v>
      </c>
      <c r="H297" s="362">
        <f t="shared" si="36"/>
        <v>0</v>
      </c>
      <c r="I297" s="365">
        <f t="shared" si="37"/>
        <v>0</v>
      </c>
      <c r="J297" s="362">
        <f t="shared" si="38"/>
        <v>0</v>
      </c>
      <c r="K297" s="357">
        <f t="shared" si="39"/>
        <v>0</v>
      </c>
      <c r="L297" s="361">
        <f t="shared" si="40"/>
        <v>0</v>
      </c>
      <c r="M297" s="112">
        <f>L297*D297*'B) D RI'!S298</f>
        <v>0</v>
      </c>
    </row>
    <row r="298" spans="1:13" x14ac:dyDescent="0.25">
      <c r="A298" s="288">
        <f>'A) Base RI'!A299</f>
        <v>5922</v>
      </c>
      <c r="B298" s="32" t="str">
        <f>'A) Base RI'!B299</f>
        <v>Montagny-près-Yverdon</v>
      </c>
      <c r="C298" s="286">
        <f>'B) D RI'!U299</f>
        <v>39614.024961240313</v>
      </c>
      <c r="D298" s="32">
        <f>'B) D RI'!AA299</f>
        <v>775</v>
      </c>
      <c r="E298" s="198">
        <f t="shared" si="33"/>
        <v>51.114870917729434</v>
      </c>
      <c r="F298" s="354">
        <f t="shared" si="34"/>
        <v>1.0563553915679338</v>
      </c>
      <c r="G298" s="365">
        <f t="shared" si="35"/>
        <v>2.7269218186479875</v>
      </c>
      <c r="H298" s="362">
        <f t="shared" si="36"/>
        <v>0</v>
      </c>
      <c r="I298" s="365">
        <f t="shared" si="37"/>
        <v>0</v>
      </c>
      <c r="J298" s="362">
        <f t="shared" si="38"/>
        <v>0</v>
      </c>
      <c r="K298" s="357">
        <f t="shared" si="39"/>
        <v>0</v>
      </c>
      <c r="L298" s="361">
        <f t="shared" si="40"/>
        <v>0.54538436372959753</v>
      </c>
      <c r="M298" s="112">
        <f>L298*D298*'B) D RI'!S299</f>
        <v>27262.400881933256</v>
      </c>
    </row>
    <row r="299" spans="1:13" x14ac:dyDescent="0.25">
      <c r="A299" s="288">
        <f>'A) Base RI'!A300</f>
        <v>5923</v>
      </c>
      <c r="B299" s="32" t="str">
        <f>'A) Base RI'!B300</f>
        <v>Oppens</v>
      </c>
      <c r="C299" s="286">
        <f>'B) D RI'!U300</f>
        <v>5094.8359259259259</v>
      </c>
      <c r="D299" s="32">
        <f>'B) D RI'!AA300</f>
        <v>201</v>
      </c>
      <c r="E299" s="198">
        <f t="shared" si="33"/>
        <v>25.34744241754192</v>
      </c>
      <c r="F299" s="354">
        <f t="shared" si="34"/>
        <v>0.5238379160406097</v>
      </c>
      <c r="G299" s="365">
        <f t="shared" si="35"/>
        <v>0</v>
      </c>
      <c r="H299" s="362">
        <f t="shared" si="36"/>
        <v>0</v>
      </c>
      <c r="I299" s="365">
        <f t="shared" si="37"/>
        <v>0</v>
      </c>
      <c r="J299" s="362">
        <f t="shared" si="38"/>
        <v>0</v>
      </c>
      <c r="K299" s="357">
        <f t="shared" si="39"/>
        <v>0</v>
      </c>
      <c r="L299" s="361">
        <f t="shared" si="40"/>
        <v>0</v>
      </c>
      <c r="M299" s="112">
        <f>L299*D299*'B) D RI'!S300</f>
        <v>0</v>
      </c>
    </row>
    <row r="300" spans="1:13" x14ac:dyDescent="0.25">
      <c r="A300" s="288">
        <f>'A) Base RI'!A301</f>
        <v>5924</v>
      </c>
      <c r="B300" s="32" t="str">
        <f>'A) Base RI'!B301</f>
        <v>Orges</v>
      </c>
      <c r="C300" s="286">
        <f>'B) D RI'!U301</f>
        <v>13110.169864864867</v>
      </c>
      <c r="D300" s="32">
        <f>'B) D RI'!AA301</f>
        <v>367</v>
      </c>
      <c r="E300" s="198">
        <f t="shared" si="33"/>
        <v>35.722533691729886</v>
      </c>
      <c r="F300" s="354">
        <f t="shared" si="34"/>
        <v>0.73825269218546008</v>
      </c>
      <c r="G300" s="365">
        <f t="shared" si="35"/>
        <v>0</v>
      </c>
      <c r="H300" s="362">
        <f t="shared" si="36"/>
        <v>0</v>
      </c>
      <c r="I300" s="365">
        <f t="shared" si="37"/>
        <v>0</v>
      </c>
      <c r="J300" s="362">
        <f t="shared" si="38"/>
        <v>0</v>
      </c>
      <c r="K300" s="357">
        <f t="shared" si="39"/>
        <v>0</v>
      </c>
      <c r="L300" s="361">
        <f t="shared" si="40"/>
        <v>0</v>
      </c>
      <c r="M300" s="112">
        <f>L300*D300*'B) D RI'!S301</f>
        <v>0</v>
      </c>
    </row>
    <row r="301" spans="1:13" x14ac:dyDescent="0.25">
      <c r="A301" s="288">
        <f>'A) Base RI'!A302</f>
        <v>5925</v>
      </c>
      <c r="B301" s="32" t="str">
        <f>'A) Base RI'!B302</f>
        <v>Orzens</v>
      </c>
      <c r="C301" s="286">
        <f>'B) D RI'!U302</f>
        <v>5230.5868354430377</v>
      </c>
      <c r="D301" s="32">
        <f>'B) D RI'!AA302</f>
        <v>202</v>
      </c>
      <c r="E301" s="198">
        <f t="shared" si="33"/>
        <v>25.893994234866522</v>
      </c>
      <c r="F301" s="354">
        <f t="shared" si="34"/>
        <v>0.53513312130350388</v>
      </c>
      <c r="G301" s="365">
        <f t="shared" si="35"/>
        <v>0</v>
      </c>
      <c r="H301" s="362">
        <f t="shared" si="36"/>
        <v>0</v>
      </c>
      <c r="I301" s="365">
        <f t="shared" si="37"/>
        <v>0</v>
      </c>
      <c r="J301" s="362">
        <f t="shared" si="38"/>
        <v>0</v>
      </c>
      <c r="K301" s="357">
        <f t="shared" si="39"/>
        <v>0</v>
      </c>
      <c r="L301" s="361">
        <f t="shared" si="40"/>
        <v>0</v>
      </c>
      <c r="M301" s="112">
        <f>L301*D301*'B) D RI'!S302</f>
        <v>0</v>
      </c>
    </row>
    <row r="302" spans="1:13" x14ac:dyDescent="0.25">
      <c r="A302" s="288">
        <f>'A) Base RI'!A303</f>
        <v>5926</v>
      </c>
      <c r="B302" s="32" t="str">
        <f>'A) Base RI'!B303</f>
        <v>Pomy</v>
      </c>
      <c r="C302" s="286">
        <f>'B) D RI'!U303</f>
        <v>27875.103943661972</v>
      </c>
      <c r="D302" s="32">
        <f>'B) D RI'!AA303</f>
        <v>838</v>
      </c>
      <c r="E302" s="198">
        <f t="shared" si="33"/>
        <v>33.26384718814078</v>
      </c>
      <c r="F302" s="354">
        <f t="shared" si="34"/>
        <v>0.68744073281610174</v>
      </c>
      <c r="G302" s="365">
        <f t="shared" si="35"/>
        <v>0</v>
      </c>
      <c r="H302" s="362">
        <f t="shared" si="36"/>
        <v>0</v>
      </c>
      <c r="I302" s="365">
        <f t="shared" si="37"/>
        <v>0</v>
      </c>
      <c r="J302" s="362">
        <f t="shared" si="38"/>
        <v>0</v>
      </c>
      <c r="K302" s="357">
        <f t="shared" si="39"/>
        <v>0</v>
      </c>
      <c r="L302" s="361">
        <f t="shared" si="40"/>
        <v>0</v>
      </c>
      <c r="M302" s="112">
        <f>L302*D302*'B) D RI'!S303</f>
        <v>0</v>
      </c>
    </row>
    <row r="303" spans="1:13" x14ac:dyDescent="0.25">
      <c r="A303" s="288">
        <f>'A) Base RI'!A304</f>
        <v>5928</v>
      </c>
      <c r="B303" s="32" t="str">
        <f>'A) Base RI'!B304</f>
        <v>Rovray</v>
      </c>
      <c r="C303" s="286">
        <f>'B) D RI'!U304</f>
        <v>5459.4606993006983</v>
      </c>
      <c r="D303" s="32">
        <f>'B) D RI'!AA304</f>
        <v>206</v>
      </c>
      <c r="E303" s="198">
        <f t="shared" si="33"/>
        <v>26.502236404372322</v>
      </c>
      <c r="F303" s="354">
        <f t="shared" si="34"/>
        <v>0.54770323805427445</v>
      </c>
      <c r="G303" s="365">
        <f t="shared" si="35"/>
        <v>0</v>
      </c>
      <c r="H303" s="362">
        <f t="shared" si="36"/>
        <v>0</v>
      </c>
      <c r="I303" s="365">
        <f t="shared" si="37"/>
        <v>0</v>
      </c>
      <c r="J303" s="362">
        <f t="shared" si="38"/>
        <v>0</v>
      </c>
      <c r="K303" s="357">
        <f t="shared" si="39"/>
        <v>0</v>
      </c>
      <c r="L303" s="361">
        <f t="shared" si="40"/>
        <v>0</v>
      </c>
      <c r="M303" s="112">
        <f>L303*D303*'B) D RI'!S304</f>
        <v>0</v>
      </c>
    </row>
    <row r="304" spans="1:13" x14ac:dyDescent="0.25">
      <c r="A304" s="288">
        <f>'A) Base RI'!A305</f>
        <v>5929</v>
      </c>
      <c r="B304" s="32" t="str">
        <f>'A) Base RI'!B305</f>
        <v>Suchy</v>
      </c>
      <c r="C304" s="286">
        <f>'B) D RI'!U305</f>
        <v>20266.988392857143</v>
      </c>
      <c r="D304" s="32">
        <f>'B) D RI'!AA305</f>
        <v>656</v>
      </c>
      <c r="E304" s="198">
        <f t="shared" si="33"/>
        <v>30.894799379355401</v>
      </c>
      <c r="F304" s="354">
        <f t="shared" si="34"/>
        <v>0.63848127384142184</v>
      </c>
      <c r="G304" s="365">
        <f t="shared" si="35"/>
        <v>0</v>
      </c>
      <c r="H304" s="362">
        <f t="shared" si="36"/>
        <v>0</v>
      </c>
      <c r="I304" s="365">
        <f t="shared" si="37"/>
        <v>0</v>
      </c>
      <c r="J304" s="362">
        <f t="shared" si="38"/>
        <v>0</v>
      </c>
      <c r="K304" s="357">
        <f t="shared" si="39"/>
        <v>0</v>
      </c>
      <c r="L304" s="361">
        <f t="shared" si="40"/>
        <v>0</v>
      </c>
      <c r="M304" s="112">
        <f>L304*D304*'B) D RI'!S305</f>
        <v>0</v>
      </c>
    </row>
    <row r="305" spans="1:13" x14ac:dyDescent="0.25">
      <c r="A305" s="288">
        <f>'A) Base RI'!A306</f>
        <v>5930</v>
      </c>
      <c r="B305" s="32" t="str">
        <f>'A) Base RI'!B306</f>
        <v>Suscévaz</v>
      </c>
      <c r="C305" s="286">
        <f>'B) D RI'!U306</f>
        <v>6661.8138888888889</v>
      </c>
      <c r="D305" s="32">
        <f>'B) D RI'!AA306</f>
        <v>215</v>
      </c>
      <c r="E305" s="198">
        <f t="shared" si="33"/>
        <v>30.985180878552971</v>
      </c>
      <c r="F305" s="354">
        <f t="shared" si="34"/>
        <v>0.64034912525650245</v>
      </c>
      <c r="G305" s="365">
        <f t="shared" si="35"/>
        <v>0</v>
      </c>
      <c r="H305" s="362">
        <f t="shared" si="36"/>
        <v>0</v>
      </c>
      <c r="I305" s="365">
        <f t="shared" si="37"/>
        <v>0</v>
      </c>
      <c r="J305" s="362">
        <f t="shared" si="38"/>
        <v>0</v>
      </c>
      <c r="K305" s="357">
        <f t="shared" si="39"/>
        <v>0</v>
      </c>
      <c r="L305" s="361">
        <f t="shared" si="40"/>
        <v>0</v>
      </c>
      <c r="M305" s="112">
        <f>L305*D305*'B) D RI'!S306</f>
        <v>0</v>
      </c>
    </row>
    <row r="306" spans="1:13" x14ac:dyDescent="0.25">
      <c r="A306" s="288">
        <f>'A) Base RI'!A307</f>
        <v>5931</v>
      </c>
      <c r="B306" s="32" t="str">
        <f>'A) Base RI'!B307</f>
        <v>Treycovagnes</v>
      </c>
      <c r="C306" s="286">
        <f>'B) D RI'!U307</f>
        <v>15271.093466666664</v>
      </c>
      <c r="D306" s="32">
        <f>'B) D RI'!AA307</f>
        <v>490</v>
      </c>
      <c r="E306" s="198">
        <f t="shared" si="33"/>
        <v>31.165496870748292</v>
      </c>
      <c r="F306" s="354">
        <f t="shared" si="34"/>
        <v>0.64407559012125837</v>
      </c>
      <c r="G306" s="365">
        <f t="shared" si="35"/>
        <v>0</v>
      </c>
      <c r="H306" s="362">
        <f t="shared" si="36"/>
        <v>0</v>
      </c>
      <c r="I306" s="365">
        <f t="shared" si="37"/>
        <v>0</v>
      </c>
      <c r="J306" s="362">
        <f t="shared" si="38"/>
        <v>0</v>
      </c>
      <c r="K306" s="357">
        <f t="shared" si="39"/>
        <v>0</v>
      </c>
      <c r="L306" s="361">
        <f t="shared" si="40"/>
        <v>0</v>
      </c>
      <c r="M306" s="112">
        <f>L306*D306*'B) D RI'!S307</f>
        <v>0</v>
      </c>
    </row>
    <row r="307" spans="1:13" x14ac:dyDescent="0.25">
      <c r="A307" s="288">
        <f>'A) Base RI'!A308</f>
        <v>5932</v>
      </c>
      <c r="B307" s="32" t="str">
        <f>'A) Base RI'!B308</f>
        <v>Ursins</v>
      </c>
      <c r="C307" s="286">
        <f>'B) D RI'!U308</f>
        <v>7703.3244000000022</v>
      </c>
      <c r="D307" s="32">
        <f>'B) D RI'!AA308</f>
        <v>228</v>
      </c>
      <c r="E307" s="198">
        <f t="shared" si="33"/>
        <v>33.786510526315801</v>
      </c>
      <c r="F307" s="354">
        <f t="shared" si="34"/>
        <v>0.69824225153938535</v>
      </c>
      <c r="G307" s="365">
        <f t="shared" si="35"/>
        <v>0</v>
      </c>
      <c r="H307" s="362">
        <f t="shared" si="36"/>
        <v>0</v>
      </c>
      <c r="I307" s="365">
        <f t="shared" si="37"/>
        <v>0</v>
      </c>
      <c r="J307" s="362">
        <f t="shared" si="38"/>
        <v>0</v>
      </c>
      <c r="K307" s="357">
        <f t="shared" si="39"/>
        <v>0</v>
      </c>
      <c r="L307" s="361">
        <f t="shared" si="40"/>
        <v>0</v>
      </c>
      <c r="M307" s="112">
        <f>L307*D307*'B) D RI'!S308</f>
        <v>0</v>
      </c>
    </row>
    <row r="308" spans="1:13" x14ac:dyDescent="0.25">
      <c r="A308" s="288">
        <f>'A) Base RI'!A309</f>
        <v>5933</v>
      </c>
      <c r="B308" s="32" t="str">
        <f>'A) Base RI'!B309</f>
        <v>Valeyres-sous-Montagny</v>
      </c>
      <c r="C308" s="286">
        <f>'B) D RI'!U309</f>
        <v>19607.073049645387</v>
      </c>
      <c r="D308" s="32">
        <f>'B) D RI'!AA309</f>
        <v>697</v>
      </c>
      <c r="E308" s="198">
        <f t="shared" si="33"/>
        <v>28.130664346693525</v>
      </c>
      <c r="F308" s="354">
        <f t="shared" si="34"/>
        <v>0.58135682273063172</v>
      </c>
      <c r="G308" s="365">
        <f t="shared" si="35"/>
        <v>0</v>
      </c>
      <c r="H308" s="362">
        <f t="shared" si="36"/>
        <v>0</v>
      </c>
      <c r="I308" s="365">
        <f t="shared" si="37"/>
        <v>0</v>
      </c>
      <c r="J308" s="362">
        <f t="shared" si="38"/>
        <v>0</v>
      </c>
      <c r="K308" s="357">
        <f t="shared" si="39"/>
        <v>0</v>
      </c>
      <c r="L308" s="361">
        <f t="shared" si="40"/>
        <v>0</v>
      </c>
      <c r="M308" s="112">
        <f>L308*D308*'B) D RI'!S309</f>
        <v>0</v>
      </c>
    </row>
    <row r="309" spans="1:13" x14ac:dyDescent="0.25">
      <c r="A309" s="288">
        <f>'A) Base RI'!A310</f>
        <v>5934</v>
      </c>
      <c r="B309" s="32" t="str">
        <f>'A) Base RI'!B310</f>
        <v>Valeyres-sous-Ursins</v>
      </c>
      <c r="C309" s="286">
        <f>'B) D RI'!U310</f>
        <v>7018.283636363637</v>
      </c>
      <c r="D309" s="32">
        <f>'B) D RI'!AA310</f>
        <v>247</v>
      </c>
      <c r="E309" s="198">
        <f t="shared" si="33"/>
        <v>28.414103790945898</v>
      </c>
      <c r="F309" s="354">
        <f t="shared" si="34"/>
        <v>0.58721446806443145</v>
      </c>
      <c r="G309" s="365">
        <f t="shared" si="35"/>
        <v>0</v>
      </c>
      <c r="H309" s="362">
        <f t="shared" si="36"/>
        <v>0</v>
      </c>
      <c r="I309" s="365">
        <f t="shared" si="37"/>
        <v>0</v>
      </c>
      <c r="J309" s="362">
        <f t="shared" si="38"/>
        <v>0</v>
      </c>
      <c r="K309" s="357">
        <f t="shared" si="39"/>
        <v>0</v>
      </c>
      <c r="L309" s="361">
        <f t="shared" si="40"/>
        <v>0</v>
      </c>
      <c r="M309" s="112">
        <f>L309*D309*'B) D RI'!S310</f>
        <v>0</v>
      </c>
    </row>
    <row r="310" spans="1:13" x14ac:dyDescent="0.25">
      <c r="A310" s="288">
        <f>'A) Base RI'!A311</f>
        <v>5935</v>
      </c>
      <c r="B310" s="32" t="str">
        <f>'A) Base RI'!B311</f>
        <v>Villars-Epeney</v>
      </c>
      <c r="C310" s="286">
        <f>'B) D RI'!U311</f>
        <v>3448.2304999999997</v>
      </c>
      <c r="D310" s="32">
        <f>'B) D RI'!AA311</f>
        <v>95</v>
      </c>
      <c r="E310" s="198">
        <f t="shared" si="33"/>
        <v>36.297163157894737</v>
      </c>
      <c r="F310" s="354">
        <f t="shared" si="34"/>
        <v>0.75012815863658433</v>
      </c>
      <c r="G310" s="365">
        <f t="shared" si="35"/>
        <v>0</v>
      </c>
      <c r="H310" s="362">
        <f t="shared" si="36"/>
        <v>0</v>
      </c>
      <c r="I310" s="365">
        <f t="shared" si="37"/>
        <v>0</v>
      </c>
      <c r="J310" s="362">
        <f t="shared" si="38"/>
        <v>0</v>
      </c>
      <c r="K310" s="357">
        <f t="shared" si="39"/>
        <v>0</v>
      </c>
      <c r="L310" s="361">
        <f t="shared" si="40"/>
        <v>0</v>
      </c>
      <c r="M310" s="112">
        <f>L310*D310*'B) D RI'!S311</f>
        <v>0</v>
      </c>
    </row>
    <row r="311" spans="1:13" x14ac:dyDescent="0.25">
      <c r="A311" s="288">
        <f>'A) Base RI'!A312</f>
        <v>5937</v>
      </c>
      <c r="B311" s="32" t="str">
        <f>'A) Base RI'!B312</f>
        <v>Vugelles-La Mothe</v>
      </c>
      <c r="C311" s="286">
        <f>'B) D RI'!U312</f>
        <v>3479.7743061224487</v>
      </c>
      <c r="D311" s="32">
        <f>'B) D RI'!AA312</f>
        <v>140</v>
      </c>
      <c r="E311" s="198">
        <f t="shared" si="33"/>
        <v>24.85553075801749</v>
      </c>
      <c r="F311" s="354">
        <f t="shared" si="34"/>
        <v>0.51367192081487345</v>
      </c>
      <c r="G311" s="365">
        <f t="shared" si="35"/>
        <v>0</v>
      </c>
      <c r="H311" s="362">
        <f t="shared" si="36"/>
        <v>0</v>
      </c>
      <c r="I311" s="365">
        <f t="shared" si="37"/>
        <v>0</v>
      </c>
      <c r="J311" s="362">
        <f t="shared" si="38"/>
        <v>0</v>
      </c>
      <c r="K311" s="357">
        <f t="shared" si="39"/>
        <v>0</v>
      </c>
      <c r="L311" s="361">
        <f t="shared" si="40"/>
        <v>0</v>
      </c>
      <c r="M311" s="112">
        <f>L311*D311*'B) D RI'!S312</f>
        <v>0</v>
      </c>
    </row>
    <row r="312" spans="1:13" x14ac:dyDescent="0.25">
      <c r="A312" s="288">
        <f>'A) Base RI'!A313</f>
        <v>5938</v>
      </c>
      <c r="B312" s="32" t="str">
        <f>'A) Base RI'!B313</f>
        <v>Yverdon-les-Bains</v>
      </c>
      <c r="C312" s="286">
        <f>'B) D RI'!U313</f>
        <v>762770.29813333345</v>
      </c>
      <c r="D312" s="32">
        <f>'B) D RI'!AA313</f>
        <v>29710</v>
      </c>
      <c r="E312" s="198">
        <f t="shared" si="33"/>
        <v>25.673857224279146</v>
      </c>
      <c r="F312" s="354">
        <f t="shared" si="34"/>
        <v>0.53058370322139803</v>
      </c>
      <c r="G312" s="365">
        <f t="shared" si="35"/>
        <v>0</v>
      </c>
      <c r="H312" s="362">
        <f t="shared" si="36"/>
        <v>0</v>
      </c>
      <c r="I312" s="365">
        <f t="shared" si="37"/>
        <v>0</v>
      </c>
      <c r="J312" s="362">
        <f t="shared" si="38"/>
        <v>0</v>
      </c>
      <c r="K312" s="357">
        <f t="shared" si="39"/>
        <v>0</v>
      </c>
      <c r="L312" s="361">
        <f t="shared" si="40"/>
        <v>0</v>
      </c>
      <c r="M312" s="112">
        <f>L312*D312*'B) D RI'!S313</f>
        <v>0</v>
      </c>
    </row>
    <row r="313" spans="1:13" x14ac:dyDescent="0.25">
      <c r="A313" s="288">
        <f>'A) Base RI'!A314</f>
        <v>5939</v>
      </c>
      <c r="B313" s="32" t="str">
        <f>'A) Base RI'!B314</f>
        <v>Yvonand</v>
      </c>
      <c r="C313" s="286">
        <f>'B) D RI'!U314</f>
        <v>105336.86867132869</v>
      </c>
      <c r="D313" s="32">
        <f>'B) D RI'!AA314</f>
        <v>3512</v>
      </c>
      <c r="E313" s="198">
        <f t="shared" si="33"/>
        <v>29.99341363078835</v>
      </c>
      <c r="F313" s="354">
        <f t="shared" si="34"/>
        <v>0.6198529631700741</v>
      </c>
      <c r="G313" s="366">
        <f t="shared" si="35"/>
        <v>0</v>
      </c>
      <c r="H313" s="362">
        <f t="shared" si="36"/>
        <v>0</v>
      </c>
      <c r="I313" s="366">
        <f t="shared" si="37"/>
        <v>0</v>
      </c>
      <c r="J313" s="362">
        <f t="shared" si="38"/>
        <v>0</v>
      </c>
      <c r="K313" s="358">
        <f t="shared" si="39"/>
        <v>0</v>
      </c>
      <c r="L313" s="367">
        <f t="shared" si="40"/>
        <v>0</v>
      </c>
      <c r="M313" s="112">
        <f>L313*D313*'B) D RI'!S314</f>
        <v>0</v>
      </c>
    </row>
    <row r="314" spans="1:13" x14ac:dyDescent="0.25">
      <c r="A314" s="7"/>
      <c r="B314" s="117">
        <f>COUNTA(B6:B313)</f>
        <v>308</v>
      </c>
      <c r="C314" s="287">
        <f>SUM(C6:C313)</f>
        <v>39865815.115802124</v>
      </c>
      <c r="D314" s="267">
        <f>SUM(D6:D313)</f>
        <v>823879</v>
      </c>
      <c r="E314" s="59">
        <f>C314/D314</f>
        <v>48.387949099081446</v>
      </c>
      <c r="F314" s="60">
        <v>1</v>
      </c>
      <c r="G314" s="30"/>
      <c r="H314" s="30"/>
      <c r="I314" s="30"/>
      <c r="J314" s="30"/>
      <c r="K314" s="30"/>
      <c r="L314" s="360"/>
      <c r="M314" s="37">
        <f>SUM(M6:M313)</f>
        <v>122886087.59365194</v>
      </c>
    </row>
    <row r="315" spans="1:13" x14ac:dyDescent="0.25">
      <c r="M315" s="6"/>
    </row>
    <row r="317" spans="1:13" x14ac:dyDescent="0.25">
      <c r="F317" s="15"/>
    </row>
    <row r="318" spans="1:13" x14ac:dyDescent="0.25">
      <c r="F318" s="15"/>
    </row>
    <row r="319" spans="1:13" x14ac:dyDescent="0.25">
      <c r="F319" s="15"/>
      <c r="G319" s="17"/>
      <c r="H319" s="17"/>
    </row>
    <row r="320" spans="1:13" x14ac:dyDescent="0.25">
      <c r="E320" s="28"/>
    </row>
  </sheetData>
  <mergeCells count="6">
    <mergeCell ref="A4:A5"/>
    <mergeCell ref="B4:B5"/>
    <mergeCell ref="F4:F5"/>
    <mergeCell ref="C4:E4"/>
    <mergeCell ref="M4:M5"/>
    <mergeCell ref="L4:L5"/>
  </mergeCells>
  <phoneticPr fontId="21"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tabColor rgb="FF00B050"/>
  </sheetPr>
  <dimension ref="A1:AG332"/>
  <sheetViews>
    <sheetView workbookViewId="0"/>
  </sheetViews>
  <sheetFormatPr baseColWidth="10" defaultColWidth="10.75" defaultRowHeight="15" x14ac:dyDescent="0.25"/>
  <cols>
    <col min="1" max="1" width="7.25" style="13" customWidth="1"/>
    <col min="2" max="2" width="18" style="13" customWidth="1"/>
    <col min="3" max="3" width="13.625" style="13" customWidth="1"/>
    <col min="4" max="4" width="12.75" style="13" customWidth="1"/>
    <col min="5" max="5" width="10.75" style="13" bestFit="1" customWidth="1"/>
    <col min="6" max="6" width="15.125" style="13" customWidth="1"/>
    <col min="7" max="7" width="12.125" style="13" customWidth="1"/>
    <col min="8" max="8" width="9.25" style="13" customWidth="1"/>
    <col min="9" max="10" width="12.125" style="13" customWidth="1"/>
    <col min="11" max="11" width="9.25" style="13" customWidth="1"/>
    <col min="12" max="12" width="13" style="13" bestFit="1" customWidth="1"/>
    <col min="13" max="13" width="12.125" style="13" customWidth="1"/>
    <col min="14" max="14" width="14" style="13" customWidth="1"/>
    <col min="15" max="20" width="12.125" style="13" customWidth="1"/>
    <col min="21" max="23" width="8.125" style="13" customWidth="1"/>
    <col min="24" max="31" width="11" style="13" customWidth="1"/>
    <col min="32" max="32" width="9.25" style="13" customWidth="1"/>
    <col min="33" max="33" width="11" style="13" customWidth="1"/>
    <col min="34" max="16384" width="10.75" style="13"/>
  </cols>
  <sheetData>
    <row r="1" spans="1:33" s="43" customFormat="1" ht="20.25" customHeight="1" x14ac:dyDescent="0.25">
      <c r="A1" s="51" t="s">
        <v>560</v>
      </c>
      <c r="B1" s="42"/>
      <c r="C1" s="68"/>
      <c r="D1" s="68"/>
      <c r="E1" s="68"/>
      <c r="F1" s="68"/>
      <c r="G1" s="68"/>
      <c r="H1" s="68"/>
      <c r="I1" s="68"/>
      <c r="J1" s="68"/>
      <c r="K1" s="13"/>
      <c r="L1" s="13"/>
      <c r="M1" s="68"/>
      <c r="N1" s="13"/>
      <c r="O1" s="13"/>
      <c r="P1" s="13"/>
      <c r="Q1" s="13"/>
      <c r="R1" s="13"/>
      <c r="S1" s="13"/>
      <c r="T1" s="13"/>
      <c r="U1" s="13"/>
      <c r="V1" s="13"/>
      <c r="W1" s="13"/>
      <c r="X1" s="13"/>
      <c r="Y1" s="13"/>
      <c r="Z1" s="13"/>
      <c r="AA1" s="13"/>
      <c r="AB1" s="13"/>
      <c r="AC1" s="13"/>
      <c r="AD1" s="13"/>
      <c r="AE1" s="13"/>
      <c r="AF1" s="13"/>
      <c r="AG1" s="13"/>
    </row>
    <row r="2" spans="1:33" s="43" customFormat="1" ht="20.25" customHeight="1" x14ac:dyDescent="0.25">
      <c r="A2" s="199">
        <f>Paramètres!B5</f>
        <v>2021</v>
      </c>
      <c r="B2" s="42"/>
      <c r="C2" s="397"/>
      <c r="D2" s="397"/>
      <c r="E2" s="397"/>
      <c r="F2" s="397"/>
      <c r="G2" s="397"/>
      <c r="H2" s="397"/>
      <c r="I2" s="397"/>
      <c r="J2" s="397"/>
      <c r="K2" s="393"/>
      <c r="L2" s="393"/>
      <c r="M2" s="397"/>
      <c r="N2" s="393"/>
      <c r="O2" s="393"/>
      <c r="P2" s="393"/>
      <c r="Q2" s="393"/>
      <c r="R2" s="393"/>
      <c r="S2" s="393"/>
      <c r="T2" s="393"/>
      <c r="U2" s="393"/>
      <c r="V2" s="393"/>
      <c r="W2" s="393"/>
      <c r="X2" s="393"/>
      <c r="Y2" s="393"/>
      <c r="Z2" s="393"/>
      <c r="AA2" s="393"/>
      <c r="AB2" s="393"/>
      <c r="AC2" s="393"/>
      <c r="AD2" s="393"/>
      <c r="AE2" s="393"/>
      <c r="AF2" s="393"/>
      <c r="AG2" s="393"/>
    </row>
    <row r="3" spans="1:33" s="53" customFormat="1" x14ac:dyDescent="0.25">
      <c r="A3" s="27"/>
      <c r="D3" s="13"/>
      <c r="E3" s="13"/>
      <c r="F3" s="13"/>
      <c r="G3" s="13"/>
      <c r="K3" s="13"/>
      <c r="L3" s="13"/>
      <c r="N3" s="13"/>
      <c r="O3" s="13"/>
      <c r="P3" s="13"/>
      <c r="Q3" s="13"/>
      <c r="R3" s="13"/>
      <c r="S3" s="13"/>
      <c r="T3" s="13"/>
      <c r="U3" s="13"/>
      <c r="V3" s="13"/>
      <c r="W3" s="13"/>
      <c r="X3" s="13"/>
      <c r="Y3" s="13"/>
      <c r="Z3" s="13"/>
      <c r="AA3" s="13"/>
      <c r="AB3" s="13"/>
      <c r="AC3" s="13"/>
      <c r="AD3" s="13"/>
      <c r="AE3" s="13"/>
      <c r="AF3" s="13"/>
      <c r="AG3" s="13"/>
    </row>
    <row r="4" spans="1:33" s="53" customFormat="1" x14ac:dyDescent="0.25">
      <c r="A4" s="603" t="s">
        <v>91</v>
      </c>
      <c r="B4" s="604"/>
      <c r="C4" s="605"/>
      <c r="D4" s="61" t="s">
        <v>511</v>
      </c>
      <c r="E4" s="64" t="s">
        <v>511</v>
      </c>
      <c r="F4" s="13"/>
      <c r="G4" s="13"/>
      <c r="K4" s="13"/>
      <c r="L4" s="13"/>
      <c r="N4" s="13"/>
      <c r="O4" s="13"/>
      <c r="P4" s="13"/>
      <c r="Q4" s="13"/>
      <c r="R4" s="13"/>
      <c r="S4" s="13"/>
      <c r="T4" s="13"/>
      <c r="U4" s="13"/>
      <c r="V4" s="13"/>
      <c r="W4" s="13"/>
      <c r="X4" s="13"/>
      <c r="Y4" s="13"/>
      <c r="Z4" s="13"/>
      <c r="AA4" s="13"/>
      <c r="AB4" s="13"/>
      <c r="AC4" s="13"/>
      <c r="AD4" s="13"/>
      <c r="AE4" s="13"/>
      <c r="AF4" s="13"/>
      <c r="AG4" s="13"/>
    </row>
    <row r="5" spans="1:33" s="53" customFormat="1" x14ac:dyDescent="0.25">
      <c r="A5" s="79" t="s">
        <v>392</v>
      </c>
      <c r="B5" s="80"/>
      <c r="C5" s="89">
        <f>+Paramètres!B52</f>
        <v>795342044</v>
      </c>
      <c r="D5" s="87">
        <f>C5/$E$5</f>
        <v>19.950477412532326</v>
      </c>
      <c r="E5" s="92">
        <f>+'D) Ecrêtage'!C314</f>
        <v>39865815.115802124</v>
      </c>
      <c r="F5" s="13"/>
      <c r="G5" s="13"/>
      <c r="K5" s="13"/>
      <c r="L5" s="359"/>
      <c r="N5" s="13"/>
      <c r="O5" s="13"/>
      <c r="P5" s="13"/>
      <c r="Q5" s="13"/>
      <c r="R5" s="13"/>
      <c r="S5" s="13"/>
      <c r="T5" s="13"/>
      <c r="U5" s="13"/>
      <c r="V5" s="13"/>
      <c r="W5" s="13"/>
      <c r="X5" s="13"/>
      <c r="Y5" s="13"/>
      <c r="Z5" s="13"/>
      <c r="AA5" s="13"/>
      <c r="AB5" s="13"/>
      <c r="AC5" s="13"/>
      <c r="AD5" s="13"/>
      <c r="AE5" s="13"/>
      <c r="AF5" s="13"/>
      <c r="AG5" s="13"/>
    </row>
    <row r="6" spans="1:33" s="53" customFormat="1" x14ac:dyDescent="0.25">
      <c r="A6" s="81" t="s">
        <v>362</v>
      </c>
      <c r="B6" s="82"/>
      <c r="C6" s="9">
        <f>-'C) Prél. conj.'!H314</f>
        <v>-186233702.24500003</v>
      </c>
      <c r="D6" s="33">
        <f>C6/$E$5</f>
        <v>-4.6715137193113652</v>
      </c>
      <c r="E6" s="72"/>
      <c r="F6" s="13"/>
      <c r="G6" s="13"/>
      <c r="K6" s="13"/>
      <c r="L6" s="13"/>
      <c r="N6" s="13"/>
      <c r="O6" s="13"/>
      <c r="P6" s="13"/>
      <c r="Q6" s="13"/>
      <c r="R6" s="13"/>
      <c r="S6" s="13"/>
      <c r="T6" s="13"/>
      <c r="U6" s="13"/>
      <c r="V6" s="13"/>
      <c r="W6" s="13"/>
      <c r="X6" s="13"/>
      <c r="Y6" s="13"/>
      <c r="Z6" s="13"/>
      <c r="AA6" s="13"/>
      <c r="AB6" s="13"/>
      <c r="AC6" s="13"/>
      <c r="AD6" s="13"/>
      <c r="AE6" s="13"/>
      <c r="AF6" s="13"/>
      <c r="AG6" s="13"/>
    </row>
    <row r="7" spans="1:33" s="53" customFormat="1" x14ac:dyDescent="0.25">
      <c r="A7" s="83" t="s">
        <v>363</v>
      </c>
      <c r="B7" s="84"/>
      <c r="C7" s="90">
        <f>-'D) Ecrêtage'!M314</f>
        <v>-122886087.59365194</v>
      </c>
      <c r="D7" s="33">
        <f>C7/$E$5</f>
        <v>-3.0824927882872259</v>
      </c>
      <c r="E7" s="72"/>
      <c r="F7" s="13"/>
      <c r="G7" s="13"/>
      <c r="K7" s="13"/>
      <c r="L7" s="13"/>
      <c r="N7" s="13"/>
      <c r="O7" s="13"/>
      <c r="P7" s="13"/>
      <c r="Q7" s="13"/>
      <c r="R7" s="13"/>
      <c r="S7" s="13"/>
      <c r="T7" s="13"/>
      <c r="U7" s="13"/>
      <c r="V7" s="13"/>
      <c r="W7" s="13"/>
      <c r="X7" s="13"/>
      <c r="Y7" s="13"/>
      <c r="Z7" s="13"/>
      <c r="AA7" s="13"/>
      <c r="AB7" s="13"/>
      <c r="AC7" s="13"/>
      <c r="AD7" s="13"/>
      <c r="AE7" s="13"/>
      <c r="AF7" s="13"/>
      <c r="AG7" s="13"/>
    </row>
    <row r="8" spans="1:33" s="53" customFormat="1" x14ac:dyDescent="0.25">
      <c r="A8" s="75" t="s">
        <v>282</v>
      </c>
      <c r="B8" s="77"/>
      <c r="C8" s="91">
        <f>C5+C7+C6</f>
        <v>486222254.1613481</v>
      </c>
      <c r="D8" s="19">
        <f>C8/$E$5</f>
        <v>12.196470904933735</v>
      </c>
      <c r="E8" s="72"/>
      <c r="F8" s="13"/>
      <c r="G8" s="13"/>
      <c r="K8" s="13"/>
      <c r="L8" s="13"/>
      <c r="N8" s="13"/>
      <c r="O8" s="13"/>
      <c r="P8" s="13"/>
      <c r="Q8" s="13"/>
      <c r="R8" s="13"/>
      <c r="S8" s="13"/>
      <c r="T8" s="13"/>
      <c r="U8" s="13"/>
      <c r="V8" s="13"/>
      <c r="W8" s="13"/>
      <c r="X8" s="13"/>
      <c r="Y8" s="13"/>
      <c r="Z8" s="13"/>
      <c r="AA8" s="13"/>
      <c r="AB8" s="13"/>
      <c r="AC8" s="13"/>
      <c r="AD8" s="13"/>
      <c r="AE8" s="13"/>
      <c r="AF8" s="13"/>
      <c r="AG8" s="13"/>
    </row>
    <row r="9" spans="1:33" s="53" customFormat="1" x14ac:dyDescent="0.25">
      <c r="A9" s="27"/>
      <c r="D9" s="13"/>
      <c r="E9" s="13"/>
      <c r="F9" s="13"/>
      <c r="G9" s="13"/>
      <c r="K9" s="13"/>
      <c r="L9" s="13"/>
      <c r="N9" s="13"/>
      <c r="O9" s="13"/>
      <c r="P9" s="13"/>
      <c r="Q9" s="13"/>
      <c r="R9" s="13"/>
      <c r="S9" s="13"/>
      <c r="T9" s="13"/>
      <c r="U9" s="13"/>
      <c r="V9" s="13"/>
      <c r="W9" s="13"/>
      <c r="X9" s="13"/>
      <c r="Y9" s="13"/>
      <c r="Z9" s="13"/>
      <c r="AA9" s="13"/>
      <c r="AB9" s="13"/>
      <c r="AC9" s="13"/>
      <c r="AD9" s="13"/>
      <c r="AE9" s="13"/>
      <c r="AF9" s="13"/>
      <c r="AG9" s="13"/>
    </row>
    <row r="10" spans="1:33" ht="38.25" customHeight="1" x14ac:dyDescent="0.25">
      <c r="A10" s="592" t="s">
        <v>46</v>
      </c>
      <c r="B10" s="592" t="s">
        <v>94</v>
      </c>
      <c r="C10" s="592" t="s">
        <v>296</v>
      </c>
      <c r="D10" s="592" t="s">
        <v>419</v>
      </c>
      <c r="E10" s="608" t="s">
        <v>455</v>
      </c>
      <c r="F10" s="278" t="s">
        <v>510</v>
      </c>
      <c r="G10" s="606" t="s">
        <v>555</v>
      </c>
    </row>
    <row r="11" spans="1:33" x14ac:dyDescent="0.25">
      <c r="A11" s="594"/>
      <c r="B11" s="594"/>
      <c r="C11" s="594"/>
      <c r="D11" s="594"/>
      <c r="E11" s="609"/>
      <c r="F11" s="292">
        <f>D8</f>
        <v>12.196470904933735</v>
      </c>
      <c r="G11" s="607"/>
    </row>
    <row r="12" spans="1:33" x14ac:dyDescent="0.25">
      <c r="A12" s="49">
        <f>'A) Base RI'!A7</f>
        <v>5401</v>
      </c>
      <c r="B12" s="284" t="str">
        <f>'A) Base RI'!B7</f>
        <v>Aigle</v>
      </c>
      <c r="C12" s="10">
        <f>'A) Base RI'!V7</f>
        <v>10828</v>
      </c>
      <c r="D12" s="14">
        <f>'C) Prél. conj.'!H6</f>
        <v>1461504.595</v>
      </c>
      <c r="E12" s="10">
        <f>'D) Ecrêtage'!M6</f>
        <v>0</v>
      </c>
      <c r="F12" s="14">
        <f>$F$11*'D) Ecrêtage'!C6</f>
        <v>3427104.2295631478</v>
      </c>
      <c r="G12" s="55">
        <f>D12+F12+E12</f>
        <v>4888608.8245631475</v>
      </c>
      <c r="I12" s="36"/>
      <c r="J12" s="390"/>
    </row>
    <row r="13" spans="1:33" x14ac:dyDescent="0.25">
      <c r="A13" s="49">
        <f>'A) Base RI'!A8</f>
        <v>5402</v>
      </c>
      <c r="B13" s="284" t="str">
        <f>'A) Base RI'!B8</f>
        <v>Bex</v>
      </c>
      <c r="C13" s="10">
        <f>'A) Base RI'!V8</f>
        <v>8063</v>
      </c>
      <c r="D13" s="423">
        <f>'C) Prél. conj.'!H7</f>
        <v>901214.87</v>
      </c>
      <c r="E13" s="10">
        <f>'D) Ecrêtage'!M7</f>
        <v>0</v>
      </c>
      <c r="F13" s="423">
        <f>$F$11*'D) Ecrêtage'!C7</f>
        <v>2350345.0850545242</v>
      </c>
      <c r="G13" s="55">
        <f t="shared" ref="G13:G76" si="0">D13+F13+E13</f>
        <v>3251559.9550545244</v>
      </c>
      <c r="I13" s="36"/>
      <c r="J13" s="390"/>
    </row>
    <row r="14" spans="1:33" x14ac:dyDescent="0.25">
      <c r="A14" s="49">
        <f>'A) Base RI'!A9</f>
        <v>5403</v>
      </c>
      <c r="B14" s="284" t="str">
        <f>'A) Base RI'!B9</f>
        <v>Chessel</v>
      </c>
      <c r="C14" s="10">
        <f>'A) Base RI'!V9</f>
        <v>497</v>
      </c>
      <c r="D14" s="423">
        <f>'C) Prél. conj.'!H8</f>
        <v>40554.074999999997</v>
      </c>
      <c r="E14" s="10">
        <f>'D) Ecrêtage'!M8</f>
        <v>0</v>
      </c>
      <c r="F14" s="423">
        <f>$F$11*'D) Ecrêtage'!C8</f>
        <v>147459.39103948235</v>
      </c>
      <c r="G14" s="55">
        <f t="shared" si="0"/>
        <v>188013.46603948233</v>
      </c>
      <c r="I14" s="36"/>
      <c r="J14" s="390"/>
    </row>
    <row r="15" spans="1:33" x14ac:dyDescent="0.25">
      <c r="A15" s="49">
        <f>'A) Base RI'!A10</f>
        <v>5404</v>
      </c>
      <c r="B15" s="284" t="str">
        <f>'A) Base RI'!B10</f>
        <v>Corbeyrier</v>
      </c>
      <c r="C15" s="10">
        <f>'A) Base RI'!V10</f>
        <v>439</v>
      </c>
      <c r="D15" s="423">
        <f>'C) Prél. conj.'!H9</f>
        <v>54748.78</v>
      </c>
      <c r="E15" s="10">
        <f>'D) Ecrêtage'!M9</f>
        <v>0</v>
      </c>
      <c r="F15" s="423">
        <f>$F$11*'D) Ecrêtage'!C9</f>
        <v>141248.77829300048</v>
      </c>
      <c r="G15" s="55">
        <f t="shared" si="0"/>
        <v>195997.55829300047</v>
      </c>
      <c r="I15" s="36"/>
      <c r="J15" s="390"/>
    </row>
    <row r="16" spans="1:33" x14ac:dyDescent="0.25">
      <c r="A16" s="49">
        <f>'A) Base RI'!A11</f>
        <v>5405</v>
      </c>
      <c r="B16" s="284" t="str">
        <f>'A) Base RI'!B11</f>
        <v>Gryon</v>
      </c>
      <c r="C16" s="10">
        <f>'A) Base RI'!V11</f>
        <v>1382</v>
      </c>
      <c r="D16" s="423">
        <f>'C) Prél. conj.'!H10</f>
        <v>727966.4</v>
      </c>
      <c r="E16" s="10">
        <f>'D) Ecrêtage'!M10</f>
        <v>165213.14487252088</v>
      </c>
      <c r="F16" s="423">
        <f>$F$11*'D) Ecrêtage'!C10</f>
        <v>952680.18662338902</v>
      </c>
      <c r="G16" s="55">
        <f t="shared" si="0"/>
        <v>1845859.7314959099</v>
      </c>
      <c r="I16" s="36"/>
      <c r="J16" s="390"/>
    </row>
    <row r="17" spans="1:10" x14ac:dyDescent="0.25">
      <c r="A17" s="49">
        <f>'A) Base RI'!A12</f>
        <v>5406</v>
      </c>
      <c r="B17" s="284" t="str">
        <f>'A) Base RI'!B12</f>
        <v>Lavey-Morcles</v>
      </c>
      <c r="C17" s="10">
        <f>'A) Base RI'!V12</f>
        <v>966</v>
      </c>
      <c r="D17" s="423">
        <f>'C) Prél. conj.'!H11</f>
        <v>50582.71</v>
      </c>
      <c r="E17" s="10">
        <f>'D) Ecrêtage'!M11</f>
        <v>0</v>
      </c>
      <c r="F17" s="423">
        <f>$F$11*'D) Ecrêtage'!C11</f>
        <v>262392.70632070658</v>
      </c>
      <c r="G17" s="55">
        <f t="shared" si="0"/>
        <v>312975.4163207066</v>
      </c>
      <c r="I17" s="36"/>
      <c r="J17" s="390"/>
    </row>
    <row r="18" spans="1:10" x14ac:dyDescent="0.25">
      <c r="A18" s="49">
        <f>'A) Base RI'!A13</f>
        <v>5407</v>
      </c>
      <c r="B18" s="284" t="str">
        <f>'A) Base RI'!B13</f>
        <v>Leysin</v>
      </c>
      <c r="C18" s="10">
        <f>'A) Base RI'!V13</f>
        <v>3637</v>
      </c>
      <c r="D18" s="423">
        <f>'C) Prél. conj.'!H12</f>
        <v>576848.67499999993</v>
      </c>
      <c r="E18" s="10">
        <f>'D) Ecrêtage'!M12</f>
        <v>0</v>
      </c>
      <c r="F18" s="423">
        <f>$F$11*'D) Ecrêtage'!C12</f>
        <v>1106066.7697912103</v>
      </c>
      <c r="G18" s="55">
        <f t="shared" si="0"/>
        <v>1682915.4447912103</v>
      </c>
      <c r="I18" s="36"/>
      <c r="J18" s="390"/>
    </row>
    <row r="19" spans="1:10" x14ac:dyDescent="0.25">
      <c r="A19" s="49">
        <f>'A) Base RI'!A14</f>
        <v>5408</v>
      </c>
      <c r="B19" s="284" t="str">
        <f>'A) Base RI'!B14</f>
        <v>Noville</v>
      </c>
      <c r="C19" s="10">
        <f>'A) Base RI'!V14</f>
        <v>1169</v>
      </c>
      <c r="D19" s="423">
        <f>'C) Prél. conj.'!H13</f>
        <v>264284.09999999998</v>
      </c>
      <c r="E19" s="10">
        <f>'D) Ecrêtage'!M13</f>
        <v>0</v>
      </c>
      <c r="F19" s="423">
        <f>$F$11*'D) Ecrêtage'!C13</f>
        <v>504805.13284110551</v>
      </c>
      <c r="G19" s="55">
        <f t="shared" si="0"/>
        <v>769089.23284110543</v>
      </c>
    </row>
    <row r="20" spans="1:10" x14ac:dyDescent="0.25">
      <c r="A20" s="49">
        <f>'A) Base RI'!A15</f>
        <v>5409</v>
      </c>
      <c r="B20" s="284" t="str">
        <f>'A) Base RI'!B15</f>
        <v>Ollon</v>
      </c>
      <c r="C20" s="10">
        <f>'A) Base RI'!V15</f>
        <v>7904</v>
      </c>
      <c r="D20" s="423">
        <f>'C) Prél. conj.'!H14</f>
        <v>3933030.0150000001</v>
      </c>
      <c r="E20" s="10">
        <f>'D) Ecrêtage'!M14</f>
        <v>622942.71051754546</v>
      </c>
      <c r="F20" s="423">
        <f>$F$11*'D) Ecrêtage'!C14</f>
        <v>5223296.7404067628</v>
      </c>
      <c r="G20" s="55">
        <f t="shared" si="0"/>
        <v>9779269.4659243096</v>
      </c>
    </row>
    <row r="21" spans="1:10" x14ac:dyDescent="0.25">
      <c r="A21" s="49">
        <f>'A) Base RI'!A16</f>
        <v>5410</v>
      </c>
      <c r="B21" s="284" t="str">
        <f>'A) Base RI'!B16</f>
        <v>Ormont-Dessous</v>
      </c>
      <c r="C21" s="10">
        <f>'A) Base RI'!V16</f>
        <v>1162</v>
      </c>
      <c r="D21" s="423">
        <f>'C) Prél. conj.'!H15</f>
        <v>329089.40000000002</v>
      </c>
      <c r="E21" s="10">
        <f>'D) Ecrêtage'!M15</f>
        <v>0</v>
      </c>
      <c r="F21" s="423">
        <f>$F$11*'D) Ecrêtage'!C15</f>
        <v>470958.77252856904</v>
      </c>
      <c r="G21" s="55">
        <f t="shared" si="0"/>
        <v>800048.17252856912</v>
      </c>
    </row>
    <row r="22" spans="1:10" x14ac:dyDescent="0.25">
      <c r="A22" s="49">
        <f>'A) Base RI'!A17</f>
        <v>5411</v>
      </c>
      <c r="B22" s="284" t="str">
        <f>'A) Base RI'!B17</f>
        <v>Ormont-Dessus</v>
      </c>
      <c r="C22" s="10">
        <f>'A) Base RI'!V17</f>
        <v>1451</v>
      </c>
      <c r="D22" s="423">
        <f>'C) Prél. conj.'!H16</f>
        <v>515396.38500000001</v>
      </c>
      <c r="E22" s="10">
        <f>'D) Ecrêtage'!M16</f>
        <v>109447.55569660565</v>
      </c>
      <c r="F22" s="423">
        <f>$F$11*'D) Ecrêtage'!C16</f>
        <v>944146.02475301863</v>
      </c>
      <c r="G22" s="55">
        <f t="shared" si="0"/>
        <v>1568989.9654496242</v>
      </c>
    </row>
    <row r="23" spans="1:10" x14ac:dyDescent="0.25">
      <c r="A23" s="49">
        <f>'A) Base RI'!A18</f>
        <v>5412</v>
      </c>
      <c r="B23" s="284" t="str">
        <f>'A) Base RI'!B18</f>
        <v>Rennaz</v>
      </c>
      <c r="C23" s="10">
        <f>'A) Base RI'!V18</f>
        <v>883</v>
      </c>
      <c r="D23" s="423">
        <f>'C) Prél. conj.'!H17</f>
        <v>343225.18</v>
      </c>
      <c r="E23" s="10">
        <f>'D) Ecrêtage'!M17</f>
        <v>0</v>
      </c>
      <c r="F23" s="423">
        <f>$F$11*'D) Ecrêtage'!C17</f>
        <v>352185.28678044863</v>
      </c>
      <c r="G23" s="55">
        <f t="shared" si="0"/>
        <v>695410.46678044857</v>
      </c>
    </row>
    <row r="24" spans="1:10" x14ac:dyDescent="0.25">
      <c r="A24" s="49">
        <f>'A) Base RI'!A19</f>
        <v>5413</v>
      </c>
      <c r="B24" s="284" t="str">
        <f>'A) Base RI'!B19</f>
        <v>Roche</v>
      </c>
      <c r="C24" s="10">
        <f>'A) Base RI'!V19</f>
        <v>1874</v>
      </c>
      <c r="D24" s="423">
        <f>'C) Prél. conj.'!H18</f>
        <v>501203.935</v>
      </c>
      <c r="E24" s="10">
        <f>'D) Ecrêtage'!M18</f>
        <v>0</v>
      </c>
      <c r="F24" s="423">
        <f>$F$11*'D) Ecrêtage'!C18</f>
        <v>526259.92794595798</v>
      </c>
      <c r="G24" s="55">
        <f t="shared" si="0"/>
        <v>1027463.862945958</v>
      </c>
    </row>
    <row r="25" spans="1:10" x14ac:dyDescent="0.25">
      <c r="A25" s="49">
        <f>'A) Base RI'!A20</f>
        <v>5414</v>
      </c>
      <c r="B25" s="284" t="str">
        <f>'A) Base RI'!B20</f>
        <v>Villeneuve</v>
      </c>
      <c r="C25" s="10">
        <f>'A) Base RI'!V20</f>
        <v>5921</v>
      </c>
      <c r="D25" s="423">
        <f>'C) Prél. conj.'!H19</f>
        <v>1291678.075</v>
      </c>
      <c r="E25" s="10">
        <f>'D) Ecrêtage'!M19</f>
        <v>0</v>
      </c>
      <c r="F25" s="423">
        <f>$F$11*'D) Ecrêtage'!C19</f>
        <v>2265033.5307216947</v>
      </c>
      <c r="G25" s="55">
        <f t="shared" si="0"/>
        <v>3556711.6057216944</v>
      </c>
    </row>
    <row r="26" spans="1:10" x14ac:dyDescent="0.25">
      <c r="A26" s="49">
        <f>'A) Base RI'!A21</f>
        <v>5415</v>
      </c>
      <c r="B26" s="284" t="str">
        <f>'A) Base RI'!B21</f>
        <v>Yvorne</v>
      </c>
      <c r="C26" s="10">
        <f>'A) Base RI'!V21</f>
        <v>1038</v>
      </c>
      <c r="D26" s="423">
        <f>'C) Prél. conj.'!H20</f>
        <v>283847.30499999999</v>
      </c>
      <c r="E26" s="10">
        <f>'D) Ecrêtage'!M20</f>
        <v>0</v>
      </c>
      <c r="F26" s="423">
        <f>$F$11*'D) Ecrêtage'!C20</f>
        <v>437978.61981901887</v>
      </c>
      <c r="G26" s="55">
        <f t="shared" si="0"/>
        <v>721825.92481901892</v>
      </c>
    </row>
    <row r="27" spans="1:10" x14ac:dyDescent="0.25">
      <c r="A27" s="49">
        <f>'A) Base RI'!A22</f>
        <v>5421</v>
      </c>
      <c r="B27" s="284" t="str">
        <f>'A) Base RI'!B22</f>
        <v>Apples</v>
      </c>
      <c r="C27" s="10">
        <f>'A) Base RI'!V22</f>
        <v>1469</v>
      </c>
      <c r="D27" s="423">
        <f>'C) Prél. conj.'!H21</f>
        <v>426321.34500000003</v>
      </c>
      <c r="E27" s="10">
        <f>'D) Ecrêtage'!M21</f>
        <v>0</v>
      </c>
      <c r="F27" s="423">
        <f>$F$11*'D) Ecrêtage'!C21</f>
        <v>835844.25386586948</v>
      </c>
      <c r="G27" s="55">
        <f t="shared" si="0"/>
        <v>1262165.5988658695</v>
      </c>
    </row>
    <row r="28" spans="1:10" x14ac:dyDescent="0.25">
      <c r="A28" s="49">
        <f>'A) Base RI'!A23</f>
        <v>5422</v>
      </c>
      <c r="B28" s="284" t="str">
        <f>'A) Base RI'!B23</f>
        <v>Aubonne</v>
      </c>
      <c r="C28" s="10">
        <f>'A) Base RI'!V23</f>
        <v>3781</v>
      </c>
      <c r="D28" s="423">
        <f>'C) Prél. conj.'!H22</f>
        <v>1020498.6950000001</v>
      </c>
      <c r="E28" s="10">
        <f>'D) Ecrêtage'!M22</f>
        <v>4192567.4906146727</v>
      </c>
      <c r="F28" s="423">
        <f>$F$11*'D) Ecrêtage'!C22</f>
        <v>4448132.0331431516</v>
      </c>
      <c r="G28" s="55">
        <f t="shared" si="0"/>
        <v>9661198.218757825</v>
      </c>
    </row>
    <row r="29" spans="1:10" x14ac:dyDescent="0.25">
      <c r="A29" s="49">
        <f>'A) Base RI'!A24</f>
        <v>5423</v>
      </c>
      <c r="B29" s="284" t="str">
        <f>'A) Base RI'!B24</f>
        <v>Ballens</v>
      </c>
      <c r="C29" s="10">
        <f>'A) Base RI'!V24</f>
        <v>567</v>
      </c>
      <c r="D29" s="423">
        <f>'C) Prél. conj.'!H23</f>
        <v>80051.03</v>
      </c>
      <c r="E29" s="10">
        <f>'D) Ecrêtage'!M23</f>
        <v>0</v>
      </c>
      <c r="F29" s="423">
        <f>$F$11*'D) Ecrêtage'!C23</f>
        <v>197515.01962319392</v>
      </c>
      <c r="G29" s="55">
        <f t="shared" si="0"/>
        <v>277566.04962319392</v>
      </c>
    </row>
    <row r="30" spans="1:10" x14ac:dyDescent="0.25">
      <c r="A30" s="49">
        <f>'A) Base RI'!A25</f>
        <v>5424</v>
      </c>
      <c r="B30" s="284" t="str">
        <f>'A) Base RI'!B25</f>
        <v>Berolle</v>
      </c>
      <c r="C30" s="10">
        <f>'A) Base RI'!V25</f>
        <v>308</v>
      </c>
      <c r="D30" s="423">
        <f>'C) Prél. conj.'!H24</f>
        <v>15784.475</v>
      </c>
      <c r="E30" s="10">
        <f>'D) Ecrêtage'!M24</f>
        <v>0</v>
      </c>
      <c r="F30" s="423">
        <f>$F$11*'D) Ecrêtage'!C24</f>
        <v>101253.49733413621</v>
      </c>
      <c r="G30" s="55">
        <f t="shared" si="0"/>
        <v>117037.97233413621</v>
      </c>
    </row>
    <row r="31" spans="1:10" x14ac:dyDescent="0.25">
      <c r="A31" s="49">
        <f>'A) Base RI'!A26</f>
        <v>5425</v>
      </c>
      <c r="B31" s="284" t="str">
        <f>'A) Base RI'!B26</f>
        <v>Bière</v>
      </c>
      <c r="C31" s="10">
        <f>'A) Base RI'!V26</f>
        <v>1634</v>
      </c>
      <c r="D31" s="423">
        <f>'C) Prél. conj.'!H25</f>
        <v>163090.065</v>
      </c>
      <c r="E31" s="10">
        <f>'D) Ecrêtage'!M25</f>
        <v>0</v>
      </c>
      <c r="F31" s="423">
        <f>$F$11*'D) Ecrêtage'!C25</f>
        <v>539455.98356466892</v>
      </c>
      <c r="G31" s="55">
        <f t="shared" si="0"/>
        <v>702546.04856466898</v>
      </c>
    </row>
    <row r="32" spans="1:10" x14ac:dyDescent="0.25">
      <c r="A32" s="49">
        <f>'A) Base RI'!A27</f>
        <v>5426</v>
      </c>
      <c r="B32" s="284" t="str">
        <f>'A) Base RI'!B27</f>
        <v>Bougy-Villars</v>
      </c>
      <c r="C32" s="10">
        <f>'A) Base RI'!V27</f>
        <v>497</v>
      </c>
      <c r="D32" s="423">
        <f>'C) Prél. conj.'!H26</f>
        <v>1107778.415</v>
      </c>
      <c r="E32" s="10">
        <f>'D) Ecrêtage'!M26</f>
        <v>671390.56466921465</v>
      </c>
      <c r="F32" s="423">
        <f>$F$11*'D) Ecrêtage'!C26</f>
        <v>646946.16844504012</v>
      </c>
      <c r="G32" s="55">
        <f t="shared" si="0"/>
        <v>2426115.1481142547</v>
      </c>
    </row>
    <row r="33" spans="1:7" x14ac:dyDescent="0.25">
      <c r="A33" s="49">
        <f>'A) Base RI'!A28</f>
        <v>5427</v>
      </c>
      <c r="B33" s="284" t="str">
        <f>'A) Base RI'!B28</f>
        <v>Féchy</v>
      </c>
      <c r="C33" s="10">
        <f>'A) Base RI'!V28</f>
        <v>893</v>
      </c>
      <c r="D33" s="423">
        <f>'C) Prél. conj.'!H27</f>
        <v>216669.14500000002</v>
      </c>
      <c r="E33" s="10">
        <f>'D) Ecrêtage'!M27</f>
        <v>970026.74940059846</v>
      </c>
      <c r="F33" s="423">
        <f>$F$11*'D) Ecrêtage'!C27</f>
        <v>1075915.6272873019</v>
      </c>
      <c r="G33" s="55">
        <f t="shared" si="0"/>
        <v>2262611.5216879006</v>
      </c>
    </row>
    <row r="34" spans="1:7" x14ac:dyDescent="0.25">
      <c r="A34" s="49">
        <f>'A) Base RI'!A29</f>
        <v>5428</v>
      </c>
      <c r="B34" s="284" t="str">
        <f>'A) Base RI'!B29</f>
        <v>Gimel</v>
      </c>
      <c r="C34" s="10">
        <f>'A) Base RI'!V29</f>
        <v>2402</v>
      </c>
      <c r="D34" s="423">
        <f>'C) Prél. conj.'!H28</f>
        <v>420157.20999999996</v>
      </c>
      <c r="E34" s="10">
        <f>'D) Ecrêtage'!M28</f>
        <v>0</v>
      </c>
      <c r="F34" s="423">
        <f>$F$11*'D) Ecrêtage'!C28</f>
        <v>860567.11799736286</v>
      </c>
      <c r="G34" s="55">
        <f t="shared" si="0"/>
        <v>1280724.3279973627</v>
      </c>
    </row>
    <row r="35" spans="1:7" x14ac:dyDescent="0.25">
      <c r="A35" s="49">
        <f>'A) Base RI'!A30</f>
        <v>5429</v>
      </c>
      <c r="B35" s="284" t="str">
        <f>'A) Base RI'!B30</f>
        <v>Longirod</v>
      </c>
      <c r="C35" s="10">
        <f>'A) Base RI'!V30</f>
        <v>520</v>
      </c>
      <c r="D35" s="423">
        <f>'C) Prél. conj.'!H29</f>
        <v>94808.294999999998</v>
      </c>
      <c r="E35" s="10">
        <f>'D) Ecrêtage'!M29</f>
        <v>0</v>
      </c>
      <c r="F35" s="423">
        <f>$F$11*'D) Ecrêtage'!C29</f>
        <v>226542.76811430274</v>
      </c>
      <c r="G35" s="55">
        <f t="shared" si="0"/>
        <v>321351.06311430276</v>
      </c>
    </row>
    <row r="36" spans="1:7" x14ac:dyDescent="0.25">
      <c r="A36" s="49">
        <f>'A) Base RI'!A31</f>
        <v>5430</v>
      </c>
      <c r="B36" s="284" t="str">
        <f>'A) Base RI'!B31</f>
        <v>Marchissy</v>
      </c>
      <c r="C36" s="10">
        <f>'A) Base RI'!V31</f>
        <v>485</v>
      </c>
      <c r="D36" s="423">
        <f>'C) Prél. conj.'!H30</f>
        <v>47785.535000000003</v>
      </c>
      <c r="E36" s="10">
        <f>'D) Ecrêtage'!M30</f>
        <v>0</v>
      </c>
      <c r="F36" s="423">
        <f>$F$11*'D) Ecrêtage'!C30</f>
        <v>190032.98812521264</v>
      </c>
      <c r="G36" s="55">
        <f t="shared" si="0"/>
        <v>237818.52312521264</v>
      </c>
    </row>
    <row r="37" spans="1:7" x14ac:dyDescent="0.25">
      <c r="A37" s="49">
        <f>'A) Base RI'!A32</f>
        <v>5431</v>
      </c>
      <c r="B37" s="284" t="str">
        <f>'A) Base RI'!B32</f>
        <v>Mollens</v>
      </c>
      <c r="C37" s="10">
        <f>'A) Base RI'!V32</f>
        <v>319</v>
      </c>
      <c r="D37" s="423">
        <f>'C) Prél. conj.'!H31</f>
        <v>17167.309999999998</v>
      </c>
      <c r="E37" s="10">
        <f>'D) Ecrêtage'!M31</f>
        <v>0</v>
      </c>
      <c r="F37" s="423">
        <f>$F$11*'D) Ecrêtage'!C31</f>
        <v>127635.73344126751</v>
      </c>
      <c r="G37" s="55">
        <f t="shared" si="0"/>
        <v>144803.04344126751</v>
      </c>
    </row>
    <row r="38" spans="1:7" x14ac:dyDescent="0.25">
      <c r="A38" s="49">
        <f>'A) Base RI'!A33</f>
        <v>5434</v>
      </c>
      <c r="B38" s="284" t="str">
        <f>'A) Base RI'!B33</f>
        <v>Saint-George</v>
      </c>
      <c r="C38" s="10">
        <f>'A) Base RI'!V33</f>
        <v>1072</v>
      </c>
      <c r="D38" s="423">
        <f>'C) Prél. conj.'!H32</f>
        <v>142668.755</v>
      </c>
      <c r="E38" s="10">
        <f>'D) Ecrêtage'!M32</f>
        <v>0</v>
      </c>
      <c r="F38" s="423">
        <f>$F$11*'D) Ecrêtage'!C32</f>
        <v>531092.25830377149</v>
      </c>
      <c r="G38" s="55">
        <f t="shared" si="0"/>
        <v>673761.0133037715</v>
      </c>
    </row>
    <row r="39" spans="1:7" x14ac:dyDescent="0.25">
      <c r="A39" s="49">
        <f>'A) Base RI'!A34</f>
        <v>5435</v>
      </c>
      <c r="B39" s="284" t="str">
        <f>'A) Base RI'!B34</f>
        <v>Saint-Livres</v>
      </c>
      <c r="C39" s="10">
        <f>'A) Base RI'!V34</f>
        <v>674</v>
      </c>
      <c r="D39" s="423">
        <f>'C) Prél. conj.'!H33</f>
        <v>136982.72500000001</v>
      </c>
      <c r="E39" s="10">
        <f>'D) Ecrêtage'!M33</f>
        <v>0</v>
      </c>
      <c r="F39" s="423">
        <f>$F$11*'D) Ecrêtage'!C33</f>
        <v>315331.33791453287</v>
      </c>
      <c r="G39" s="55">
        <f t="shared" si="0"/>
        <v>452314.06291453284</v>
      </c>
    </row>
    <row r="40" spans="1:7" x14ac:dyDescent="0.25">
      <c r="A40" s="49">
        <f>'A) Base RI'!A35</f>
        <v>5436</v>
      </c>
      <c r="B40" s="284" t="str">
        <f>'A) Base RI'!B35</f>
        <v>Saint-Oyens</v>
      </c>
      <c r="C40" s="10">
        <f>'A) Base RI'!V35</f>
        <v>458</v>
      </c>
      <c r="D40" s="423">
        <f>'C) Prél. conj.'!H34</f>
        <v>75821</v>
      </c>
      <c r="E40" s="10">
        <f>'D) Ecrêtage'!M34</f>
        <v>0</v>
      </c>
      <c r="F40" s="423">
        <f>$F$11*'D) Ecrêtage'!C34</f>
        <v>205734.21350731849</v>
      </c>
      <c r="G40" s="55">
        <f t="shared" si="0"/>
        <v>281555.21350731852</v>
      </c>
    </row>
    <row r="41" spans="1:7" x14ac:dyDescent="0.25">
      <c r="A41" s="49">
        <f>'A) Base RI'!A36</f>
        <v>5437</v>
      </c>
      <c r="B41" s="284" t="str">
        <f>'A) Base RI'!B36</f>
        <v>Saubraz</v>
      </c>
      <c r="C41" s="10">
        <f>'A) Base RI'!V36</f>
        <v>444</v>
      </c>
      <c r="D41" s="423">
        <f>'C) Prél. conj.'!H35</f>
        <v>158530.1</v>
      </c>
      <c r="E41" s="10">
        <f>'D) Ecrêtage'!M35</f>
        <v>0</v>
      </c>
      <c r="F41" s="423">
        <f>$F$11*'D) Ecrêtage'!C35</f>
        <v>165283.61453490864</v>
      </c>
      <c r="G41" s="55">
        <f t="shared" si="0"/>
        <v>323813.71453490865</v>
      </c>
    </row>
    <row r="42" spans="1:7" x14ac:dyDescent="0.25">
      <c r="A42" s="49">
        <f>'A) Base RI'!A37</f>
        <v>5451</v>
      </c>
      <c r="B42" s="284" t="str">
        <f>'A) Base RI'!B37</f>
        <v>Avenches</v>
      </c>
      <c r="C42" s="10">
        <f>'A) Base RI'!V37</f>
        <v>4616</v>
      </c>
      <c r="D42" s="423">
        <f>'C) Prél. conj.'!H36</f>
        <v>565829.245</v>
      </c>
      <c r="E42" s="10">
        <f>'D) Ecrêtage'!M36</f>
        <v>0</v>
      </c>
      <c r="F42" s="423">
        <f>$F$11*'D) Ecrêtage'!C36</f>
        <v>1681781.7562824078</v>
      </c>
      <c r="G42" s="55">
        <f t="shared" si="0"/>
        <v>2247611.0012824079</v>
      </c>
    </row>
    <row r="43" spans="1:7" x14ac:dyDescent="0.25">
      <c r="A43" s="49">
        <f>'A) Base RI'!A38</f>
        <v>5456</v>
      </c>
      <c r="B43" s="284" t="str">
        <f>'A) Base RI'!B38</f>
        <v>Cudrefin</v>
      </c>
      <c r="C43" s="10">
        <f>'A) Base RI'!V38</f>
        <v>1836</v>
      </c>
      <c r="D43" s="423">
        <f>'C) Prél. conj.'!H37</f>
        <v>199471.22500000001</v>
      </c>
      <c r="E43" s="10">
        <f>'D) Ecrêtage'!M37</f>
        <v>0</v>
      </c>
      <c r="F43" s="423">
        <f>$F$11*'D) Ecrêtage'!C37</f>
        <v>782342.03704541374</v>
      </c>
      <c r="G43" s="55">
        <f t="shared" si="0"/>
        <v>981813.26204541372</v>
      </c>
    </row>
    <row r="44" spans="1:7" x14ac:dyDescent="0.25">
      <c r="A44" s="49">
        <f>'A) Base RI'!A39</f>
        <v>5458</v>
      </c>
      <c r="B44" s="284" t="str">
        <f>'A) Base RI'!B39</f>
        <v>Faoug</v>
      </c>
      <c r="C44" s="10">
        <f>'A) Base RI'!V39</f>
        <v>866</v>
      </c>
      <c r="D44" s="423">
        <f>'C) Prél. conj.'!H38</f>
        <v>124140.73</v>
      </c>
      <c r="E44" s="10">
        <f>'D) Ecrêtage'!M38</f>
        <v>0</v>
      </c>
      <c r="F44" s="423">
        <f>$F$11*'D) Ecrêtage'!C38</f>
        <v>423477.96882986336</v>
      </c>
      <c r="G44" s="55">
        <f t="shared" si="0"/>
        <v>547618.69882986334</v>
      </c>
    </row>
    <row r="45" spans="1:7" x14ac:dyDescent="0.25">
      <c r="A45" s="49">
        <f>'A) Base RI'!A40</f>
        <v>5464</v>
      </c>
      <c r="B45" s="284" t="str">
        <f>'A) Base RI'!B40</f>
        <v>Vully-les-Lacs</v>
      </c>
      <c r="C45" s="10">
        <f>'A) Base RI'!V40</f>
        <v>3465</v>
      </c>
      <c r="D45" s="423">
        <f>'C) Prél. conj.'!H39</f>
        <v>740401.38500000001</v>
      </c>
      <c r="E45" s="10">
        <f>'D) Ecrêtage'!M39</f>
        <v>0</v>
      </c>
      <c r="F45" s="423">
        <f>$F$11*'D) Ecrêtage'!C39</f>
        <v>1453444.9803075467</v>
      </c>
      <c r="G45" s="55">
        <f t="shared" si="0"/>
        <v>2193846.3653075467</v>
      </c>
    </row>
    <row r="46" spans="1:7" x14ac:dyDescent="0.25">
      <c r="A46" s="49">
        <f>'A) Base RI'!A41</f>
        <v>5471</v>
      </c>
      <c r="B46" s="284" t="str">
        <f>'A) Base RI'!B41</f>
        <v>Bettens</v>
      </c>
      <c r="C46" s="10">
        <f>'A) Base RI'!V41</f>
        <v>626</v>
      </c>
      <c r="D46" s="423">
        <f>'C) Prél. conj.'!H40</f>
        <v>40449.915000000001</v>
      </c>
      <c r="E46" s="10">
        <f>'D) Ecrêtage'!M40</f>
        <v>0</v>
      </c>
      <c r="F46" s="423">
        <f>$F$11*'D) Ecrêtage'!C40</f>
        <v>279214.09746364888</v>
      </c>
      <c r="G46" s="55">
        <f t="shared" si="0"/>
        <v>319664.01246364886</v>
      </c>
    </row>
    <row r="47" spans="1:7" x14ac:dyDescent="0.25">
      <c r="A47" s="49">
        <f>'A) Base RI'!A42</f>
        <v>5472</v>
      </c>
      <c r="B47" s="284" t="str">
        <f>'A) Base RI'!B42</f>
        <v>Bournens</v>
      </c>
      <c r="C47" s="10">
        <f>'A) Base RI'!V42</f>
        <v>507</v>
      </c>
      <c r="D47" s="423">
        <f>'C) Prél. conj.'!H41</f>
        <v>98376.15</v>
      </c>
      <c r="E47" s="10">
        <f>'D) Ecrêtage'!M41</f>
        <v>0</v>
      </c>
      <c r="F47" s="423">
        <f>$F$11*'D) Ecrêtage'!C41</f>
        <v>270498.72189217864</v>
      </c>
      <c r="G47" s="55">
        <f t="shared" si="0"/>
        <v>368874.87189217866</v>
      </c>
    </row>
    <row r="48" spans="1:7" x14ac:dyDescent="0.25">
      <c r="A48" s="49">
        <f>'A) Base RI'!A43</f>
        <v>5473</v>
      </c>
      <c r="B48" s="284" t="str">
        <f>'A) Base RI'!B43</f>
        <v>Boussens</v>
      </c>
      <c r="C48" s="10">
        <f>'A) Base RI'!V43</f>
        <v>1001</v>
      </c>
      <c r="D48" s="423">
        <f>'C) Prél. conj.'!H42</f>
        <v>128215.41500000001</v>
      </c>
      <c r="E48" s="10">
        <f>'D) Ecrêtage'!M42</f>
        <v>0</v>
      </c>
      <c r="F48" s="423">
        <f>$F$11*'D) Ecrêtage'!C42</f>
        <v>451989.17246489768</v>
      </c>
      <c r="G48" s="55">
        <f t="shared" si="0"/>
        <v>580204.58746489766</v>
      </c>
    </row>
    <row r="49" spans="1:7" x14ac:dyDescent="0.25">
      <c r="A49" s="49">
        <f>'A) Base RI'!A44</f>
        <v>5474</v>
      </c>
      <c r="B49" s="284" t="str">
        <f>'A) Base RI'!B44</f>
        <v>La Chaux (Cossonay)</v>
      </c>
      <c r="C49" s="10">
        <f>'A) Base RI'!V44</f>
        <v>398</v>
      </c>
      <c r="D49" s="423">
        <f>'C) Prél. conj.'!H43</f>
        <v>47314.42</v>
      </c>
      <c r="E49" s="10">
        <f>'D) Ecrêtage'!M43</f>
        <v>0</v>
      </c>
      <c r="F49" s="423">
        <f>$F$11*'D) Ecrêtage'!C43</f>
        <v>157395.66351228254</v>
      </c>
      <c r="G49" s="55">
        <f t="shared" si="0"/>
        <v>204710.08351228252</v>
      </c>
    </row>
    <row r="50" spans="1:7" x14ac:dyDescent="0.25">
      <c r="A50" s="49">
        <f>'A) Base RI'!A45</f>
        <v>5475</v>
      </c>
      <c r="B50" s="284" t="str">
        <f>'A) Base RI'!B45</f>
        <v>Chavannes-le-Veyron</v>
      </c>
      <c r="C50" s="10">
        <f>'A) Base RI'!V45</f>
        <v>155</v>
      </c>
      <c r="D50" s="423">
        <f>'C) Prél. conj.'!H44</f>
        <v>4700.2750000000005</v>
      </c>
      <c r="E50" s="10">
        <f>'D) Ecrêtage'!M44</f>
        <v>0</v>
      </c>
      <c r="F50" s="423">
        <f>$F$11*'D) Ecrêtage'!C44</f>
        <v>52167.626752879965</v>
      </c>
      <c r="G50" s="55">
        <f t="shared" si="0"/>
        <v>56867.901752879967</v>
      </c>
    </row>
    <row r="51" spans="1:7" x14ac:dyDescent="0.25">
      <c r="A51" s="49">
        <f>'A) Base RI'!A46</f>
        <v>5476</v>
      </c>
      <c r="B51" s="284" t="str">
        <f>'A) Base RI'!B46</f>
        <v>Chevilly</v>
      </c>
      <c r="C51" s="10">
        <f>'A) Base RI'!V46</f>
        <v>322</v>
      </c>
      <c r="D51" s="423">
        <f>'C) Prél. conj.'!H45</f>
        <v>44611.025000000001</v>
      </c>
      <c r="E51" s="10">
        <f>'D) Ecrêtage'!M45</f>
        <v>0</v>
      </c>
      <c r="F51" s="423">
        <f>$F$11*'D) Ecrêtage'!C45</f>
        <v>147276.13764329805</v>
      </c>
      <c r="G51" s="55">
        <f t="shared" si="0"/>
        <v>191887.16264329804</v>
      </c>
    </row>
    <row r="52" spans="1:7" x14ac:dyDescent="0.25">
      <c r="A52" s="49">
        <f>'A) Base RI'!A47</f>
        <v>5477</v>
      </c>
      <c r="B52" s="284" t="str">
        <f>'A) Base RI'!B47</f>
        <v>Cossonay</v>
      </c>
      <c r="C52" s="10">
        <f>'A) Base RI'!V47</f>
        <v>4326</v>
      </c>
      <c r="D52" s="423">
        <f>'C) Prél. conj.'!H46</f>
        <v>568329.30000000005</v>
      </c>
      <c r="E52" s="10">
        <f>'D) Ecrêtage'!M46</f>
        <v>0</v>
      </c>
      <c r="F52" s="423">
        <f>$F$11*'D) Ecrêtage'!C46</f>
        <v>1739192.1580445201</v>
      </c>
      <c r="G52" s="55">
        <f t="shared" si="0"/>
        <v>2307521.4580445201</v>
      </c>
    </row>
    <row r="53" spans="1:7" x14ac:dyDescent="0.25">
      <c r="A53" s="49">
        <f>'A) Base RI'!A48</f>
        <v>5478</v>
      </c>
      <c r="B53" s="284" t="str">
        <f>'A) Base RI'!B48</f>
        <v>Cottens</v>
      </c>
      <c r="C53" s="10">
        <f>'A) Base RI'!V48</f>
        <v>484</v>
      </c>
      <c r="D53" s="423">
        <f>'C) Prél. conj.'!H47</f>
        <v>25558.775000000001</v>
      </c>
      <c r="E53" s="10">
        <f>'D) Ecrêtage'!M47</f>
        <v>0</v>
      </c>
      <c r="F53" s="423">
        <f>$F$11*'D) Ecrêtage'!C47</f>
        <v>191987.44381383958</v>
      </c>
      <c r="G53" s="55">
        <f t="shared" si="0"/>
        <v>217546.21881383957</v>
      </c>
    </row>
    <row r="54" spans="1:7" x14ac:dyDescent="0.25">
      <c r="A54" s="49">
        <f>'A) Base RI'!A49</f>
        <v>5479</v>
      </c>
      <c r="B54" s="284" t="str">
        <f>'A) Base RI'!B49</f>
        <v>Cuarnens</v>
      </c>
      <c r="C54" s="10">
        <f>'A) Base RI'!V49</f>
        <v>531</v>
      </c>
      <c r="D54" s="423">
        <f>'C) Prél. conj.'!H48</f>
        <v>60078.47</v>
      </c>
      <c r="E54" s="10">
        <f>'D) Ecrêtage'!M48</f>
        <v>0</v>
      </c>
      <c r="F54" s="423">
        <f>$F$11*'D) Ecrêtage'!C48</f>
        <v>219352.02288187857</v>
      </c>
      <c r="G54" s="55">
        <f t="shared" si="0"/>
        <v>279430.49288187857</v>
      </c>
    </row>
    <row r="55" spans="1:7" x14ac:dyDescent="0.25">
      <c r="A55" s="49">
        <f>'A) Base RI'!A50</f>
        <v>5480</v>
      </c>
      <c r="B55" s="284" t="str">
        <f>'A) Base RI'!B50</f>
        <v>Daillens</v>
      </c>
      <c r="C55" s="10">
        <f>'A) Base RI'!V50</f>
        <v>1051</v>
      </c>
      <c r="D55" s="423">
        <f>'C) Prél. conj.'!H49</f>
        <v>218335.16999999998</v>
      </c>
      <c r="E55" s="10">
        <f>'D) Ecrêtage'!M49</f>
        <v>0</v>
      </c>
      <c r="F55" s="423">
        <f>$F$11*'D) Ecrêtage'!C49</f>
        <v>503527.16621376574</v>
      </c>
      <c r="G55" s="55">
        <f t="shared" si="0"/>
        <v>721862.33621376567</v>
      </c>
    </row>
    <row r="56" spans="1:7" x14ac:dyDescent="0.25">
      <c r="A56" s="49">
        <f>'A) Base RI'!A51</f>
        <v>5481</v>
      </c>
      <c r="B56" s="284" t="str">
        <f>'A) Base RI'!B51</f>
        <v>Dizy</v>
      </c>
      <c r="C56" s="10">
        <f>'A) Base RI'!V51</f>
        <v>225</v>
      </c>
      <c r="D56" s="423">
        <f>'C) Prél. conj.'!H50</f>
        <v>8969.5750000000007</v>
      </c>
      <c r="E56" s="10">
        <f>'D) Ecrêtage'!M50</f>
        <v>0</v>
      </c>
      <c r="F56" s="423">
        <f>$F$11*'D) Ecrêtage'!C50</f>
        <v>99046.166083244912</v>
      </c>
      <c r="G56" s="55">
        <f t="shared" si="0"/>
        <v>108015.74108324491</v>
      </c>
    </row>
    <row r="57" spans="1:7" x14ac:dyDescent="0.25">
      <c r="A57" s="49">
        <f>'A) Base RI'!A52</f>
        <v>5482</v>
      </c>
      <c r="B57" s="284" t="str">
        <f>'A) Base RI'!B52</f>
        <v>Eclépens</v>
      </c>
      <c r="C57" s="10">
        <f>'A) Base RI'!V52</f>
        <v>1198</v>
      </c>
      <c r="D57" s="423">
        <f>'C) Prél. conj.'!H51</f>
        <v>196321.815</v>
      </c>
      <c r="E57" s="10">
        <f>'D) Ecrêtage'!M51</f>
        <v>0</v>
      </c>
      <c r="F57" s="423">
        <f>$F$11*'D) Ecrêtage'!C51</f>
        <v>661004.03623857547</v>
      </c>
      <c r="G57" s="55">
        <f t="shared" si="0"/>
        <v>857325.85123857553</v>
      </c>
    </row>
    <row r="58" spans="1:7" x14ac:dyDescent="0.25">
      <c r="A58" s="49">
        <f>'A) Base RI'!A53</f>
        <v>5483</v>
      </c>
      <c r="B58" s="284" t="str">
        <f>'A) Base RI'!B53</f>
        <v>Ferreyres</v>
      </c>
      <c r="C58" s="10">
        <f>'A) Base RI'!V53</f>
        <v>319</v>
      </c>
      <c r="D58" s="423">
        <f>'C) Prél. conj.'!H52</f>
        <v>6548.3250000000007</v>
      </c>
      <c r="E58" s="10">
        <f>'D) Ecrêtage'!M52</f>
        <v>0</v>
      </c>
      <c r="F58" s="423">
        <f>$F$11*'D) Ecrêtage'!C52</f>
        <v>128515.70799297263</v>
      </c>
      <c r="G58" s="55">
        <f t="shared" si="0"/>
        <v>135064.03299297264</v>
      </c>
    </row>
    <row r="59" spans="1:7" x14ac:dyDescent="0.25">
      <c r="A59" s="49">
        <f>'A) Base RI'!A54</f>
        <v>5484</v>
      </c>
      <c r="B59" s="284" t="str">
        <f>'A) Base RI'!B54</f>
        <v>Gollion</v>
      </c>
      <c r="C59" s="10">
        <f>'A) Base RI'!V54</f>
        <v>1018</v>
      </c>
      <c r="D59" s="423">
        <f>'C) Prél. conj.'!H53</f>
        <v>129107.52</v>
      </c>
      <c r="E59" s="10">
        <f>'D) Ecrêtage'!M53</f>
        <v>0</v>
      </c>
      <c r="F59" s="423">
        <f>$F$11*'D) Ecrêtage'!C53</f>
        <v>438471.25287089363</v>
      </c>
      <c r="G59" s="55">
        <f t="shared" si="0"/>
        <v>567578.77287089359</v>
      </c>
    </row>
    <row r="60" spans="1:7" x14ac:dyDescent="0.25">
      <c r="A60" s="49">
        <f>'A) Base RI'!A55</f>
        <v>5485</v>
      </c>
      <c r="B60" s="284" t="str">
        <f>'A) Base RI'!B55</f>
        <v>Grancy</v>
      </c>
      <c r="C60" s="10">
        <f>'A) Base RI'!V55</f>
        <v>445</v>
      </c>
      <c r="D60" s="423">
        <f>'C) Prél. conj.'!H54</f>
        <v>75124.83</v>
      </c>
      <c r="E60" s="10">
        <f>'D) Ecrêtage'!M54</f>
        <v>41384.311112722593</v>
      </c>
      <c r="F60" s="423">
        <f>$F$11*'D) Ecrêtage'!C54</f>
        <v>298675.22396375559</v>
      </c>
      <c r="G60" s="55">
        <f t="shared" si="0"/>
        <v>415184.36507647822</v>
      </c>
    </row>
    <row r="61" spans="1:7" x14ac:dyDescent="0.25">
      <c r="A61" s="49">
        <f>'A) Base RI'!A56</f>
        <v>5486</v>
      </c>
      <c r="B61" s="284" t="str">
        <f>'A) Base RI'!B56</f>
        <v>L'Isle</v>
      </c>
      <c r="C61" s="10">
        <f>'A) Base RI'!V56</f>
        <v>1079</v>
      </c>
      <c r="D61" s="423">
        <f>'C) Prél. conj.'!H55</f>
        <v>177178.465</v>
      </c>
      <c r="E61" s="10">
        <f>'D) Ecrêtage'!M55</f>
        <v>0</v>
      </c>
      <c r="F61" s="423">
        <f>$F$11*'D) Ecrêtage'!C55</f>
        <v>356507.57515572815</v>
      </c>
      <c r="G61" s="55">
        <f t="shared" si="0"/>
        <v>533686.04015572811</v>
      </c>
    </row>
    <row r="62" spans="1:7" x14ac:dyDescent="0.25">
      <c r="A62" s="49">
        <f>'A) Base RI'!A57</f>
        <v>5487</v>
      </c>
      <c r="B62" s="284" t="str">
        <f>'A) Base RI'!B57</f>
        <v>Lussery-Villars</v>
      </c>
      <c r="C62" s="10">
        <f>'A) Base RI'!V57</f>
        <v>475</v>
      </c>
      <c r="D62" s="423">
        <f>'C) Prél. conj.'!H56</f>
        <v>17544.25</v>
      </c>
      <c r="E62" s="10">
        <f>'D) Ecrêtage'!M56</f>
        <v>0</v>
      </c>
      <c r="F62" s="423">
        <f>$F$11*'D) Ecrêtage'!C56</f>
        <v>202735.12859575241</v>
      </c>
      <c r="G62" s="55">
        <f t="shared" si="0"/>
        <v>220279.37859575241</v>
      </c>
    </row>
    <row r="63" spans="1:7" x14ac:dyDescent="0.25">
      <c r="A63" s="49">
        <f>'A) Base RI'!A58</f>
        <v>5488</v>
      </c>
      <c r="B63" s="284" t="str">
        <f>'A) Base RI'!B58</f>
        <v>Mauraz</v>
      </c>
      <c r="C63" s="10">
        <f>'A) Base RI'!V58</f>
        <v>60</v>
      </c>
      <c r="D63" s="423">
        <f>'C) Prél. conj.'!H57</f>
        <v>0</v>
      </c>
      <c r="E63" s="10">
        <f>'D) Ecrêtage'!M57</f>
        <v>0</v>
      </c>
      <c r="F63" s="423">
        <f>$F$11*'D) Ecrêtage'!C57</f>
        <v>21089.963253512771</v>
      </c>
      <c r="G63" s="55">
        <f t="shared" si="0"/>
        <v>21089.963253512771</v>
      </c>
    </row>
    <row r="64" spans="1:7" x14ac:dyDescent="0.25">
      <c r="A64" s="49">
        <f>'A) Base RI'!A59</f>
        <v>5489</v>
      </c>
      <c r="B64" s="284" t="str">
        <f>'A) Base RI'!B59</f>
        <v>Mex</v>
      </c>
      <c r="C64" s="10">
        <f>'A) Base RI'!V59</f>
        <v>795</v>
      </c>
      <c r="D64" s="423">
        <f>'C) Prél. conj.'!H58</f>
        <v>191666.26499999998</v>
      </c>
      <c r="E64" s="10">
        <f>'D) Ecrêtage'!M58</f>
        <v>175768.04107702384</v>
      </c>
      <c r="F64" s="423">
        <f>$F$11*'D) Ecrêtage'!C58</f>
        <v>620555.58486515144</v>
      </c>
      <c r="G64" s="55">
        <f t="shared" si="0"/>
        <v>987989.89094217529</v>
      </c>
    </row>
    <row r="65" spans="1:7" x14ac:dyDescent="0.25">
      <c r="A65" s="49">
        <f>'A) Base RI'!A60</f>
        <v>5490</v>
      </c>
      <c r="B65" s="284" t="str">
        <f>'A) Base RI'!B60</f>
        <v>Moiry</v>
      </c>
      <c r="C65" s="10">
        <f>'A) Base RI'!V60</f>
        <v>301</v>
      </c>
      <c r="D65" s="423">
        <f>'C) Prél. conj.'!H59</f>
        <v>19367.150000000001</v>
      </c>
      <c r="E65" s="10">
        <f>'D) Ecrêtage'!M59</f>
        <v>0</v>
      </c>
      <c r="F65" s="423">
        <f>$F$11*'D) Ecrêtage'!C59</f>
        <v>110462.21733889433</v>
      </c>
      <c r="G65" s="55">
        <f t="shared" si="0"/>
        <v>129829.36733889434</v>
      </c>
    </row>
    <row r="66" spans="1:7" x14ac:dyDescent="0.25">
      <c r="A66" s="49">
        <f>'A) Base RI'!A61</f>
        <v>5491</v>
      </c>
      <c r="B66" s="284" t="str">
        <f>'A) Base RI'!B61</f>
        <v>Mont-la-Ville</v>
      </c>
      <c r="C66" s="10">
        <f>'A) Base RI'!V61</f>
        <v>508</v>
      </c>
      <c r="D66" s="423">
        <f>'C) Prél. conj.'!H60</f>
        <v>23805.965</v>
      </c>
      <c r="E66" s="10">
        <f>'D) Ecrêtage'!M60</f>
        <v>0</v>
      </c>
      <c r="F66" s="423">
        <f>$F$11*'D) Ecrêtage'!C60</f>
        <v>166468.78725727001</v>
      </c>
      <c r="G66" s="55">
        <f t="shared" si="0"/>
        <v>190274.75225727001</v>
      </c>
    </row>
    <row r="67" spans="1:7" x14ac:dyDescent="0.25">
      <c r="A67" s="49">
        <f>'A) Base RI'!A62</f>
        <v>5492</v>
      </c>
      <c r="B67" s="284" t="str">
        <f>'A) Base RI'!B62</f>
        <v>Montricher</v>
      </c>
      <c r="C67" s="10">
        <f>'A) Base RI'!V62</f>
        <v>981</v>
      </c>
      <c r="D67" s="423">
        <f>'C) Prél. conj.'!H61</f>
        <v>211797.64</v>
      </c>
      <c r="E67" s="10">
        <f>'D) Ecrêtage'!M61</f>
        <v>3783459.3576503731</v>
      </c>
      <c r="F67" s="423">
        <f>$F$11*'D) Ecrêtage'!C61</f>
        <v>2137656.6157715847</v>
      </c>
      <c r="G67" s="55">
        <f t="shared" si="0"/>
        <v>6132913.6134219579</v>
      </c>
    </row>
    <row r="68" spans="1:7" x14ac:dyDescent="0.25">
      <c r="A68" s="49">
        <f>'A) Base RI'!A63</f>
        <v>5493</v>
      </c>
      <c r="B68" s="284" t="str">
        <f>'A) Base RI'!B63</f>
        <v>Orny</v>
      </c>
      <c r="C68" s="10">
        <f>'A) Base RI'!V63</f>
        <v>480</v>
      </c>
      <c r="D68" s="423">
        <f>'C) Prél. conj.'!H62</f>
        <v>95814.74</v>
      </c>
      <c r="E68" s="10">
        <f>'D) Ecrêtage'!M62</f>
        <v>0</v>
      </c>
      <c r="F68" s="423">
        <f>$F$11*'D) Ecrêtage'!C62</f>
        <v>164529.73937304463</v>
      </c>
      <c r="G68" s="55">
        <f t="shared" si="0"/>
        <v>260344.47937304463</v>
      </c>
    </row>
    <row r="69" spans="1:7" x14ac:dyDescent="0.25">
      <c r="A69" s="49">
        <f>'A) Base RI'!A64</f>
        <v>5494</v>
      </c>
      <c r="B69" s="284" t="str">
        <f>'A) Base RI'!B64</f>
        <v>Pampigny</v>
      </c>
      <c r="C69" s="10">
        <f>'A) Base RI'!V64</f>
        <v>1185</v>
      </c>
      <c r="D69" s="423">
        <f>'C) Prél. conj.'!H63</f>
        <v>252027.69</v>
      </c>
      <c r="E69" s="10">
        <f>'D) Ecrêtage'!M63</f>
        <v>0</v>
      </c>
      <c r="F69" s="423">
        <f>$F$11*'D) Ecrêtage'!C63</f>
        <v>527016.32517593342</v>
      </c>
      <c r="G69" s="55">
        <f t="shared" si="0"/>
        <v>779044.01517593348</v>
      </c>
    </row>
    <row r="70" spans="1:7" x14ac:dyDescent="0.25">
      <c r="A70" s="49">
        <f>'A) Base RI'!A65</f>
        <v>5495</v>
      </c>
      <c r="B70" s="284" t="str">
        <f>'A) Base RI'!B65</f>
        <v>Penthalaz</v>
      </c>
      <c r="C70" s="10">
        <f>'A) Base RI'!V65</f>
        <v>3210</v>
      </c>
      <c r="D70" s="423">
        <f>'C) Prél. conj.'!H64</f>
        <v>332355.77</v>
      </c>
      <c r="E70" s="10">
        <f>'D) Ecrêtage'!M64</f>
        <v>0</v>
      </c>
      <c r="F70" s="423">
        <f>$F$11*'D) Ecrêtage'!C64</f>
        <v>1162500.7716458961</v>
      </c>
      <c r="G70" s="55">
        <f t="shared" si="0"/>
        <v>1494856.5416458962</v>
      </c>
    </row>
    <row r="71" spans="1:7" x14ac:dyDescent="0.25">
      <c r="A71" s="49">
        <f>'A) Base RI'!A66</f>
        <v>5496</v>
      </c>
      <c r="B71" s="284" t="str">
        <f>'A) Base RI'!B66</f>
        <v>Penthaz</v>
      </c>
      <c r="C71" s="10">
        <f>'A) Base RI'!V66</f>
        <v>1890</v>
      </c>
      <c r="D71" s="423">
        <f>'C) Prél. conj.'!H65</f>
        <v>244949.84</v>
      </c>
      <c r="E71" s="10">
        <f>'D) Ecrêtage'!M65</f>
        <v>0</v>
      </c>
      <c r="F71" s="423">
        <f>$F$11*'D) Ecrêtage'!C65</f>
        <v>686269.94737764087</v>
      </c>
      <c r="G71" s="55">
        <f t="shared" si="0"/>
        <v>931219.78737764084</v>
      </c>
    </row>
    <row r="72" spans="1:7" x14ac:dyDescent="0.25">
      <c r="A72" s="49">
        <f>'A) Base RI'!A67</f>
        <v>5497</v>
      </c>
      <c r="B72" s="284" t="str">
        <f>'A) Base RI'!B67</f>
        <v>Pompaples</v>
      </c>
      <c r="C72" s="10">
        <f>'A) Base RI'!V67</f>
        <v>849</v>
      </c>
      <c r="D72" s="423">
        <f>'C) Prél. conj.'!H66</f>
        <v>88938.114999999991</v>
      </c>
      <c r="E72" s="10">
        <f>'D) Ecrêtage'!M66</f>
        <v>0</v>
      </c>
      <c r="F72" s="423">
        <f>$F$11*'D) Ecrêtage'!C66</f>
        <v>271414.15789114236</v>
      </c>
      <c r="G72" s="55">
        <f t="shared" si="0"/>
        <v>360352.27289114235</v>
      </c>
    </row>
    <row r="73" spans="1:7" x14ac:dyDescent="0.25">
      <c r="A73" s="49">
        <f>'A) Base RI'!A68</f>
        <v>5498</v>
      </c>
      <c r="B73" s="284" t="str">
        <f>'A) Base RI'!B68</f>
        <v>La Sarraz</v>
      </c>
      <c r="C73" s="10">
        <f>'A) Base RI'!V68</f>
        <v>2620</v>
      </c>
      <c r="D73" s="423">
        <f>'C) Prél. conj.'!H67</f>
        <v>146888.79</v>
      </c>
      <c r="E73" s="10">
        <f>'D) Ecrêtage'!M67</f>
        <v>0</v>
      </c>
      <c r="F73" s="423">
        <f>$F$11*'D) Ecrêtage'!C67</f>
        <v>910858.65850519633</v>
      </c>
      <c r="G73" s="55">
        <f t="shared" si="0"/>
        <v>1057747.4485051963</v>
      </c>
    </row>
    <row r="74" spans="1:7" x14ac:dyDescent="0.25">
      <c r="A74" s="49">
        <f>'A) Base RI'!A69</f>
        <v>5499</v>
      </c>
      <c r="B74" s="284" t="str">
        <f>'A) Base RI'!B69</f>
        <v>Senarclens</v>
      </c>
      <c r="C74" s="10">
        <f>'A) Base RI'!V69</f>
        <v>491</v>
      </c>
      <c r="D74" s="423">
        <f>'C) Prél. conj.'!H68</f>
        <v>224675.60000000003</v>
      </c>
      <c r="E74" s="10">
        <f>'D) Ecrêtage'!M68</f>
        <v>0</v>
      </c>
      <c r="F74" s="423">
        <f>$F$11*'D) Ecrêtage'!C68</f>
        <v>222450.26482269025</v>
      </c>
      <c r="G74" s="55">
        <f t="shared" si="0"/>
        <v>447125.86482269026</v>
      </c>
    </row>
    <row r="75" spans="1:7" x14ac:dyDescent="0.25">
      <c r="A75" s="49">
        <f>'A) Base RI'!A70</f>
        <v>5500</v>
      </c>
      <c r="B75" s="284" t="str">
        <f>'A) Base RI'!B70</f>
        <v>Sévery</v>
      </c>
      <c r="C75" s="10">
        <f>'A) Base RI'!V70</f>
        <v>220</v>
      </c>
      <c r="D75" s="423">
        <f>'C) Prél. conj.'!H69</f>
        <v>54256.705000000002</v>
      </c>
      <c r="E75" s="10">
        <f>'D) Ecrêtage'!M69</f>
        <v>0</v>
      </c>
      <c r="F75" s="423">
        <f>$F$11*'D) Ecrêtage'!C69</f>
        <v>88184.914913266752</v>
      </c>
      <c r="G75" s="55">
        <f t="shared" si="0"/>
        <v>142441.61991326674</v>
      </c>
    </row>
    <row r="76" spans="1:7" x14ac:dyDescent="0.25">
      <c r="A76" s="49">
        <f>'A) Base RI'!A71</f>
        <v>5501</v>
      </c>
      <c r="B76" s="284" t="str">
        <f>'A) Base RI'!B71</f>
        <v>Sullens</v>
      </c>
      <c r="C76" s="10">
        <f>'A) Base RI'!V71</f>
        <v>1143</v>
      </c>
      <c r="D76" s="423">
        <f>'C) Prél. conj.'!H70</f>
        <v>-1336249.3199999998</v>
      </c>
      <c r="E76" s="10">
        <f>'D) Ecrêtage'!M70</f>
        <v>0</v>
      </c>
      <c r="F76" s="423">
        <f>$F$11*'D) Ecrêtage'!C70</f>
        <v>526833.86615760881</v>
      </c>
      <c r="G76" s="55">
        <f t="shared" si="0"/>
        <v>-809415.45384239103</v>
      </c>
    </row>
    <row r="77" spans="1:7" x14ac:dyDescent="0.25">
      <c r="A77" s="49">
        <f>'A) Base RI'!A72</f>
        <v>5503</v>
      </c>
      <c r="B77" s="284" t="str">
        <f>'A) Base RI'!B72</f>
        <v>Vufflens-la-Ville</v>
      </c>
      <c r="C77" s="10">
        <f>'A) Base RI'!V72</f>
        <v>1346</v>
      </c>
      <c r="D77" s="423">
        <f>'C) Prél. conj.'!H71</f>
        <v>208887.55</v>
      </c>
      <c r="E77" s="10">
        <f>'D) Ecrêtage'!M71</f>
        <v>192106.2207909236</v>
      </c>
      <c r="F77" s="423">
        <f>$F$11*'D) Ecrêtage'!C71</f>
        <v>963883.61810573109</v>
      </c>
      <c r="G77" s="55">
        <f t="shared" ref="G77:G140" si="1">D77+F77+E77</f>
        <v>1364877.3888966546</v>
      </c>
    </row>
    <row r="78" spans="1:7" x14ac:dyDescent="0.25">
      <c r="A78" s="49">
        <f>'A) Base RI'!A73</f>
        <v>5511</v>
      </c>
      <c r="B78" s="284" t="str">
        <f>'A) Base RI'!B73</f>
        <v>Assens</v>
      </c>
      <c r="C78" s="10">
        <f>'A) Base RI'!V73</f>
        <v>1151</v>
      </c>
      <c r="D78" s="423">
        <f>'C) Prél. conj.'!H72</f>
        <v>445260.70499999996</v>
      </c>
      <c r="E78" s="10">
        <f>'D) Ecrêtage'!M72</f>
        <v>0</v>
      </c>
      <c r="F78" s="423">
        <f>$F$11*'D) Ecrêtage'!C72</f>
        <v>577301.10847984324</v>
      </c>
      <c r="G78" s="55">
        <f t="shared" si="1"/>
        <v>1022561.8134798432</v>
      </c>
    </row>
    <row r="79" spans="1:7" x14ac:dyDescent="0.25">
      <c r="A79" s="49">
        <f>'A) Base RI'!A74</f>
        <v>5512</v>
      </c>
      <c r="B79" s="284" t="str">
        <f>'A) Base RI'!B74</f>
        <v>Bercher</v>
      </c>
      <c r="C79" s="10">
        <f>'A) Base RI'!V74</f>
        <v>1320</v>
      </c>
      <c r="D79" s="423">
        <f>'C) Prél. conj.'!H73</f>
        <v>226935.43</v>
      </c>
      <c r="E79" s="10">
        <f>'D) Ecrêtage'!M73</f>
        <v>0</v>
      </c>
      <c r="F79" s="423">
        <f>$F$11*'D) Ecrêtage'!C73</f>
        <v>497178.46993108158</v>
      </c>
      <c r="G79" s="55">
        <f t="shared" si="1"/>
        <v>724113.89993108157</v>
      </c>
    </row>
    <row r="80" spans="1:7" x14ac:dyDescent="0.25">
      <c r="A80" s="49">
        <f>'A) Base RI'!A75</f>
        <v>5513</v>
      </c>
      <c r="B80" s="284" t="str">
        <f>'A) Base RI'!B75</f>
        <v>Bioley-Orjulaz</v>
      </c>
      <c r="C80" s="10">
        <f>'A) Base RI'!V75</f>
        <v>518</v>
      </c>
      <c r="D80" s="423">
        <f>'C) Prél. conj.'!H74</f>
        <v>146207.32999999999</v>
      </c>
      <c r="E80" s="10">
        <f>'D) Ecrêtage'!M74</f>
        <v>0</v>
      </c>
      <c r="F80" s="423">
        <f>$F$11*'D) Ecrêtage'!C74</f>
        <v>277335.82812148222</v>
      </c>
      <c r="G80" s="55">
        <f t="shared" si="1"/>
        <v>423543.15812148224</v>
      </c>
    </row>
    <row r="81" spans="1:7" x14ac:dyDescent="0.25">
      <c r="A81" s="49">
        <f>'A) Base RI'!A76</f>
        <v>5514</v>
      </c>
      <c r="B81" s="284" t="str">
        <f>'A) Base RI'!B76</f>
        <v>Bottens</v>
      </c>
      <c r="C81" s="10">
        <f>'A) Base RI'!V76</f>
        <v>1357</v>
      </c>
      <c r="D81" s="423">
        <f>'C) Prél. conj.'!H75</f>
        <v>80092.945000000007</v>
      </c>
      <c r="E81" s="10">
        <f>'D) Ecrêtage'!M75</f>
        <v>0</v>
      </c>
      <c r="F81" s="423">
        <f>$F$11*'D) Ecrêtage'!C75</f>
        <v>539369.59983169357</v>
      </c>
      <c r="G81" s="55">
        <f t="shared" si="1"/>
        <v>619462.54483169364</v>
      </c>
    </row>
    <row r="82" spans="1:7" x14ac:dyDescent="0.25">
      <c r="A82" s="49">
        <f>'A) Base RI'!A77</f>
        <v>5515</v>
      </c>
      <c r="B82" s="284" t="str">
        <f>'A) Base RI'!B77</f>
        <v>Bretigny-sur-Morrens</v>
      </c>
      <c r="C82" s="10">
        <f>'A) Base RI'!V77</f>
        <v>882</v>
      </c>
      <c r="D82" s="423">
        <f>'C) Prél. conj.'!H76</f>
        <v>102524.61499999999</v>
      </c>
      <c r="E82" s="10">
        <f>'D) Ecrêtage'!M76</f>
        <v>0</v>
      </c>
      <c r="F82" s="423">
        <f>$F$11*'D) Ecrêtage'!C76</f>
        <v>394540.89622504794</v>
      </c>
      <c r="G82" s="55">
        <f t="shared" si="1"/>
        <v>497065.51122504793</v>
      </c>
    </row>
    <row r="83" spans="1:7" x14ac:dyDescent="0.25">
      <c r="A83" s="49">
        <f>'A) Base RI'!A78</f>
        <v>5516</v>
      </c>
      <c r="B83" s="284" t="str">
        <f>'A) Base RI'!B78</f>
        <v>Cugy</v>
      </c>
      <c r="C83" s="10">
        <f>'A) Base RI'!V78</f>
        <v>2733</v>
      </c>
      <c r="D83" s="423">
        <f>'C) Prél. conj.'!H77</f>
        <v>317553.33500000002</v>
      </c>
      <c r="E83" s="10">
        <f>'D) Ecrêtage'!M77</f>
        <v>0</v>
      </c>
      <c r="F83" s="423">
        <f>$F$11*'D) Ecrêtage'!C77</f>
        <v>1361186.1134997786</v>
      </c>
      <c r="G83" s="55">
        <f t="shared" si="1"/>
        <v>1678739.4484997785</v>
      </c>
    </row>
    <row r="84" spans="1:7" x14ac:dyDescent="0.25">
      <c r="A84" s="49">
        <f>'A) Base RI'!A79</f>
        <v>5518</v>
      </c>
      <c r="B84" s="284" t="str">
        <f>'A) Base RI'!B79</f>
        <v>Echallens</v>
      </c>
      <c r="C84" s="10">
        <f>'A) Base RI'!V79</f>
        <v>5739</v>
      </c>
      <c r="D84" s="423">
        <f>'C) Prél. conj.'!H78</f>
        <v>543400.91</v>
      </c>
      <c r="E84" s="10">
        <f>'D) Ecrêtage'!M78</f>
        <v>0</v>
      </c>
      <c r="F84" s="423">
        <f>$F$11*'D) Ecrêtage'!C78</f>
        <v>2232326.3092763089</v>
      </c>
      <c r="G84" s="55">
        <f t="shared" si="1"/>
        <v>2775727.219276309</v>
      </c>
    </row>
    <row r="85" spans="1:7" x14ac:dyDescent="0.25">
      <c r="A85" s="49">
        <f>'A) Base RI'!A80</f>
        <v>5520</v>
      </c>
      <c r="B85" s="284" t="str">
        <f>'A) Base RI'!B80</f>
        <v>Essertines-sur-Yverdon</v>
      </c>
      <c r="C85" s="10">
        <f>'A) Base RI'!V80</f>
        <v>1059</v>
      </c>
      <c r="D85" s="423">
        <f>'C) Prél. conj.'!H79</f>
        <v>58070.04</v>
      </c>
      <c r="E85" s="10">
        <f>'D) Ecrêtage'!M79</f>
        <v>0</v>
      </c>
      <c r="F85" s="423">
        <f>$F$11*'D) Ecrêtage'!C79</f>
        <v>386587.8693079165</v>
      </c>
      <c r="G85" s="55">
        <f t="shared" si="1"/>
        <v>444657.90930791647</v>
      </c>
    </row>
    <row r="86" spans="1:7" x14ac:dyDescent="0.25">
      <c r="A86" s="49">
        <f>'A) Base RI'!A81</f>
        <v>5521</v>
      </c>
      <c r="B86" s="284" t="str">
        <f>'A) Base RI'!B81</f>
        <v>Etagnières</v>
      </c>
      <c r="C86" s="10">
        <f>'A) Base RI'!V81</f>
        <v>1148</v>
      </c>
      <c r="D86" s="423">
        <f>'C) Prél. conj.'!H80</f>
        <v>125337.52499999999</v>
      </c>
      <c r="E86" s="10">
        <f>'D) Ecrêtage'!M80</f>
        <v>0</v>
      </c>
      <c r="F86" s="423">
        <f>$F$11*'D) Ecrêtage'!C80</f>
        <v>520122.82898194622</v>
      </c>
      <c r="G86" s="55">
        <f t="shared" si="1"/>
        <v>645460.35398194625</v>
      </c>
    </row>
    <row r="87" spans="1:7" x14ac:dyDescent="0.25">
      <c r="A87" s="49">
        <f>'A) Base RI'!A82</f>
        <v>5522</v>
      </c>
      <c r="B87" s="284" t="str">
        <f>'A) Base RI'!B82</f>
        <v>Fey</v>
      </c>
      <c r="C87" s="10">
        <f>'A) Base RI'!V82</f>
        <v>754</v>
      </c>
      <c r="D87" s="423">
        <f>'C) Prél. conj.'!H81</f>
        <v>42328.985000000001</v>
      </c>
      <c r="E87" s="10">
        <f>'D) Ecrêtage'!M81</f>
        <v>0</v>
      </c>
      <c r="F87" s="423">
        <f>$F$11*'D) Ecrêtage'!C81</f>
        <v>291792.42891515186</v>
      </c>
      <c r="G87" s="55">
        <f t="shared" si="1"/>
        <v>334121.41391515185</v>
      </c>
    </row>
    <row r="88" spans="1:7" x14ac:dyDescent="0.25">
      <c r="A88" s="49">
        <f>'A) Base RI'!A83</f>
        <v>5523</v>
      </c>
      <c r="B88" s="284" t="str">
        <f>'A) Base RI'!B83</f>
        <v>Froideville</v>
      </c>
      <c r="C88" s="10">
        <f>'A) Base RI'!V83</f>
        <v>2673</v>
      </c>
      <c r="D88" s="423">
        <f>'C) Prél. conj.'!H82</f>
        <v>505337.35500000004</v>
      </c>
      <c r="E88" s="10">
        <f>'D) Ecrêtage'!M82</f>
        <v>0</v>
      </c>
      <c r="F88" s="423">
        <f>$F$11*'D) Ecrêtage'!C82</f>
        <v>1143310.4225752372</v>
      </c>
      <c r="G88" s="55">
        <f t="shared" si="1"/>
        <v>1648647.7775752372</v>
      </c>
    </row>
    <row r="89" spans="1:7" x14ac:dyDescent="0.25">
      <c r="A89" s="49">
        <f>'A) Base RI'!A84</f>
        <v>5527</v>
      </c>
      <c r="B89" s="284" t="str">
        <f>'A) Base RI'!B84</f>
        <v>Morrens</v>
      </c>
      <c r="C89" s="10">
        <f>'A) Base RI'!V84</f>
        <v>1156</v>
      </c>
      <c r="D89" s="423">
        <f>'C) Prél. conj.'!H83</f>
        <v>132841.17500000002</v>
      </c>
      <c r="E89" s="10">
        <f>'D) Ecrêtage'!M83</f>
        <v>0</v>
      </c>
      <c r="F89" s="423">
        <f>$F$11*'D) Ecrêtage'!C83</f>
        <v>479446.95493679278</v>
      </c>
      <c r="G89" s="55">
        <f t="shared" si="1"/>
        <v>612288.12993679277</v>
      </c>
    </row>
    <row r="90" spans="1:7" x14ac:dyDescent="0.25">
      <c r="A90" s="49">
        <f>'A) Base RI'!A85</f>
        <v>5529</v>
      </c>
      <c r="B90" s="284" t="str">
        <f>'A) Base RI'!B85</f>
        <v>Oulens-sous-Echallens</v>
      </c>
      <c r="C90" s="10">
        <f>'A) Base RI'!V85</f>
        <v>619</v>
      </c>
      <c r="D90" s="423">
        <f>'C) Prél. conj.'!H84</f>
        <v>142918.875</v>
      </c>
      <c r="E90" s="10">
        <f>'D) Ecrêtage'!M84</f>
        <v>0</v>
      </c>
      <c r="F90" s="423">
        <f>$F$11*'D) Ecrêtage'!C84</f>
        <v>258104.54512910466</v>
      </c>
      <c r="G90" s="55">
        <f t="shared" si="1"/>
        <v>401023.42012910463</v>
      </c>
    </row>
    <row r="91" spans="1:7" x14ac:dyDescent="0.25">
      <c r="A91" s="49">
        <f>'A) Base RI'!A86</f>
        <v>5530</v>
      </c>
      <c r="B91" s="284" t="str">
        <f>'A) Base RI'!B86</f>
        <v>Pailly</v>
      </c>
      <c r="C91" s="10">
        <f>'A) Base RI'!V86</f>
        <v>575</v>
      </c>
      <c r="D91" s="423">
        <f>'C) Prél. conj.'!H85</f>
        <v>62123.705000000002</v>
      </c>
      <c r="E91" s="10">
        <f>'D) Ecrêtage'!M85</f>
        <v>0</v>
      </c>
      <c r="F91" s="423">
        <f>$F$11*'D) Ecrêtage'!C85</f>
        <v>235463.3584473916</v>
      </c>
      <c r="G91" s="55">
        <f t="shared" si="1"/>
        <v>297587.06344739161</v>
      </c>
    </row>
    <row r="92" spans="1:7" x14ac:dyDescent="0.25">
      <c r="A92" s="49">
        <f>'A) Base RI'!A87</f>
        <v>5531</v>
      </c>
      <c r="B92" s="284" t="str">
        <f>'A) Base RI'!B87</f>
        <v>Penthéréaz</v>
      </c>
      <c r="C92" s="10">
        <f>'A) Base RI'!V87</f>
        <v>417</v>
      </c>
      <c r="D92" s="423">
        <f>'C) Prél. conj.'!H86</f>
        <v>61963.85</v>
      </c>
      <c r="E92" s="10">
        <f>'D) Ecrêtage'!M86</f>
        <v>0</v>
      </c>
      <c r="F92" s="423">
        <f>$F$11*'D) Ecrêtage'!C86</f>
        <v>174419.50373143132</v>
      </c>
      <c r="G92" s="55">
        <f t="shared" si="1"/>
        <v>236383.35373143133</v>
      </c>
    </row>
    <row r="93" spans="1:7" x14ac:dyDescent="0.25">
      <c r="A93" s="49">
        <f>'A) Base RI'!A88</f>
        <v>5533</v>
      </c>
      <c r="B93" s="284" t="str">
        <f>'A) Base RI'!B88</f>
        <v>Poliez-Pittet</v>
      </c>
      <c r="C93" s="10">
        <f>'A) Base RI'!V88</f>
        <v>833</v>
      </c>
      <c r="D93" s="423">
        <f>'C) Prél. conj.'!H87</f>
        <v>16355.924999999999</v>
      </c>
      <c r="E93" s="10">
        <f>'D) Ecrêtage'!M87</f>
        <v>0</v>
      </c>
      <c r="F93" s="423">
        <f>$F$11*'D) Ecrêtage'!C87</f>
        <v>335427.73211210681</v>
      </c>
      <c r="G93" s="55">
        <f t="shared" si="1"/>
        <v>351783.6571121068</v>
      </c>
    </row>
    <row r="94" spans="1:7" x14ac:dyDescent="0.25">
      <c r="A94" s="49">
        <f>'A) Base RI'!A89</f>
        <v>5534</v>
      </c>
      <c r="B94" s="284" t="str">
        <f>'A) Base RI'!B89</f>
        <v>Rueyres</v>
      </c>
      <c r="C94" s="10">
        <f>'A) Base RI'!V89</f>
        <v>304</v>
      </c>
      <c r="D94" s="423">
        <f>'C) Prél. conj.'!H88</f>
        <v>61173.64</v>
      </c>
      <c r="E94" s="10">
        <f>'D) Ecrêtage'!M88</f>
        <v>0</v>
      </c>
      <c r="F94" s="423">
        <f>$F$11*'D) Ecrêtage'!C88</f>
        <v>159859.04501983308</v>
      </c>
      <c r="G94" s="55">
        <f t="shared" si="1"/>
        <v>221032.68501983309</v>
      </c>
    </row>
    <row r="95" spans="1:7" x14ac:dyDescent="0.25">
      <c r="A95" s="49">
        <f>'A) Base RI'!A90</f>
        <v>5535</v>
      </c>
      <c r="B95" s="284" t="str">
        <f>'A) Base RI'!B90</f>
        <v>Saint-Barthélemy</v>
      </c>
      <c r="C95" s="10">
        <f>'A) Base RI'!V90</f>
        <v>809</v>
      </c>
      <c r="D95" s="423">
        <f>'C) Prél. conj.'!H89</f>
        <v>61279.75</v>
      </c>
      <c r="E95" s="10">
        <f>'D) Ecrêtage'!M89</f>
        <v>0</v>
      </c>
      <c r="F95" s="423">
        <f>$F$11*'D) Ecrêtage'!C89</f>
        <v>305891.37527827022</v>
      </c>
      <c r="G95" s="55">
        <f t="shared" si="1"/>
        <v>367171.12527827022</v>
      </c>
    </row>
    <row r="96" spans="1:7" x14ac:dyDescent="0.25">
      <c r="A96" s="49">
        <f>'A) Base RI'!A91</f>
        <v>5537</v>
      </c>
      <c r="B96" s="284" t="str">
        <f>'A) Base RI'!B91</f>
        <v>Villars-le-Terroir</v>
      </c>
      <c r="C96" s="10">
        <f>'A) Base RI'!V91</f>
        <v>1316</v>
      </c>
      <c r="D96" s="423">
        <f>'C) Prél. conj.'!H90</f>
        <v>57470.65</v>
      </c>
      <c r="E96" s="10">
        <f>'D) Ecrêtage'!M90</f>
        <v>0</v>
      </c>
      <c r="F96" s="423">
        <f>$F$11*'D) Ecrêtage'!C90</f>
        <v>523445.89478921908</v>
      </c>
      <c r="G96" s="55">
        <f t="shared" si="1"/>
        <v>580916.54478921904</v>
      </c>
    </row>
    <row r="97" spans="1:7" x14ac:dyDescent="0.25">
      <c r="A97" s="49">
        <f>'A) Base RI'!A92</f>
        <v>5539</v>
      </c>
      <c r="B97" s="284" t="str">
        <f>'A) Base RI'!B92</f>
        <v>Vuarrens</v>
      </c>
      <c r="C97" s="10">
        <f>'A) Base RI'!V92</f>
        <v>1097</v>
      </c>
      <c r="D97" s="423">
        <f>'C) Prél. conj.'!H91</f>
        <v>125339.425</v>
      </c>
      <c r="E97" s="10">
        <f>'D) Ecrêtage'!M91</f>
        <v>0</v>
      </c>
      <c r="F97" s="423">
        <f>$F$11*'D) Ecrêtage'!C91</f>
        <v>421486.22065764485</v>
      </c>
      <c r="G97" s="55">
        <f t="shared" si="1"/>
        <v>546825.64565764484</v>
      </c>
    </row>
    <row r="98" spans="1:7" x14ac:dyDescent="0.25">
      <c r="A98" s="49">
        <f>'A) Base RI'!A93</f>
        <v>5540</v>
      </c>
      <c r="B98" s="284" t="str">
        <f>'A) Base RI'!B93</f>
        <v>Montilliez</v>
      </c>
      <c r="C98" s="10">
        <f>'A) Base RI'!V93</f>
        <v>1883</v>
      </c>
      <c r="D98" s="423">
        <f>'C) Prél. conj.'!H92</f>
        <v>148753.67000000001</v>
      </c>
      <c r="E98" s="10">
        <f>'D) Ecrêtage'!M92</f>
        <v>0</v>
      </c>
      <c r="F98" s="423">
        <f>$F$11*'D) Ecrêtage'!C92</f>
        <v>772231.63784286659</v>
      </c>
      <c r="G98" s="55">
        <f t="shared" si="1"/>
        <v>920985.30784286663</v>
      </c>
    </row>
    <row r="99" spans="1:7" x14ac:dyDescent="0.25">
      <c r="A99" s="49">
        <f>'A) Base RI'!A94</f>
        <v>5541</v>
      </c>
      <c r="B99" s="284" t="str">
        <f>'A) Base RI'!B94</f>
        <v>Goumoëns</v>
      </c>
      <c r="C99" s="10">
        <f>'A) Base RI'!V94</f>
        <v>1166</v>
      </c>
      <c r="D99" s="423">
        <f>'C) Prél. conj.'!H93</f>
        <v>79098.009999999995</v>
      </c>
      <c r="E99" s="10">
        <f>'D) Ecrêtage'!M93</f>
        <v>0</v>
      </c>
      <c r="F99" s="423">
        <f>$F$11*'D) Ecrêtage'!C93</f>
        <v>503458.52149513224</v>
      </c>
      <c r="G99" s="55">
        <f t="shared" si="1"/>
        <v>582556.53149513225</v>
      </c>
    </row>
    <row r="100" spans="1:7" x14ac:dyDescent="0.25">
      <c r="A100" s="49">
        <f>'A) Base RI'!A95</f>
        <v>5551</v>
      </c>
      <c r="B100" s="284" t="str">
        <f>'A) Base RI'!B95</f>
        <v>Bonvillars</v>
      </c>
      <c r="C100" s="10">
        <f>'A) Base RI'!V95</f>
        <v>481</v>
      </c>
      <c r="D100" s="423">
        <f>'C) Prél. conj.'!H94</f>
        <v>54606.425000000003</v>
      </c>
      <c r="E100" s="10">
        <f>'D) Ecrêtage'!M94</f>
        <v>0</v>
      </c>
      <c r="F100" s="423">
        <f>$F$11*'D) Ecrêtage'!C94</f>
        <v>228164.40616460823</v>
      </c>
      <c r="G100" s="55">
        <f t="shared" si="1"/>
        <v>282770.83116460824</v>
      </c>
    </row>
    <row r="101" spans="1:7" x14ac:dyDescent="0.25">
      <c r="A101" s="49">
        <f>'A) Base RI'!A96</f>
        <v>5552</v>
      </c>
      <c r="B101" s="284" t="str">
        <f>'A) Base RI'!B96</f>
        <v>Bullet</v>
      </c>
      <c r="C101" s="10">
        <f>'A) Base RI'!V96</f>
        <v>657</v>
      </c>
      <c r="D101" s="423">
        <f>'C) Prél. conj.'!H95</f>
        <v>200956.995</v>
      </c>
      <c r="E101" s="10">
        <f>'D) Ecrêtage'!M95</f>
        <v>0</v>
      </c>
      <c r="F101" s="423">
        <f>$F$11*'D) Ecrêtage'!C95</f>
        <v>239045.8573293323</v>
      </c>
      <c r="G101" s="55">
        <f t="shared" si="1"/>
        <v>440002.85232933227</v>
      </c>
    </row>
    <row r="102" spans="1:7" x14ac:dyDescent="0.25">
      <c r="A102" s="49">
        <f>'A) Base RI'!A97</f>
        <v>5553</v>
      </c>
      <c r="B102" s="284" t="str">
        <f>'A) Base RI'!B97</f>
        <v>Champagne</v>
      </c>
      <c r="C102" s="10">
        <f>'A) Base RI'!V97</f>
        <v>1085</v>
      </c>
      <c r="D102" s="423">
        <f>'C) Prél. conj.'!H96</f>
        <v>123601.01999999999</v>
      </c>
      <c r="E102" s="10">
        <f>'D) Ecrêtage'!M96</f>
        <v>0</v>
      </c>
      <c r="F102" s="423">
        <f>$F$11*'D) Ecrêtage'!C96</f>
        <v>488926.33888063417</v>
      </c>
      <c r="G102" s="55">
        <f t="shared" si="1"/>
        <v>612527.35888063419</v>
      </c>
    </row>
    <row r="103" spans="1:7" x14ac:dyDescent="0.25">
      <c r="A103" s="49">
        <f>'A) Base RI'!A98</f>
        <v>5554</v>
      </c>
      <c r="B103" s="284" t="str">
        <f>'A) Base RI'!B98</f>
        <v>Concise</v>
      </c>
      <c r="C103" s="10">
        <f>'A) Base RI'!V98</f>
        <v>1004</v>
      </c>
      <c r="D103" s="423">
        <f>'C) Prél. conj.'!H97</f>
        <v>675368.5</v>
      </c>
      <c r="E103" s="10">
        <f>'D) Ecrêtage'!M97</f>
        <v>0</v>
      </c>
      <c r="F103" s="423">
        <f>$F$11*'D) Ecrêtage'!C97</f>
        <v>384210.58875711478</v>
      </c>
      <c r="G103" s="55">
        <f t="shared" si="1"/>
        <v>1059579.0887571147</v>
      </c>
    </row>
    <row r="104" spans="1:7" x14ac:dyDescent="0.25">
      <c r="A104" s="49">
        <f>'A) Base RI'!A99</f>
        <v>5555</v>
      </c>
      <c r="B104" s="284" t="str">
        <f>'A) Base RI'!B99</f>
        <v>Corcelles-près-Concise</v>
      </c>
      <c r="C104" s="10">
        <f>'A) Base RI'!V99</f>
        <v>417</v>
      </c>
      <c r="D104" s="423">
        <f>'C) Prél. conj.'!H98</f>
        <v>52797.734999999993</v>
      </c>
      <c r="E104" s="10">
        <f>'D) Ecrêtage'!M98</f>
        <v>0</v>
      </c>
      <c r="F104" s="423">
        <f>$F$11*'D) Ecrêtage'!C98</f>
        <v>169265.63521670253</v>
      </c>
      <c r="G104" s="55">
        <f t="shared" si="1"/>
        <v>222063.37021670252</v>
      </c>
    </row>
    <row r="105" spans="1:7" x14ac:dyDescent="0.25">
      <c r="A105" s="49">
        <f>'A) Base RI'!A100</f>
        <v>5556</v>
      </c>
      <c r="B105" s="284" t="str">
        <f>'A) Base RI'!B100</f>
        <v>Fiez</v>
      </c>
      <c r="C105" s="10">
        <f>'A) Base RI'!V100</f>
        <v>442</v>
      </c>
      <c r="D105" s="423">
        <f>'C) Prél. conj.'!H99</f>
        <v>28918.375</v>
      </c>
      <c r="E105" s="10">
        <f>'D) Ecrêtage'!M99</f>
        <v>0</v>
      </c>
      <c r="F105" s="423">
        <f>$F$11*'D) Ecrêtage'!C99</f>
        <v>177796.10120805746</v>
      </c>
      <c r="G105" s="55">
        <f t="shared" si="1"/>
        <v>206714.47620805746</v>
      </c>
    </row>
    <row r="106" spans="1:7" x14ac:dyDescent="0.25">
      <c r="A106" s="49">
        <f>'A) Base RI'!A101</f>
        <v>5557</v>
      </c>
      <c r="B106" s="284" t="str">
        <f>'A) Base RI'!B101</f>
        <v>Fontaines-sur-Grandson</v>
      </c>
      <c r="C106" s="10">
        <f>'A) Base RI'!V101</f>
        <v>220</v>
      </c>
      <c r="D106" s="423">
        <f>'C) Prél. conj.'!H100</f>
        <v>6631.4</v>
      </c>
      <c r="E106" s="10">
        <f>'D) Ecrêtage'!M100</f>
        <v>0</v>
      </c>
      <c r="F106" s="423">
        <f>$F$11*'D) Ecrêtage'!C100</f>
        <v>51624.55212430597</v>
      </c>
      <c r="G106" s="55">
        <f t="shared" si="1"/>
        <v>58255.952124305972</v>
      </c>
    </row>
    <row r="107" spans="1:7" x14ac:dyDescent="0.25">
      <c r="A107" s="49">
        <f>'A) Base RI'!A102</f>
        <v>5559</v>
      </c>
      <c r="B107" s="284" t="str">
        <f>'A) Base RI'!B102</f>
        <v>Giez</v>
      </c>
      <c r="C107" s="10">
        <f>'A) Base RI'!V102</f>
        <v>443</v>
      </c>
      <c r="D107" s="423">
        <f>'C) Prél. conj.'!H101</f>
        <v>94406.44</v>
      </c>
      <c r="E107" s="10">
        <f>'D) Ecrêtage'!M101</f>
        <v>26414.90084821132</v>
      </c>
      <c r="F107" s="423">
        <f>$F$11*'D) Ecrêtage'!C101</f>
        <v>285848.57033012318</v>
      </c>
      <c r="G107" s="55">
        <f t="shared" si="1"/>
        <v>406669.9111783345</v>
      </c>
    </row>
    <row r="108" spans="1:7" x14ac:dyDescent="0.25">
      <c r="A108" s="49">
        <f>'A) Base RI'!A103</f>
        <v>5560</v>
      </c>
      <c r="B108" s="284" t="str">
        <f>'A) Base RI'!B103</f>
        <v>Grandevent</v>
      </c>
      <c r="C108" s="10">
        <f>'A) Base RI'!V103</f>
        <v>238</v>
      </c>
      <c r="D108" s="423">
        <f>'C) Prél. conj.'!H102</f>
        <v>43856.100000000006</v>
      </c>
      <c r="E108" s="10">
        <f>'D) Ecrêtage'!M102</f>
        <v>0</v>
      </c>
      <c r="F108" s="423">
        <f>$F$11*'D) Ecrêtage'!C102</f>
        <v>85420.991847660407</v>
      </c>
      <c r="G108" s="55">
        <f t="shared" si="1"/>
        <v>129277.09184766041</v>
      </c>
    </row>
    <row r="109" spans="1:7" x14ac:dyDescent="0.25">
      <c r="A109" s="49">
        <f>'A) Base RI'!A104</f>
        <v>5561</v>
      </c>
      <c r="B109" s="284" t="str">
        <f>'A) Base RI'!B104</f>
        <v>Grandson</v>
      </c>
      <c r="C109" s="10">
        <f>'A) Base RI'!V104</f>
        <v>3366</v>
      </c>
      <c r="D109" s="423">
        <f>'C) Prél. conj.'!H103</f>
        <v>637951</v>
      </c>
      <c r="E109" s="10">
        <f>'D) Ecrêtage'!M103</f>
        <v>0</v>
      </c>
      <c r="F109" s="423">
        <f>$F$11*'D) Ecrêtage'!C103</f>
        <v>1396569.712566701</v>
      </c>
      <c r="G109" s="55">
        <f t="shared" si="1"/>
        <v>2034520.712566701</v>
      </c>
    </row>
    <row r="110" spans="1:7" x14ac:dyDescent="0.25">
      <c r="A110" s="49">
        <f>'A) Base RI'!A105</f>
        <v>5562</v>
      </c>
      <c r="B110" s="284" t="str">
        <f>'A) Base RI'!B105</f>
        <v>Mauborget</v>
      </c>
      <c r="C110" s="10">
        <f>'A) Base RI'!V105</f>
        <v>137</v>
      </c>
      <c r="D110" s="423">
        <f>'C) Prél. conj.'!H104</f>
        <v>22013.715</v>
      </c>
      <c r="E110" s="10">
        <f>'D) Ecrêtage'!M104</f>
        <v>0</v>
      </c>
      <c r="F110" s="423">
        <f>$F$11*'D) Ecrêtage'!C104</f>
        <v>74392.272937777932</v>
      </c>
      <c r="G110" s="55">
        <f t="shared" si="1"/>
        <v>96405.987937777929</v>
      </c>
    </row>
    <row r="111" spans="1:7" x14ac:dyDescent="0.25">
      <c r="A111" s="49">
        <f>'A) Base RI'!A106</f>
        <v>5563</v>
      </c>
      <c r="B111" s="284" t="str">
        <f>'A) Base RI'!B106</f>
        <v>Mutrux</v>
      </c>
      <c r="C111" s="10">
        <f>'A) Base RI'!V106</f>
        <v>151</v>
      </c>
      <c r="D111" s="423">
        <f>'C) Prél. conj.'!H105</f>
        <v>39459.925000000003</v>
      </c>
      <c r="E111" s="10">
        <f>'D) Ecrêtage'!M105</f>
        <v>0</v>
      </c>
      <c r="F111" s="423">
        <f>$F$11*'D) Ecrêtage'!C105</f>
        <v>52228.11189794074</v>
      </c>
      <c r="G111" s="55">
        <f t="shared" si="1"/>
        <v>91688.036897940736</v>
      </c>
    </row>
    <row r="112" spans="1:7" x14ac:dyDescent="0.25">
      <c r="A112" s="49">
        <f>'A) Base RI'!A107</f>
        <v>5564</v>
      </c>
      <c r="B112" s="284" t="str">
        <f>'A) Base RI'!B107</f>
        <v>Novalles</v>
      </c>
      <c r="C112" s="10">
        <f>'A) Base RI'!V107</f>
        <v>103</v>
      </c>
      <c r="D112" s="423">
        <f>'C) Prél. conj.'!H106</f>
        <v>1825.7750000000001</v>
      </c>
      <c r="E112" s="10">
        <f>'D) Ecrêtage'!M106</f>
        <v>0</v>
      </c>
      <c r="F112" s="423">
        <f>$F$11*'D) Ecrêtage'!C106</f>
        <v>25607.076817671274</v>
      </c>
      <c r="G112" s="55">
        <f t="shared" si="1"/>
        <v>27432.851817671275</v>
      </c>
    </row>
    <row r="113" spans="1:7" x14ac:dyDescent="0.25">
      <c r="A113" s="49">
        <f>'A) Base RI'!A108</f>
        <v>5565</v>
      </c>
      <c r="B113" s="284" t="str">
        <f>'A) Base RI'!B108</f>
        <v>Onnens</v>
      </c>
      <c r="C113" s="10">
        <f>'A) Base RI'!V108</f>
        <v>495</v>
      </c>
      <c r="D113" s="423">
        <f>'C) Prél. conj.'!H107</f>
        <v>56548.214999999997</v>
      </c>
      <c r="E113" s="10">
        <f>'D) Ecrêtage'!M107</f>
        <v>0</v>
      </c>
      <c r="F113" s="423">
        <f>$F$11*'D) Ecrêtage'!C107</f>
        <v>276901.69558699051</v>
      </c>
      <c r="G113" s="55">
        <f t="shared" si="1"/>
        <v>333449.91058699053</v>
      </c>
    </row>
    <row r="114" spans="1:7" x14ac:dyDescent="0.25">
      <c r="A114" s="49">
        <f>'A) Base RI'!A109</f>
        <v>5566</v>
      </c>
      <c r="B114" s="284" t="str">
        <f>'A) Base RI'!B109</f>
        <v>Provence</v>
      </c>
      <c r="C114" s="10">
        <f>'A) Base RI'!V109</f>
        <v>403</v>
      </c>
      <c r="D114" s="423">
        <f>'C) Prél. conj.'!H108</f>
        <v>27530.954999999998</v>
      </c>
      <c r="E114" s="10">
        <f>'D) Ecrêtage'!M108</f>
        <v>0</v>
      </c>
      <c r="F114" s="423">
        <f>$F$11*'D) Ecrêtage'!C108</f>
        <v>114376.56927423243</v>
      </c>
      <c r="G114" s="55">
        <f t="shared" si="1"/>
        <v>141907.52427423242</v>
      </c>
    </row>
    <row r="115" spans="1:7" x14ac:dyDescent="0.25">
      <c r="A115" s="49">
        <f>'A) Base RI'!A110</f>
        <v>5568</v>
      </c>
      <c r="B115" s="284" t="str">
        <f>'A) Base RI'!B110</f>
        <v>Sainte-Croix</v>
      </c>
      <c r="C115" s="10">
        <f>'A) Base RI'!V110</f>
        <v>4948</v>
      </c>
      <c r="D115" s="423">
        <f>'C) Prél. conj.'!H109</f>
        <v>1251158.8849999998</v>
      </c>
      <c r="E115" s="10">
        <f>'D) Ecrêtage'!M109</f>
        <v>0</v>
      </c>
      <c r="F115" s="423">
        <f>$F$11*'D) Ecrêtage'!C109</f>
        <v>1331511.5604851497</v>
      </c>
      <c r="G115" s="55">
        <f t="shared" si="1"/>
        <v>2582670.4454851495</v>
      </c>
    </row>
    <row r="116" spans="1:7" x14ac:dyDescent="0.25">
      <c r="A116" s="49">
        <f>'A) Base RI'!A111</f>
        <v>5571</v>
      </c>
      <c r="B116" s="284" t="str">
        <f>'A) Base RI'!B111</f>
        <v>Tévenon</v>
      </c>
      <c r="C116" s="10">
        <f>'A) Base RI'!V111</f>
        <v>883</v>
      </c>
      <c r="D116" s="423">
        <f>'C) Prél. conj.'!H110</f>
        <v>121205.75999999999</v>
      </c>
      <c r="E116" s="10">
        <f>'D) Ecrêtage'!M110</f>
        <v>0</v>
      </c>
      <c r="F116" s="423">
        <f>$F$11*'D) Ecrêtage'!C110</f>
        <v>308878.55026176386</v>
      </c>
      <c r="G116" s="55">
        <f t="shared" si="1"/>
        <v>430084.31026176387</v>
      </c>
    </row>
    <row r="117" spans="1:7" x14ac:dyDescent="0.25">
      <c r="A117" s="49">
        <f>'A) Base RI'!A112</f>
        <v>5581</v>
      </c>
      <c r="B117" s="284" t="str">
        <f>'A) Base RI'!B112</f>
        <v>Belmont-sur-Lausanne</v>
      </c>
      <c r="C117" s="10">
        <f>'A) Base RI'!V112</f>
        <v>3871</v>
      </c>
      <c r="D117" s="423">
        <f>'C) Prél. conj.'!H111</f>
        <v>806356.11499999999</v>
      </c>
      <c r="E117" s="10">
        <f>'D) Ecrêtage'!M111</f>
        <v>405017.16480602929</v>
      </c>
      <c r="F117" s="423">
        <f>$F$11*'D) Ecrêtage'!C111</f>
        <v>2627558.2102247416</v>
      </c>
      <c r="G117" s="55">
        <f t="shared" si="1"/>
        <v>3838931.4900307707</v>
      </c>
    </row>
    <row r="118" spans="1:7" x14ac:dyDescent="0.25">
      <c r="A118" s="49">
        <f>'A) Base RI'!A113</f>
        <v>5582</v>
      </c>
      <c r="B118" s="284" t="str">
        <f>'A) Base RI'!B113</f>
        <v>Cheseaux-sur-Lausanne</v>
      </c>
      <c r="C118" s="10">
        <f>'A) Base RI'!V113</f>
        <v>4449</v>
      </c>
      <c r="D118" s="423">
        <f>'C) Prél. conj.'!H112</f>
        <v>1025974.0700000001</v>
      </c>
      <c r="E118" s="10">
        <f>'D) Ecrêtage'!M112</f>
        <v>0</v>
      </c>
      <c r="F118" s="423">
        <f>$F$11*'D) Ecrêtage'!C112</f>
        <v>2042992.3856456117</v>
      </c>
      <c r="G118" s="55">
        <f t="shared" si="1"/>
        <v>3068966.4556456115</v>
      </c>
    </row>
    <row r="119" spans="1:7" x14ac:dyDescent="0.25">
      <c r="A119" s="49">
        <f>'A) Base RI'!A114</f>
        <v>5583</v>
      </c>
      <c r="B119" s="284" t="str">
        <f>'A) Base RI'!B114</f>
        <v>Crissier</v>
      </c>
      <c r="C119" s="10">
        <f>'A) Base RI'!V114</f>
        <v>8974</v>
      </c>
      <c r="D119" s="423">
        <f>'C) Prél. conj.'!H113</f>
        <v>2107936.1950000003</v>
      </c>
      <c r="E119" s="10">
        <f>'D) Ecrêtage'!M113</f>
        <v>0</v>
      </c>
      <c r="F119" s="423">
        <f>$F$11*'D) Ecrêtage'!C113</f>
        <v>4116923.1658176524</v>
      </c>
      <c r="G119" s="55">
        <f t="shared" si="1"/>
        <v>6224859.3608176522</v>
      </c>
    </row>
    <row r="120" spans="1:7" x14ac:dyDescent="0.25">
      <c r="A120" s="49">
        <f>'A) Base RI'!A115</f>
        <v>5584</v>
      </c>
      <c r="B120" s="284" t="str">
        <f>'A) Base RI'!B115</f>
        <v>Epalinges</v>
      </c>
      <c r="C120" s="10">
        <f>'A) Base RI'!V115</f>
        <v>9813</v>
      </c>
      <c r="D120" s="423">
        <f>'C) Prél. conj.'!H114</f>
        <v>1879359.365</v>
      </c>
      <c r="E120" s="10">
        <f>'D) Ecrêtage'!M114</f>
        <v>540973.07783020718</v>
      </c>
      <c r="F120" s="423">
        <f>$F$11*'D) Ecrêtage'!C114</f>
        <v>6302731.7532765809</v>
      </c>
      <c r="G120" s="55">
        <f t="shared" si="1"/>
        <v>8723064.1961067878</v>
      </c>
    </row>
    <row r="121" spans="1:7" x14ac:dyDescent="0.25">
      <c r="A121" s="49">
        <f>'A) Base RI'!A116</f>
        <v>5585</v>
      </c>
      <c r="B121" s="284" t="str">
        <f>'A) Base RI'!B116</f>
        <v>Jouxtens-Mézery</v>
      </c>
      <c r="C121" s="10">
        <f>'A) Base RI'!V116</f>
        <v>1460</v>
      </c>
      <c r="D121" s="423">
        <f>'C) Prél. conj.'!H115</f>
        <v>442829.02999999997</v>
      </c>
      <c r="E121" s="10">
        <f>'D) Ecrêtage'!M115</f>
        <v>2863821.2632854325</v>
      </c>
      <c r="F121" s="423">
        <f>$F$11*'D) Ecrêtage'!C115</f>
        <v>2338610.7343268967</v>
      </c>
      <c r="G121" s="55">
        <f t="shared" si="1"/>
        <v>5645261.0276123285</v>
      </c>
    </row>
    <row r="122" spans="1:7" x14ac:dyDescent="0.25">
      <c r="A122" s="49">
        <f>'A) Base RI'!A117</f>
        <v>5586</v>
      </c>
      <c r="B122" s="284" t="str">
        <f>'A) Base RI'!B117</f>
        <v>Lausanne</v>
      </c>
      <c r="C122" s="10">
        <f>'A) Base RI'!V117</f>
        <v>140824</v>
      </c>
      <c r="D122" s="423">
        <f>'C) Prél. conj.'!H116</f>
        <v>28112945.245000001</v>
      </c>
      <c r="E122" s="10">
        <f>'D) Ecrêtage'!M116</f>
        <v>0</v>
      </c>
      <c r="F122" s="423">
        <f>$F$11*'D) Ecrêtage'!C116</f>
        <v>78807395.688801497</v>
      </c>
      <c r="G122" s="55">
        <f t="shared" si="1"/>
        <v>106920340.9338015</v>
      </c>
    </row>
    <row r="123" spans="1:7" x14ac:dyDescent="0.25">
      <c r="A123" s="49">
        <f>'A) Base RI'!A118</f>
        <v>5587</v>
      </c>
      <c r="B123" s="284" t="str">
        <f>'A) Base RI'!B118</f>
        <v>Le Mont-sur-Lausanne</v>
      </c>
      <c r="C123" s="10">
        <f>'A) Base RI'!V118</f>
        <v>9217</v>
      </c>
      <c r="D123" s="423">
        <f>'C) Prél. conj.'!H117</f>
        <v>2695854.1850000001</v>
      </c>
      <c r="E123" s="10">
        <f>'D) Ecrêtage'!M117</f>
        <v>721275.00602703122</v>
      </c>
      <c r="F123" s="423">
        <f>$F$11*'D) Ecrêtage'!C117</f>
        <v>6037961.1492644129</v>
      </c>
      <c r="G123" s="55">
        <f t="shared" si="1"/>
        <v>9455090.3402914442</v>
      </c>
    </row>
    <row r="124" spans="1:7" x14ac:dyDescent="0.25">
      <c r="A124" s="49">
        <f>'A) Base RI'!A119</f>
        <v>5588</v>
      </c>
      <c r="B124" s="284" t="str">
        <f>'A) Base RI'!B119</f>
        <v>Paudex</v>
      </c>
      <c r="C124" s="10">
        <f>'A) Base RI'!V119</f>
        <v>1545</v>
      </c>
      <c r="D124" s="423">
        <f>'C) Prél. conj.'!H118</f>
        <v>194739.33999999997</v>
      </c>
      <c r="E124" s="10">
        <f>'D) Ecrêtage'!M118</f>
        <v>3842992.6671621385</v>
      </c>
      <c r="F124" s="423">
        <f>$F$11*'D) Ecrêtage'!C118</f>
        <v>2631465.4093053583</v>
      </c>
      <c r="G124" s="55">
        <f t="shared" si="1"/>
        <v>6669197.4164674971</v>
      </c>
    </row>
    <row r="125" spans="1:7" x14ac:dyDescent="0.25">
      <c r="A125" s="49">
        <f>'A) Base RI'!A120</f>
        <v>5589</v>
      </c>
      <c r="B125" s="284" t="str">
        <f>'A) Base RI'!B120</f>
        <v>Prilly</v>
      </c>
      <c r="C125" s="10">
        <f>'A) Base RI'!V120</f>
        <v>12341</v>
      </c>
      <c r="D125" s="423">
        <f>'C) Prél. conj.'!H119</f>
        <v>1649998.4200000002</v>
      </c>
      <c r="E125" s="10">
        <f>'D) Ecrêtage'!M119</f>
        <v>0</v>
      </c>
      <c r="F125" s="423">
        <f>$F$11*'D) Ecrêtage'!C119</f>
        <v>5117027.1291905232</v>
      </c>
      <c r="G125" s="55">
        <f t="shared" si="1"/>
        <v>6767025.5491905231</v>
      </c>
    </row>
    <row r="126" spans="1:7" x14ac:dyDescent="0.25">
      <c r="A126" s="49">
        <f>'A) Base RI'!A121</f>
        <v>5590</v>
      </c>
      <c r="B126" s="284" t="str">
        <f>'A) Base RI'!B121</f>
        <v>Pully</v>
      </c>
      <c r="C126" s="10">
        <f>'A) Base RI'!V121</f>
        <v>18946</v>
      </c>
      <c r="D126" s="423">
        <f>'C) Prél. conj.'!H120</f>
        <v>4812574.74</v>
      </c>
      <c r="E126" s="10">
        <f>'D) Ecrêtage'!M120</f>
        <v>12830501.392579285</v>
      </c>
      <c r="F126" s="423">
        <f>$F$11*'D) Ecrêtage'!C120</f>
        <v>19551320.576458119</v>
      </c>
      <c r="G126" s="55">
        <f t="shared" si="1"/>
        <v>37194396.709037408</v>
      </c>
    </row>
    <row r="127" spans="1:7" x14ac:dyDescent="0.25">
      <c r="A127" s="49">
        <f>'A) Base RI'!A122</f>
        <v>5591</v>
      </c>
      <c r="B127" s="284" t="str">
        <f>'A) Base RI'!B122</f>
        <v>Renens</v>
      </c>
      <c r="C127" s="10">
        <f>'A) Base RI'!V122</f>
        <v>20917</v>
      </c>
      <c r="D127" s="423">
        <f>'C) Prél. conj.'!H121</f>
        <v>3122045.1399999997</v>
      </c>
      <c r="E127" s="10">
        <f>'D) Ecrêtage'!M121</f>
        <v>0</v>
      </c>
      <c r="F127" s="423">
        <f>$F$11*'D) Ecrêtage'!C121</f>
        <v>6949359.7244674237</v>
      </c>
      <c r="G127" s="55">
        <f t="shared" si="1"/>
        <v>10071404.864467423</v>
      </c>
    </row>
    <row r="128" spans="1:7" x14ac:dyDescent="0.25">
      <c r="A128" s="49">
        <f>'A) Base RI'!A123</f>
        <v>5592</v>
      </c>
      <c r="B128" s="284" t="str">
        <f>'A) Base RI'!B123</f>
        <v>Romanel-sur-Lausanne</v>
      </c>
      <c r="C128" s="10">
        <f>'A) Base RI'!V123</f>
        <v>3482</v>
      </c>
      <c r="D128" s="423">
        <f>'C) Prél. conj.'!H122</f>
        <v>867329.35499999998</v>
      </c>
      <c r="E128" s="10">
        <f>'D) Ecrêtage'!M122</f>
        <v>0</v>
      </c>
      <c r="F128" s="423">
        <f>$F$11*'D) Ecrêtage'!C122</f>
        <v>1476828.7509984057</v>
      </c>
      <c r="G128" s="55">
        <f t="shared" si="1"/>
        <v>2344158.1059984057</v>
      </c>
    </row>
    <row r="129" spans="1:7" x14ac:dyDescent="0.25">
      <c r="A129" s="49">
        <f>'A) Base RI'!A124</f>
        <v>5601</v>
      </c>
      <c r="B129" s="284" t="str">
        <f>'A) Base RI'!B124</f>
        <v>Chexbres</v>
      </c>
      <c r="C129" s="10">
        <f>'A) Base RI'!V124</f>
        <v>2229</v>
      </c>
      <c r="D129" s="423">
        <f>'C) Prél. conj.'!H123</f>
        <v>282701.375</v>
      </c>
      <c r="E129" s="10">
        <f>'D) Ecrêtage'!M123</f>
        <v>0</v>
      </c>
      <c r="F129" s="423">
        <f>$F$11*'D) Ecrêtage'!C123</f>
        <v>1292497.3484174507</v>
      </c>
      <c r="G129" s="55">
        <f t="shared" si="1"/>
        <v>1575198.7234174507</v>
      </c>
    </row>
    <row r="130" spans="1:7" x14ac:dyDescent="0.25">
      <c r="A130" s="49">
        <f>'A) Base RI'!A125</f>
        <v>5604</v>
      </c>
      <c r="B130" s="284" t="str">
        <f>'A) Base RI'!B125</f>
        <v>Forel (Lavaux)</v>
      </c>
      <c r="C130" s="10">
        <f>'A) Base RI'!V125</f>
        <v>2110</v>
      </c>
      <c r="D130" s="423">
        <f>'C) Prél. conj.'!H124</f>
        <v>225189.595</v>
      </c>
      <c r="E130" s="10">
        <f>'D) Ecrêtage'!M124</f>
        <v>0</v>
      </c>
      <c r="F130" s="423">
        <f>$F$11*'D) Ecrêtage'!C124</f>
        <v>924723.24121787155</v>
      </c>
      <c r="G130" s="55">
        <f t="shared" si="1"/>
        <v>1149912.8362178716</v>
      </c>
    </row>
    <row r="131" spans="1:7" x14ac:dyDescent="0.25">
      <c r="A131" s="49">
        <f>'A) Base RI'!A126</f>
        <v>5606</v>
      </c>
      <c r="B131" s="284" t="str">
        <f>'A) Base RI'!B126</f>
        <v>Lutry</v>
      </c>
      <c r="C131" s="10">
        <f>'A) Base RI'!V126</f>
        <v>10704</v>
      </c>
      <c r="D131" s="423">
        <f>'C) Prél. conj.'!H125</f>
        <v>6014393.8049999997</v>
      </c>
      <c r="E131" s="10">
        <f>'D) Ecrêtage'!M125</f>
        <v>7183129.2886520224</v>
      </c>
      <c r="F131" s="423">
        <f>$F$11*'D) Ecrêtage'!C125</f>
        <v>11478552.419917684</v>
      </c>
      <c r="G131" s="55">
        <f t="shared" si="1"/>
        <v>24676075.513569705</v>
      </c>
    </row>
    <row r="132" spans="1:7" x14ac:dyDescent="0.25">
      <c r="A132" s="49">
        <f>'A) Base RI'!A127</f>
        <v>5607</v>
      </c>
      <c r="B132" s="284" t="str">
        <f>'A) Base RI'!B127</f>
        <v>Puidoux</v>
      </c>
      <c r="C132" s="10">
        <f>'A) Base RI'!V127</f>
        <v>2924</v>
      </c>
      <c r="D132" s="423">
        <f>'C) Prél. conj.'!H126</f>
        <v>558305.72499999998</v>
      </c>
      <c r="E132" s="10">
        <f>'D) Ecrêtage'!M126</f>
        <v>0</v>
      </c>
      <c r="F132" s="423">
        <f>$F$11*'D) Ecrêtage'!C126</f>
        <v>1360886.8748753173</v>
      </c>
      <c r="G132" s="55">
        <f t="shared" si="1"/>
        <v>1919192.5998753174</v>
      </c>
    </row>
    <row r="133" spans="1:7" x14ac:dyDescent="0.25">
      <c r="A133" s="49">
        <f>'A) Base RI'!A128</f>
        <v>5609</v>
      </c>
      <c r="B133" s="284" t="str">
        <f>'A) Base RI'!B128</f>
        <v>Rivaz</v>
      </c>
      <c r="C133" s="10">
        <f>'A) Base RI'!V128</f>
        <v>331</v>
      </c>
      <c r="D133" s="423">
        <f>'C) Prél. conj.'!H127</f>
        <v>19024.95</v>
      </c>
      <c r="E133" s="10">
        <f>'D) Ecrêtage'!M127</f>
        <v>0</v>
      </c>
      <c r="F133" s="423">
        <f>$F$11*'D) Ecrêtage'!C127</f>
        <v>181684.85276722719</v>
      </c>
      <c r="G133" s="55">
        <f t="shared" si="1"/>
        <v>200709.8027672272</v>
      </c>
    </row>
    <row r="134" spans="1:7" x14ac:dyDescent="0.25">
      <c r="A134" s="49">
        <f>'A) Base RI'!A129</f>
        <v>5610</v>
      </c>
      <c r="B134" s="284" t="str">
        <f>'A) Base RI'!B129</f>
        <v>St-Saphorin (Lavaux)</v>
      </c>
      <c r="C134" s="10">
        <f>'A) Base RI'!V129</f>
        <v>396</v>
      </c>
      <c r="D134" s="423">
        <f>'C) Prél. conj.'!H128</f>
        <v>289822.40000000002</v>
      </c>
      <c r="E134" s="10">
        <f>'D) Ecrêtage'!M128</f>
        <v>65002.876991836747</v>
      </c>
      <c r="F134" s="423">
        <f>$F$11*'D) Ecrêtage'!C128</f>
        <v>285988.48641179403</v>
      </c>
      <c r="G134" s="55">
        <f t="shared" si="1"/>
        <v>640813.7634036307</v>
      </c>
    </row>
    <row r="135" spans="1:7" x14ac:dyDescent="0.25">
      <c r="A135" s="49">
        <f>'A) Base RI'!A130</f>
        <v>5611</v>
      </c>
      <c r="B135" s="284" t="str">
        <f>'A) Base RI'!B130</f>
        <v>Savigny</v>
      </c>
      <c r="C135" s="10">
        <f>'A) Base RI'!V130</f>
        <v>3370</v>
      </c>
      <c r="D135" s="423">
        <f>'C) Prél. conj.'!H129</f>
        <v>444752.64999999997</v>
      </c>
      <c r="E135" s="10">
        <f>'D) Ecrêtage'!M129</f>
        <v>0</v>
      </c>
      <c r="F135" s="423">
        <f>$F$11*'D) Ecrêtage'!C129</f>
        <v>1719496.6834917921</v>
      </c>
      <c r="G135" s="55">
        <f t="shared" si="1"/>
        <v>2164249.333491792</v>
      </c>
    </row>
    <row r="136" spans="1:7" x14ac:dyDescent="0.25">
      <c r="A136" s="49">
        <f>'A) Base RI'!A131</f>
        <v>5613</v>
      </c>
      <c r="B136" s="284" t="str">
        <f>'A) Base RI'!B131</f>
        <v>Bourg-en-Lavaux</v>
      </c>
      <c r="C136" s="10">
        <f>'A) Base RI'!V131</f>
        <v>5367</v>
      </c>
      <c r="D136" s="423">
        <f>'C) Prél. conj.'!H130</f>
        <v>1020705.53</v>
      </c>
      <c r="E136" s="10">
        <f>'D) Ecrêtage'!M130</f>
        <v>1503735.7577045986</v>
      </c>
      <c r="F136" s="423">
        <f>$F$11*'D) Ecrêtage'!C130</f>
        <v>4356708.3411774747</v>
      </c>
      <c r="G136" s="55">
        <f t="shared" si="1"/>
        <v>6881149.6288820738</v>
      </c>
    </row>
    <row r="137" spans="1:7" x14ac:dyDescent="0.25">
      <c r="A137" s="49">
        <f>'A) Base RI'!A132</f>
        <v>5621</v>
      </c>
      <c r="B137" s="284" t="str">
        <f>'A) Base RI'!B132</f>
        <v>Aclens</v>
      </c>
      <c r="C137" s="10">
        <f>'A) Base RI'!V132</f>
        <v>517</v>
      </c>
      <c r="D137" s="423">
        <f>'C) Prél. conj.'!H131</f>
        <v>215232.17499999999</v>
      </c>
      <c r="E137" s="10">
        <f>'D) Ecrêtage'!M131</f>
        <v>103917.32182861028</v>
      </c>
      <c r="F137" s="423">
        <f>$F$11*'D) Ecrêtage'!C131</f>
        <v>393595.89568882115</v>
      </c>
      <c r="G137" s="55">
        <f t="shared" si="1"/>
        <v>712745.39251743141</v>
      </c>
    </row>
    <row r="138" spans="1:7" x14ac:dyDescent="0.25">
      <c r="A138" s="49">
        <f>'A) Base RI'!A133</f>
        <v>5622</v>
      </c>
      <c r="B138" s="284" t="str">
        <f>'A) Base RI'!B133</f>
        <v>Bremblens</v>
      </c>
      <c r="C138" s="10">
        <f>'A) Base RI'!V133</f>
        <v>607</v>
      </c>
      <c r="D138" s="423">
        <f>'C) Prél. conj.'!H132</f>
        <v>113830.845</v>
      </c>
      <c r="E138" s="10">
        <f>'D) Ecrêtage'!M132</f>
        <v>0</v>
      </c>
      <c r="F138" s="423">
        <f>$F$11*'D) Ecrêtage'!C132</f>
        <v>349354.96467027965</v>
      </c>
      <c r="G138" s="55">
        <f t="shared" si="1"/>
        <v>463185.80967027962</v>
      </c>
    </row>
    <row r="139" spans="1:7" x14ac:dyDescent="0.25">
      <c r="A139" s="49">
        <f>'A) Base RI'!A134</f>
        <v>5623</v>
      </c>
      <c r="B139" s="284" t="str">
        <f>'A) Base RI'!B134</f>
        <v>Buchillon</v>
      </c>
      <c r="C139" s="10">
        <f>'A) Base RI'!V134</f>
        <v>669</v>
      </c>
      <c r="D139" s="423">
        <f>'C) Prél. conj.'!H133</f>
        <v>112752.015</v>
      </c>
      <c r="E139" s="10">
        <f>'D) Ecrêtage'!M133</f>
        <v>1192206.3479165733</v>
      </c>
      <c r="F139" s="423">
        <f>$F$11*'D) Ecrêtage'!C133</f>
        <v>1088314.8960383527</v>
      </c>
      <c r="G139" s="55">
        <f t="shared" si="1"/>
        <v>2393273.2589549259</v>
      </c>
    </row>
    <row r="140" spans="1:7" x14ac:dyDescent="0.25">
      <c r="A140" s="49">
        <f>'A) Base RI'!A135</f>
        <v>5624</v>
      </c>
      <c r="B140" s="284" t="str">
        <f>'A) Base RI'!B135</f>
        <v>Bussigny</v>
      </c>
      <c r="C140" s="10">
        <f>'A) Base RI'!V135</f>
        <v>10253</v>
      </c>
      <c r="D140" s="423">
        <f>'C) Prél. conj.'!H134</f>
        <v>2313621.4750000001</v>
      </c>
      <c r="E140" s="10">
        <f>'D) Ecrêtage'!M134</f>
        <v>0</v>
      </c>
      <c r="F140" s="423">
        <f>$F$11*'D) Ecrêtage'!C134</f>
        <v>5390591.3749058284</v>
      </c>
      <c r="G140" s="55">
        <f t="shared" si="1"/>
        <v>7704212.849905828</v>
      </c>
    </row>
    <row r="141" spans="1:7" x14ac:dyDescent="0.25">
      <c r="A141" s="49">
        <f>'A) Base RI'!A136</f>
        <v>5625</v>
      </c>
      <c r="B141" s="284" t="str">
        <f>'A) Base RI'!B136</f>
        <v>Bussy-Chardonney</v>
      </c>
      <c r="C141" s="10">
        <f>'A) Base RI'!V136</f>
        <v>412</v>
      </c>
      <c r="D141" s="423">
        <f>'C) Prél. conj.'!H135</f>
        <v>12622.025000000001</v>
      </c>
      <c r="E141" s="10">
        <f>'D) Ecrêtage'!M135</f>
        <v>16886.314251636228</v>
      </c>
      <c r="F141" s="423">
        <f>$F$11*'D) Ecrêtage'!C135</f>
        <v>257449.15414886209</v>
      </c>
      <c r="G141" s="55">
        <f t="shared" ref="G141:G204" si="2">D141+F141+E141</f>
        <v>286957.49340049829</v>
      </c>
    </row>
    <row r="142" spans="1:7" x14ac:dyDescent="0.25">
      <c r="A142" s="49">
        <f>'A) Base RI'!A137</f>
        <v>5627</v>
      </c>
      <c r="B142" s="284" t="str">
        <f>'A) Base RI'!B137</f>
        <v>Chavannes-près-Renens</v>
      </c>
      <c r="C142" s="10">
        <f>'A) Base RI'!V137</f>
        <v>8767</v>
      </c>
      <c r="D142" s="423">
        <f>'C) Prél. conj.'!H136</f>
        <v>1064814.875</v>
      </c>
      <c r="E142" s="10">
        <f>'D) Ecrêtage'!M136</f>
        <v>0</v>
      </c>
      <c r="F142" s="423">
        <f>$F$11*'D) Ecrêtage'!C136</f>
        <v>2367004.6561185285</v>
      </c>
      <c r="G142" s="55">
        <f t="shared" si="2"/>
        <v>3431819.5311185285</v>
      </c>
    </row>
    <row r="143" spans="1:7" x14ac:dyDescent="0.25">
      <c r="A143" s="49">
        <f>'A) Base RI'!A138</f>
        <v>5628</v>
      </c>
      <c r="B143" s="284" t="str">
        <f>'A) Base RI'!B138</f>
        <v>Chigny</v>
      </c>
      <c r="C143" s="10">
        <f>'A) Base RI'!V138</f>
        <v>405</v>
      </c>
      <c r="D143" s="423">
        <f>'C) Prél. conj.'!H137</f>
        <v>27191.954999999998</v>
      </c>
      <c r="E143" s="10">
        <f>'D) Ecrêtage'!M137</f>
        <v>90903.912399060719</v>
      </c>
      <c r="F143" s="423">
        <f>$F$11*'D) Ecrêtage'!C137</f>
        <v>314557.97523226449</v>
      </c>
      <c r="G143" s="55">
        <f t="shared" si="2"/>
        <v>432653.84263132524</v>
      </c>
    </row>
    <row r="144" spans="1:7" x14ac:dyDescent="0.25">
      <c r="A144" s="49">
        <f>'A) Base RI'!A139</f>
        <v>5629</v>
      </c>
      <c r="B144" s="284" t="str">
        <f>'A) Base RI'!B139</f>
        <v>Clarmont</v>
      </c>
      <c r="C144" s="10">
        <f>'A) Base RI'!V139</f>
        <v>211</v>
      </c>
      <c r="D144" s="423">
        <f>'C) Prél. conj.'!H138</f>
        <v>13536.025000000001</v>
      </c>
      <c r="E144" s="10">
        <f>'D) Ecrêtage'!M138</f>
        <v>0</v>
      </c>
      <c r="F144" s="423">
        <f>$F$11*'D) Ecrêtage'!C138</f>
        <v>121331.24260375687</v>
      </c>
      <c r="G144" s="55">
        <f t="shared" si="2"/>
        <v>134867.26760375686</v>
      </c>
    </row>
    <row r="145" spans="1:7" x14ac:dyDescent="0.25">
      <c r="A145" s="49">
        <f>'A) Base RI'!A140</f>
        <v>5631</v>
      </c>
      <c r="B145" s="284" t="str">
        <f>'A) Base RI'!B140</f>
        <v>Denens</v>
      </c>
      <c r="C145" s="10">
        <f>'A) Base RI'!V140</f>
        <v>733</v>
      </c>
      <c r="D145" s="423">
        <f>'C) Prél. conj.'!H139</f>
        <v>270424.93</v>
      </c>
      <c r="E145" s="10">
        <f>'D) Ecrêtage'!M139</f>
        <v>111329.01783372278</v>
      </c>
      <c r="F145" s="423">
        <f>$F$11*'D) Ecrêtage'!C139</f>
        <v>527988.02169489604</v>
      </c>
      <c r="G145" s="55">
        <f t="shared" si="2"/>
        <v>909741.96952861873</v>
      </c>
    </row>
    <row r="146" spans="1:7" x14ac:dyDescent="0.25">
      <c r="A146" s="49">
        <f>'A) Base RI'!A141</f>
        <v>5632</v>
      </c>
      <c r="B146" s="284" t="str">
        <f>'A) Base RI'!B141</f>
        <v>Denges</v>
      </c>
      <c r="C146" s="10">
        <f>'A) Base RI'!V141</f>
        <v>1744</v>
      </c>
      <c r="D146" s="423">
        <f>'C) Prél. conj.'!H140</f>
        <v>238251.48</v>
      </c>
      <c r="E146" s="10">
        <f>'D) Ecrêtage'!M140</f>
        <v>0</v>
      </c>
      <c r="F146" s="423">
        <f>$F$11*'D) Ecrêtage'!C140</f>
        <v>982074.64810872287</v>
      </c>
      <c r="G146" s="55">
        <f t="shared" si="2"/>
        <v>1220326.1281087229</v>
      </c>
    </row>
    <row r="147" spans="1:7" x14ac:dyDescent="0.25">
      <c r="A147" s="49">
        <f>'A) Base RI'!A142</f>
        <v>5633</v>
      </c>
      <c r="B147" s="284" t="str">
        <f>'A) Base RI'!B142</f>
        <v>Echandens</v>
      </c>
      <c r="C147" s="10">
        <f>'A) Base RI'!V142</f>
        <v>2775</v>
      </c>
      <c r="D147" s="423">
        <f>'C) Prél. conj.'!H141</f>
        <v>324880.06999999995</v>
      </c>
      <c r="E147" s="10">
        <f>'D) Ecrêtage'!M141</f>
        <v>464951.79160094855</v>
      </c>
      <c r="F147" s="423">
        <f>$F$11*'D) Ecrêtage'!C141</f>
        <v>2059319.3249443781</v>
      </c>
      <c r="G147" s="55">
        <f t="shared" si="2"/>
        <v>2849151.1865453268</v>
      </c>
    </row>
    <row r="148" spans="1:7" x14ac:dyDescent="0.25">
      <c r="A148" s="49">
        <f>'A) Base RI'!A143</f>
        <v>5634</v>
      </c>
      <c r="B148" s="284" t="str">
        <f>'A) Base RI'!B143</f>
        <v>Echichens</v>
      </c>
      <c r="C148" s="10">
        <f>'A) Base RI'!V143</f>
        <v>3142</v>
      </c>
      <c r="D148" s="423">
        <f>'C) Prél. conj.'!H142</f>
        <v>541465.33499999996</v>
      </c>
      <c r="E148" s="10">
        <f>'D) Ecrêtage'!M142</f>
        <v>7048.2218850564741</v>
      </c>
      <c r="F148" s="423">
        <f>$F$11*'D) Ecrêtage'!C142</f>
        <v>1860802.0556022874</v>
      </c>
      <c r="G148" s="55">
        <f t="shared" si="2"/>
        <v>2409315.6124873441</v>
      </c>
    </row>
    <row r="149" spans="1:7" x14ac:dyDescent="0.25">
      <c r="A149" s="49">
        <f>'A) Base RI'!A144</f>
        <v>5635</v>
      </c>
      <c r="B149" s="284" t="str">
        <f>'A) Base RI'!B144</f>
        <v>Ecublens</v>
      </c>
      <c r="C149" s="10">
        <f>'A) Base RI'!V144</f>
        <v>13214</v>
      </c>
      <c r="D149" s="423">
        <f>'C) Prél. conj.'!H143</f>
        <v>2114807.395</v>
      </c>
      <c r="E149" s="10">
        <f>'D) Ecrêtage'!M143</f>
        <v>3568915.5615947582</v>
      </c>
      <c r="F149" s="423">
        <f>$F$11*'D) Ecrêtage'!C143</f>
        <v>10639799.709316762</v>
      </c>
      <c r="G149" s="55">
        <f t="shared" si="2"/>
        <v>16323522.66591152</v>
      </c>
    </row>
    <row r="150" spans="1:7" x14ac:dyDescent="0.25">
      <c r="A150" s="49">
        <f>'A) Base RI'!A145</f>
        <v>5636</v>
      </c>
      <c r="B150" s="284" t="str">
        <f>'A) Base RI'!B145</f>
        <v>Etoy</v>
      </c>
      <c r="C150" s="10">
        <f>'A) Base RI'!V145</f>
        <v>2918</v>
      </c>
      <c r="D150" s="423">
        <f>'C) Prél. conj.'!H144</f>
        <v>1109816.7150000001</v>
      </c>
      <c r="E150" s="10">
        <f>'D) Ecrêtage'!M144</f>
        <v>656179.83895450365</v>
      </c>
      <c r="F150" s="423">
        <f>$F$11*'D) Ecrêtage'!C144</f>
        <v>2281515.0229839082</v>
      </c>
      <c r="G150" s="55">
        <f t="shared" si="2"/>
        <v>4047511.5769384122</v>
      </c>
    </row>
    <row r="151" spans="1:7" x14ac:dyDescent="0.25">
      <c r="A151" s="49">
        <f>'A) Base RI'!A146</f>
        <v>5637</v>
      </c>
      <c r="B151" s="284" t="str">
        <f>'A) Base RI'!B146</f>
        <v>Lavigny</v>
      </c>
      <c r="C151" s="10">
        <f>'A) Base RI'!V146</f>
        <v>1026</v>
      </c>
      <c r="D151" s="423">
        <f>'C) Prél. conj.'!H145</f>
        <v>243734.28</v>
      </c>
      <c r="E151" s="10">
        <f>'D) Ecrêtage'!M145</f>
        <v>0</v>
      </c>
      <c r="F151" s="423">
        <f>$F$11*'D) Ecrêtage'!C145</f>
        <v>462258.41202365415</v>
      </c>
      <c r="G151" s="55">
        <f t="shared" si="2"/>
        <v>705992.69202365412</v>
      </c>
    </row>
    <row r="152" spans="1:7" x14ac:dyDescent="0.25">
      <c r="A152" s="49">
        <f>'A) Base RI'!A147</f>
        <v>5638</v>
      </c>
      <c r="B152" s="284" t="str">
        <f>'A) Base RI'!B147</f>
        <v>Lonay</v>
      </c>
      <c r="C152" s="10">
        <f>'A) Base RI'!V147</f>
        <v>2751</v>
      </c>
      <c r="D152" s="423">
        <f>'C) Prél. conj.'!H146</f>
        <v>4224863.6050000004</v>
      </c>
      <c r="E152" s="10">
        <f>'D) Ecrêtage'!M146</f>
        <v>530850.6447003138</v>
      </c>
      <c r="F152" s="423">
        <f>$F$11*'D) Ecrêtage'!C146</f>
        <v>2124166.2074780185</v>
      </c>
      <c r="G152" s="55">
        <f t="shared" si="2"/>
        <v>6879880.4571783328</v>
      </c>
    </row>
    <row r="153" spans="1:7" x14ac:dyDescent="0.25">
      <c r="A153" s="49">
        <f>'A) Base RI'!A148</f>
        <v>5639</v>
      </c>
      <c r="B153" s="284" t="str">
        <f>'A) Base RI'!B148</f>
        <v>Lully</v>
      </c>
      <c r="C153" s="10">
        <f>'A) Base RI'!V148</f>
        <v>828</v>
      </c>
      <c r="D153" s="423">
        <f>'C) Prél. conj.'!H147</f>
        <v>96620.235000000001</v>
      </c>
      <c r="E153" s="10">
        <f>'D) Ecrêtage'!M147</f>
        <v>200843.0984091502</v>
      </c>
      <c r="F153" s="423">
        <f>$F$11*'D) Ecrêtage'!C147</f>
        <v>655087.93382435432</v>
      </c>
      <c r="G153" s="55">
        <f t="shared" si="2"/>
        <v>952551.26723350445</v>
      </c>
    </row>
    <row r="154" spans="1:7" x14ac:dyDescent="0.25">
      <c r="A154" s="49">
        <f>'A) Base RI'!A149</f>
        <v>5640</v>
      </c>
      <c r="B154" s="284" t="str">
        <f>'A) Base RI'!B149</f>
        <v>Lussy-sur-Morges</v>
      </c>
      <c r="C154" s="10">
        <f>'A) Base RI'!V149</f>
        <v>740</v>
      </c>
      <c r="D154" s="423">
        <f>'C) Prél. conj.'!H148</f>
        <v>374890.48999999993</v>
      </c>
      <c r="E154" s="10">
        <f>'D) Ecrêtage'!M148</f>
        <v>734125.90306539659</v>
      </c>
      <c r="F154" s="423">
        <f>$F$11*'D) Ecrêtage'!C148</f>
        <v>860190.43276322633</v>
      </c>
      <c r="G154" s="55">
        <f t="shared" si="2"/>
        <v>1969206.825828623</v>
      </c>
    </row>
    <row r="155" spans="1:7" x14ac:dyDescent="0.25">
      <c r="A155" s="49">
        <f>'A) Base RI'!A150</f>
        <v>5642</v>
      </c>
      <c r="B155" s="284" t="str">
        <f>'A) Base RI'!B150</f>
        <v>Morges</v>
      </c>
      <c r="C155" s="10">
        <f>'A) Base RI'!V150</f>
        <v>16885</v>
      </c>
      <c r="D155" s="423">
        <f>'C) Prél. conj.'!H149</f>
        <v>3127720.02</v>
      </c>
      <c r="E155" s="10">
        <f>'D) Ecrêtage'!M149</f>
        <v>2577374.7456654906</v>
      </c>
      <c r="F155" s="423">
        <f>$F$11*'D) Ecrêtage'!C149</f>
        <v>12193139.087574875</v>
      </c>
      <c r="G155" s="55">
        <f t="shared" si="2"/>
        <v>17898233.853240363</v>
      </c>
    </row>
    <row r="156" spans="1:7" x14ac:dyDescent="0.25">
      <c r="A156" s="49">
        <f>'A) Base RI'!A151</f>
        <v>5643</v>
      </c>
      <c r="B156" s="284" t="str">
        <f>'A) Base RI'!B151</f>
        <v>Préverenges</v>
      </c>
      <c r="C156" s="10">
        <f>'A) Base RI'!V151</f>
        <v>5208</v>
      </c>
      <c r="D156" s="423">
        <f>'C) Prél. conj.'!H150</f>
        <v>501104.14500000002</v>
      </c>
      <c r="E156" s="10">
        <f>'D) Ecrêtage'!M150</f>
        <v>71854.777649797848</v>
      </c>
      <c r="F156" s="423">
        <f>$F$11*'D) Ecrêtage'!C150</f>
        <v>3143674.7834546696</v>
      </c>
      <c r="G156" s="55">
        <f t="shared" si="2"/>
        <v>3716633.7061044676</v>
      </c>
    </row>
    <row r="157" spans="1:7" x14ac:dyDescent="0.25">
      <c r="A157" s="49">
        <f>'A) Base RI'!A152</f>
        <v>5644</v>
      </c>
      <c r="B157" s="284" t="str">
        <f>'A) Base RI'!B152</f>
        <v>Reverolle</v>
      </c>
      <c r="C157" s="10">
        <f>'A) Base RI'!V152</f>
        <v>403</v>
      </c>
      <c r="D157" s="423">
        <f>'C) Prél. conj.'!H151</f>
        <v>21607.494999999999</v>
      </c>
      <c r="E157" s="10">
        <f>'D) Ecrêtage'!M151</f>
        <v>0</v>
      </c>
      <c r="F157" s="423">
        <f>$F$11*'D) Ecrêtage'!C151</f>
        <v>199576.43907147076</v>
      </c>
      <c r="G157" s="55">
        <f t="shared" si="2"/>
        <v>221183.93407147075</v>
      </c>
    </row>
    <row r="158" spans="1:7" x14ac:dyDescent="0.25">
      <c r="A158" s="49">
        <f>'A) Base RI'!A153</f>
        <v>5645</v>
      </c>
      <c r="B158" s="284" t="str">
        <f>'A) Base RI'!B153</f>
        <v>Romanel-sur-Morges</v>
      </c>
      <c r="C158" s="10">
        <f>'A) Base RI'!V153</f>
        <v>466</v>
      </c>
      <c r="D158" s="423">
        <f>'C) Prél. conj.'!H152</f>
        <v>113380.245</v>
      </c>
      <c r="E158" s="10">
        <f>'D) Ecrêtage'!M152</f>
        <v>45217.06006207411</v>
      </c>
      <c r="F158" s="423">
        <f>$F$11*'D) Ecrêtage'!C152</f>
        <v>324255.64118739869</v>
      </c>
      <c r="G158" s="55">
        <f t="shared" si="2"/>
        <v>482852.94624947279</v>
      </c>
    </row>
    <row r="159" spans="1:7" x14ac:dyDescent="0.25">
      <c r="A159" s="49">
        <f>'A) Base RI'!A154</f>
        <v>5646</v>
      </c>
      <c r="B159" s="284" t="str">
        <f>'A) Base RI'!B154</f>
        <v>Saint-Prex</v>
      </c>
      <c r="C159" s="10">
        <f>'A) Base RI'!V154</f>
        <v>5866</v>
      </c>
      <c r="D159" s="423">
        <f>'C) Prél. conj.'!H153</f>
        <v>1919041.655</v>
      </c>
      <c r="E159" s="10">
        <f>'D) Ecrêtage'!M153</f>
        <v>4589406.8339161789</v>
      </c>
      <c r="F159" s="423">
        <f>$F$11*'D) Ecrêtage'!C153</f>
        <v>6439526.2466147039</v>
      </c>
      <c r="G159" s="55">
        <f t="shared" si="2"/>
        <v>12947974.735530883</v>
      </c>
    </row>
    <row r="160" spans="1:7" x14ac:dyDescent="0.25">
      <c r="A160" s="49">
        <f>'A) Base RI'!A155</f>
        <v>5648</v>
      </c>
      <c r="B160" s="284" t="str">
        <f>'A) Base RI'!B155</f>
        <v>Saint-Sulpice</v>
      </c>
      <c r="C160" s="10">
        <f>'A) Base RI'!V155</f>
        <v>4932</v>
      </c>
      <c r="D160" s="423">
        <f>'C) Prél. conj.'!H154</f>
        <v>1503111.96</v>
      </c>
      <c r="E160" s="10">
        <f>'D) Ecrêtage'!M154</f>
        <v>2508301.070870087</v>
      </c>
      <c r="F160" s="423">
        <f>$F$11*'D) Ecrêtage'!C154</f>
        <v>4810613.6348546911</v>
      </c>
      <c r="G160" s="55">
        <f t="shared" si="2"/>
        <v>8822026.6657247785</v>
      </c>
    </row>
    <row r="161" spans="1:7" x14ac:dyDescent="0.25">
      <c r="A161" s="49">
        <f>'A) Base RI'!A156</f>
        <v>5649</v>
      </c>
      <c r="B161" s="284" t="str">
        <f>'A) Base RI'!B156</f>
        <v>Tolochenaz</v>
      </c>
      <c r="C161" s="10">
        <f>'A) Base RI'!V156</f>
        <v>1886</v>
      </c>
      <c r="D161" s="423">
        <f>'C) Prél. conj.'!H155</f>
        <v>345165.82499999995</v>
      </c>
      <c r="E161" s="10">
        <f>'D) Ecrêtage'!M155</f>
        <v>1242836.662213902</v>
      </c>
      <c r="F161" s="423">
        <f>$F$11*'D) Ecrêtage'!C155</f>
        <v>1899946.9881092315</v>
      </c>
      <c r="G161" s="55">
        <f t="shared" si="2"/>
        <v>3487949.4753231332</v>
      </c>
    </row>
    <row r="162" spans="1:7" x14ac:dyDescent="0.25">
      <c r="A162" s="49">
        <f>'A) Base RI'!A157</f>
        <v>5650</v>
      </c>
      <c r="B162" s="284" t="str">
        <f>'A) Base RI'!B157</f>
        <v>Vaux-sur-Morges</v>
      </c>
      <c r="C162" s="10">
        <f>'A) Base RI'!V157</f>
        <v>196</v>
      </c>
      <c r="D162" s="423">
        <f>'C) Prél. conj.'!H156</f>
        <v>631932.36</v>
      </c>
      <c r="E162" s="10">
        <f>'D) Ecrêtage'!M156</f>
        <v>2277851.1265678271</v>
      </c>
      <c r="F162" s="423">
        <f>$F$11*'D) Ecrêtage'!C156</f>
        <v>1013840.3818728434</v>
      </c>
      <c r="G162" s="55">
        <f t="shared" si="2"/>
        <v>3923623.8684406704</v>
      </c>
    </row>
    <row r="163" spans="1:7" x14ac:dyDescent="0.25">
      <c r="A163" s="49">
        <f>'A) Base RI'!A158</f>
        <v>5651</v>
      </c>
      <c r="B163" s="284" t="str">
        <f>'A) Base RI'!B158</f>
        <v>Villars-Sainte-Croix</v>
      </c>
      <c r="C163" s="10">
        <f>'A) Base RI'!V158</f>
        <v>958</v>
      </c>
      <c r="D163" s="423">
        <f>'C) Prél. conj.'!H157</f>
        <v>145735.57</v>
      </c>
      <c r="E163" s="10">
        <f>'D) Ecrêtage'!M157</f>
        <v>149755.64061322834</v>
      </c>
      <c r="F163" s="423">
        <f>$F$11*'D) Ecrêtage'!C157</f>
        <v>703700.1688635177</v>
      </c>
      <c r="G163" s="55">
        <f t="shared" si="2"/>
        <v>999191.37947674608</v>
      </c>
    </row>
    <row r="164" spans="1:7" x14ac:dyDescent="0.25">
      <c r="A164" s="49">
        <f>'A) Base RI'!A159</f>
        <v>5652</v>
      </c>
      <c r="B164" s="284" t="str">
        <f>'A) Base RI'!B159</f>
        <v>Villars-sous-Yens</v>
      </c>
      <c r="C164" s="10">
        <f>'A) Base RI'!V159</f>
        <v>626</v>
      </c>
      <c r="D164" s="423">
        <f>'C) Prél. conj.'!H158</f>
        <v>30484.325000000001</v>
      </c>
      <c r="E164" s="10">
        <f>'D) Ecrêtage'!M158</f>
        <v>0</v>
      </c>
      <c r="F164" s="423">
        <f>$F$11*'D) Ecrêtage'!C158</f>
        <v>315920.68331998942</v>
      </c>
      <c r="G164" s="55">
        <f t="shared" si="2"/>
        <v>346405.00831998943</v>
      </c>
    </row>
    <row r="165" spans="1:7" x14ac:dyDescent="0.25">
      <c r="A165" s="49">
        <f>'A) Base RI'!A160</f>
        <v>5653</v>
      </c>
      <c r="B165" s="284" t="str">
        <f>'A) Base RI'!B160</f>
        <v>Vufflens-le-Château</v>
      </c>
      <c r="C165" s="10">
        <f>'A) Base RI'!V160</f>
        <v>894</v>
      </c>
      <c r="D165" s="423">
        <f>'C) Prél. conj.'!H159</f>
        <v>166628.69499999998</v>
      </c>
      <c r="E165" s="10">
        <f>'D) Ecrêtage'!M159</f>
        <v>394482.96153155516</v>
      </c>
      <c r="F165" s="423">
        <f>$F$11*'D) Ecrêtage'!C159</f>
        <v>825547.00652104861</v>
      </c>
      <c r="G165" s="55">
        <f t="shared" si="2"/>
        <v>1386658.6630526036</v>
      </c>
    </row>
    <row r="166" spans="1:7" x14ac:dyDescent="0.25">
      <c r="A166" s="49">
        <f>'A) Base RI'!A161</f>
        <v>5654</v>
      </c>
      <c r="B166" s="284" t="str">
        <f>'A) Base RI'!B161</f>
        <v>Vullierens</v>
      </c>
      <c r="C166" s="10">
        <f>'A) Base RI'!V161</f>
        <v>560</v>
      </c>
      <c r="D166" s="423">
        <f>'C) Prél. conj.'!H160</f>
        <v>86485.865000000005</v>
      </c>
      <c r="E166" s="10">
        <f>'D) Ecrêtage'!M160</f>
        <v>0</v>
      </c>
      <c r="F166" s="423">
        <f>$F$11*'D) Ecrêtage'!C160</f>
        <v>252048.5173065573</v>
      </c>
      <c r="G166" s="55">
        <f t="shared" si="2"/>
        <v>338534.38230655732</v>
      </c>
    </row>
    <row r="167" spans="1:7" x14ac:dyDescent="0.25">
      <c r="A167" s="49">
        <f>'A) Base RI'!A162</f>
        <v>5655</v>
      </c>
      <c r="B167" s="284" t="str">
        <f>'A) Base RI'!B162</f>
        <v>Yens</v>
      </c>
      <c r="C167" s="10">
        <f>'A) Base RI'!V162</f>
        <v>1499</v>
      </c>
      <c r="D167" s="423">
        <f>'C) Prél. conj.'!H161</f>
        <v>78639.259999999995</v>
      </c>
      <c r="E167" s="10">
        <f>'D) Ecrêtage'!M161</f>
        <v>13174.8814968198</v>
      </c>
      <c r="F167" s="423">
        <f>$F$11*'D) Ecrêtage'!C161</f>
        <v>895890.01505357714</v>
      </c>
      <c r="G167" s="55">
        <f t="shared" si="2"/>
        <v>987704.15655039693</v>
      </c>
    </row>
    <row r="168" spans="1:7" x14ac:dyDescent="0.25">
      <c r="A168" s="49">
        <f>'A) Base RI'!A163</f>
        <v>5661</v>
      </c>
      <c r="B168" s="284" t="str">
        <f>'A) Base RI'!B163</f>
        <v>Boulens</v>
      </c>
      <c r="C168" s="10">
        <f>'A) Base RI'!V163</f>
        <v>371</v>
      </c>
      <c r="D168" s="423">
        <f>'C) Prél. conj.'!H162</f>
        <v>29698.36</v>
      </c>
      <c r="E168" s="10">
        <f>'D) Ecrêtage'!M162</f>
        <v>0</v>
      </c>
      <c r="F168" s="423">
        <f>$F$11*'D) Ecrêtage'!C162</f>
        <v>136924.76550311907</v>
      </c>
      <c r="G168" s="55">
        <f t="shared" si="2"/>
        <v>166623.12550311908</v>
      </c>
    </row>
    <row r="169" spans="1:7" x14ac:dyDescent="0.25">
      <c r="A169" s="49">
        <f>'A) Base RI'!A164</f>
        <v>5663</v>
      </c>
      <c r="B169" s="284" t="str">
        <f>'A) Base RI'!B164</f>
        <v>Bussy-sur-Moudon</v>
      </c>
      <c r="C169" s="10">
        <f>'A) Base RI'!V164</f>
        <v>236</v>
      </c>
      <c r="D169" s="423">
        <f>'C) Prél. conj.'!H163</f>
        <v>12612.175000000001</v>
      </c>
      <c r="E169" s="10">
        <f>'D) Ecrêtage'!M163</f>
        <v>0</v>
      </c>
      <c r="F169" s="423">
        <f>$F$11*'D) Ecrêtage'!C163</f>
        <v>64198.2640400214</v>
      </c>
      <c r="G169" s="55">
        <f t="shared" si="2"/>
        <v>76810.439040021403</v>
      </c>
    </row>
    <row r="170" spans="1:7" x14ac:dyDescent="0.25">
      <c r="A170" s="49">
        <f>'A) Base RI'!A165</f>
        <v>5665</v>
      </c>
      <c r="B170" s="284" t="str">
        <f>'A) Base RI'!B165</f>
        <v>Chavannes-sur-Moudon</v>
      </c>
      <c r="C170" s="10">
        <f>'A) Base RI'!V165</f>
        <v>222</v>
      </c>
      <c r="D170" s="423">
        <f>'C) Prél. conj.'!H164</f>
        <v>5338.7</v>
      </c>
      <c r="E170" s="10">
        <f>'D) Ecrêtage'!M164</f>
        <v>0</v>
      </c>
      <c r="F170" s="423">
        <f>$F$11*'D) Ecrêtage'!C164</f>
        <v>60017.240812549338</v>
      </c>
      <c r="G170" s="55">
        <f t="shared" si="2"/>
        <v>65355.940812549336</v>
      </c>
    </row>
    <row r="171" spans="1:7" x14ac:dyDescent="0.25">
      <c r="A171" s="49">
        <f>'A) Base RI'!A166</f>
        <v>5669</v>
      </c>
      <c r="B171" s="284" t="str">
        <f>'A) Base RI'!B166</f>
        <v>Curtilles</v>
      </c>
      <c r="C171" s="10">
        <f>'A) Base RI'!V166</f>
        <v>296</v>
      </c>
      <c r="D171" s="423">
        <f>'C) Prél. conj.'!H165</f>
        <v>44819.574999999997</v>
      </c>
      <c r="E171" s="10">
        <f>'D) Ecrêtage'!M165</f>
        <v>0</v>
      </c>
      <c r="F171" s="423">
        <f>$F$11*'D) Ecrêtage'!C165</f>
        <v>113895.24822497574</v>
      </c>
      <c r="G171" s="55">
        <f t="shared" si="2"/>
        <v>158714.82322497573</v>
      </c>
    </row>
    <row r="172" spans="1:7" x14ac:dyDescent="0.25">
      <c r="A172" s="49">
        <f>'A) Base RI'!A167</f>
        <v>5671</v>
      </c>
      <c r="B172" s="284" t="str">
        <f>'A) Base RI'!B167</f>
        <v>Dompierre</v>
      </c>
      <c r="C172" s="10">
        <f>'A) Base RI'!V167</f>
        <v>246</v>
      </c>
      <c r="D172" s="423">
        <f>'C) Prél. conj.'!H166</f>
        <v>53393.294999999998</v>
      </c>
      <c r="E172" s="10">
        <f>'D) Ecrêtage'!M166</f>
        <v>0</v>
      </c>
      <c r="F172" s="423">
        <f>$F$11*'D) Ecrêtage'!C166</f>
        <v>78837.725236272163</v>
      </c>
      <c r="G172" s="55">
        <f t="shared" si="2"/>
        <v>132231.02023627216</v>
      </c>
    </row>
    <row r="173" spans="1:7" x14ac:dyDescent="0.25">
      <c r="A173" s="49">
        <f>'A) Base RI'!A168</f>
        <v>5673</v>
      </c>
      <c r="B173" s="284" t="str">
        <f>'A) Base RI'!B168</f>
        <v>Hermenches</v>
      </c>
      <c r="C173" s="10">
        <f>'A) Base RI'!V168</f>
        <v>371</v>
      </c>
      <c r="D173" s="423">
        <f>'C) Prél. conj.'!H167</f>
        <v>5264.2849999999999</v>
      </c>
      <c r="E173" s="10">
        <f>'D) Ecrêtage'!M167</f>
        <v>0</v>
      </c>
      <c r="F173" s="423">
        <f>$F$11*'D) Ecrêtage'!C167</f>
        <v>124736.9088075959</v>
      </c>
      <c r="G173" s="55">
        <f t="shared" si="2"/>
        <v>130001.1938075959</v>
      </c>
    </row>
    <row r="174" spans="1:7" x14ac:dyDescent="0.25">
      <c r="A174" s="49">
        <f>'A) Base RI'!A169</f>
        <v>5674</v>
      </c>
      <c r="B174" s="284" t="str">
        <f>'A) Base RI'!B169</f>
        <v>Lovatens</v>
      </c>
      <c r="C174" s="10">
        <f>'A) Base RI'!V169</f>
        <v>146</v>
      </c>
      <c r="D174" s="423">
        <f>'C) Prél. conj.'!H168</f>
        <v>19001.95</v>
      </c>
      <c r="E174" s="10">
        <f>'D) Ecrêtage'!M168</f>
        <v>0</v>
      </c>
      <c r="F174" s="423">
        <f>$F$11*'D) Ecrêtage'!C168</f>
        <v>51502.323900780917</v>
      </c>
      <c r="G174" s="55">
        <f t="shared" si="2"/>
        <v>70504.273900780914</v>
      </c>
    </row>
    <row r="175" spans="1:7" x14ac:dyDescent="0.25">
      <c r="A175" s="49">
        <f>'A) Base RI'!A170</f>
        <v>5675</v>
      </c>
      <c r="B175" s="284" t="str">
        <f>'A) Base RI'!B170</f>
        <v>Lucens</v>
      </c>
      <c r="C175" s="10">
        <f>'A) Base RI'!V170</f>
        <v>4373</v>
      </c>
      <c r="D175" s="423">
        <f>'C) Prél. conj.'!H169</f>
        <v>527240.68999999994</v>
      </c>
      <c r="E175" s="10">
        <f>'D) Ecrêtage'!M169</f>
        <v>0</v>
      </c>
      <c r="F175" s="423">
        <f>$F$11*'D) Ecrêtage'!C169</f>
        <v>1282709.9454712255</v>
      </c>
      <c r="G175" s="55">
        <f t="shared" si="2"/>
        <v>1809950.6354712255</v>
      </c>
    </row>
    <row r="176" spans="1:7" x14ac:dyDescent="0.25">
      <c r="A176" s="49">
        <f>'A) Base RI'!A171</f>
        <v>5678</v>
      </c>
      <c r="B176" s="284" t="str">
        <f>'A) Base RI'!B171</f>
        <v>Moudon</v>
      </c>
      <c r="C176" s="10">
        <f>'A) Base RI'!V171</f>
        <v>6120</v>
      </c>
      <c r="D176" s="423">
        <f>'C) Prél. conj.'!H170</f>
        <v>935383.995</v>
      </c>
      <c r="E176" s="10">
        <f>'D) Ecrêtage'!M170</f>
        <v>0</v>
      </c>
      <c r="F176" s="423">
        <f>$F$11*'D) Ecrêtage'!C170</f>
        <v>1522569.0332815186</v>
      </c>
      <c r="G176" s="55">
        <f t="shared" si="2"/>
        <v>2457953.0282815187</v>
      </c>
    </row>
    <row r="177" spans="1:7" x14ac:dyDescent="0.25">
      <c r="A177" s="49">
        <f>'A) Base RI'!A172</f>
        <v>5680</v>
      </c>
      <c r="B177" s="284" t="str">
        <f>'A) Base RI'!B172</f>
        <v>Ogens</v>
      </c>
      <c r="C177" s="10">
        <f>'A) Base RI'!V172</f>
        <v>321</v>
      </c>
      <c r="D177" s="423">
        <f>'C) Prél. conj.'!H171</f>
        <v>25093.574999999997</v>
      </c>
      <c r="E177" s="10">
        <f>'D) Ecrêtage'!M171</f>
        <v>0</v>
      </c>
      <c r="F177" s="423">
        <f>$F$11*'D) Ecrêtage'!C171</f>
        <v>103688.77535401295</v>
      </c>
      <c r="G177" s="55">
        <f t="shared" si="2"/>
        <v>128782.35035401295</v>
      </c>
    </row>
    <row r="178" spans="1:7" x14ac:dyDescent="0.25">
      <c r="A178" s="49">
        <f>'A) Base RI'!A173</f>
        <v>5683</v>
      </c>
      <c r="B178" s="284" t="str">
        <f>'A) Base RI'!B173</f>
        <v>Prévonloup</v>
      </c>
      <c r="C178" s="10">
        <f>'A) Base RI'!V173</f>
        <v>215</v>
      </c>
      <c r="D178" s="423">
        <f>'C) Prél. conj.'!H172</f>
        <v>21444.05</v>
      </c>
      <c r="E178" s="10">
        <f>'D) Ecrêtage'!M172</f>
        <v>0</v>
      </c>
      <c r="F178" s="423">
        <f>$F$11*'D) Ecrêtage'!C172</f>
        <v>65695.558741171262</v>
      </c>
      <c r="G178" s="55">
        <f t="shared" si="2"/>
        <v>87139.608741171265</v>
      </c>
    </row>
    <row r="179" spans="1:7" x14ac:dyDescent="0.25">
      <c r="A179" s="49">
        <f>'A) Base RI'!A174</f>
        <v>5684</v>
      </c>
      <c r="B179" s="284" t="str">
        <f>'A) Base RI'!B174</f>
        <v>Rossenges</v>
      </c>
      <c r="C179" s="10">
        <f>'A) Base RI'!V174</f>
        <v>93</v>
      </c>
      <c r="D179" s="423">
        <f>'C) Prél. conj.'!H173</f>
        <v>0</v>
      </c>
      <c r="E179" s="10">
        <f>'D) Ecrêtage'!M173</f>
        <v>0</v>
      </c>
      <c r="F179" s="423">
        <f>$F$11*'D) Ecrêtage'!C173</f>
        <v>39680.994487235315</v>
      </c>
      <c r="G179" s="55">
        <f t="shared" si="2"/>
        <v>39680.994487235315</v>
      </c>
    </row>
    <row r="180" spans="1:7" x14ac:dyDescent="0.25">
      <c r="A180" s="49">
        <f>'A) Base RI'!A175</f>
        <v>5688</v>
      </c>
      <c r="B180" s="284" t="str">
        <f>'A) Base RI'!B175</f>
        <v>Syens</v>
      </c>
      <c r="C180" s="10">
        <f>'A) Base RI'!V175</f>
        <v>161</v>
      </c>
      <c r="D180" s="423">
        <f>'C) Prél. conj.'!H174</f>
        <v>12990.099999999999</v>
      </c>
      <c r="E180" s="10">
        <f>'D) Ecrêtage'!M174</f>
        <v>0</v>
      </c>
      <c r="F180" s="423">
        <f>$F$11*'D) Ecrêtage'!C174</f>
        <v>75065.103474057367</v>
      </c>
      <c r="G180" s="55">
        <f t="shared" si="2"/>
        <v>88055.203474057373</v>
      </c>
    </row>
    <row r="181" spans="1:7" x14ac:dyDescent="0.25">
      <c r="A181" s="49">
        <f>'A) Base RI'!A176</f>
        <v>5690</v>
      </c>
      <c r="B181" s="284" t="str">
        <f>'A) Base RI'!B176</f>
        <v>Villars-le-Comte</v>
      </c>
      <c r="C181" s="10">
        <f>'A) Base RI'!V176</f>
        <v>133</v>
      </c>
      <c r="D181" s="423">
        <f>'C) Prél. conj.'!H175</f>
        <v>9707.25</v>
      </c>
      <c r="E181" s="10">
        <f>'D) Ecrêtage'!M175</f>
        <v>0</v>
      </c>
      <c r="F181" s="423">
        <f>$F$11*'D) Ecrêtage'!C175</f>
        <v>42810.04962613267</v>
      </c>
      <c r="G181" s="55">
        <f t="shared" si="2"/>
        <v>52517.29962613267</v>
      </c>
    </row>
    <row r="182" spans="1:7" x14ac:dyDescent="0.25">
      <c r="A182" s="49">
        <f>'A) Base RI'!A177</f>
        <v>5692</v>
      </c>
      <c r="B182" s="284" t="str">
        <f>'A) Base RI'!B177</f>
        <v>Vucherens</v>
      </c>
      <c r="C182" s="10">
        <f>'A) Base RI'!V177</f>
        <v>623</v>
      </c>
      <c r="D182" s="423">
        <f>'C) Prél. conj.'!H176</f>
        <v>100297.61</v>
      </c>
      <c r="E182" s="10">
        <f>'D) Ecrêtage'!M176</f>
        <v>0</v>
      </c>
      <c r="F182" s="423">
        <f>$F$11*'D) Ecrêtage'!C176</f>
        <v>229210.58395819075</v>
      </c>
      <c r="G182" s="55">
        <f t="shared" si="2"/>
        <v>329508.19395819074</v>
      </c>
    </row>
    <row r="183" spans="1:7" x14ac:dyDescent="0.25">
      <c r="A183" s="49">
        <f>'A) Base RI'!A178</f>
        <v>5693</v>
      </c>
      <c r="B183" s="284" t="str">
        <f>'A) Base RI'!B178</f>
        <v>Montanaire</v>
      </c>
      <c r="C183" s="10">
        <f>'A) Base RI'!V178</f>
        <v>2768</v>
      </c>
      <c r="D183" s="423">
        <f>'C) Prél. conj.'!H177</f>
        <v>261730.465</v>
      </c>
      <c r="E183" s="10">
        <f>'D) Ecrêtage'!M177</f>
        <v>0</v>
      </c>
      <c r="F183" s="423">
        <f>$F$11*'D) Ecrêtage'!C177</f>
        <v>923186.36581300292</v>
      </c>
      <c r="G183" s="55">
        <f t="shared" si="2"/>
        <v>1184916.830813003</v>
      </c>
    </row>
    <row r="184" spans="1:7" x14ac:dyDescent="0.25">
      <c r="A184" s="49">
        <f>'A) Base RI'!A179</f>
        <v>5701</v>
      </c>
      <c r="B184" s="284" t="str">
        <f>'A) Base RI'!B179</f>
        <v>Arnex-sur-Nyon</v>
      </c>
      <c r="C184" s="10">
        <f>'A) Base RI'!V179</f>
        <v>226</v>
      </c>
      <c r="D184" s="423">
        <f>'C) Prél. conj.'!H178</f>
        <v>81695.395000000004</v>
      </c>
      <c r="E184" s="10">
        <f>'D) Ecrêtage'!M178</f>
        <v>59303.858480810057</v>
      </c>
      <c r="F184" s="423">
        <f>$F$11*'D) Ecrêtage'!C178</f>
        <v>176711.18920502398</v>
      </c>
      <c r="G184" s="55">
        <f t="shared" si="2"/>
        <v>317710.44268583407</v>
      </c>
    </row>
    <row r="185" spans="1:7" x14ac:dyDescent="0.25">
      <c r="A185" s="49">
        <f>'A) Base RI'!A180</f>
        <v>5702</v>
      </c>
      <c r="B185" s="284" t="str">
        <f>'A) Base RI'!B180</f>
        <v>Arzier-Le Muids</v>
      </c>
      <c r="C185" s="10">
        <f>'A) Base RI'!V180</f>
        <v>2947</v>
      </c>
      <c r="D185" s="423">
        <f>'C) Prél. conj.'!H179</f>
        <v>756387.26</v>
      </c>
      <c r="E185" s="10">
        <f>'D) Ecrêtage'!M179</f>
        <v>436935.50382254424</v>
      </c>
      <c r="F185" s="423">
        <f>$F$11*'D) Ecrêtage'!C179</f>
        <v>2132711.0351170022</v>
      </c>
      <c r="G185" s="55">
        <f t="shared" si="2"/>
        <v>3326033.7989395461</v>
      </c>
    </row>
    <row r="186" spans="1:7" x14ac:dyDescent="0.25">
      <c r="A186" s="49">
        <f>'A) Base RI'!A181</f>
        <v>5703</v>
      </c>
      <c r="B186" s="284" t="str">
        <f>'A) Base RI'!B181</f>
        <v>Bassins</v>
      </c>
      <c r="C186" s="10">
        <f>'A) Base RI'!V181</f>
        <v>1487</v>
      </c>
      <c r="D186" s="423">
        <f>'C) Prél. conj.'!H180</f>
        <v>248888.22999999998</v>
      </c>
      <c r="E186" s="10">
        <f>'D) Ecrêtage'!M180</f>
        <v>0</v>
      </c>
      <c r="F186" s="423">
        <f>$F$11*'D) Ecrêtage'!C180</f>
        <v>814727.27901143685</v>
      </c>
      <c r="G186" s="55">
        <f t="shared" si="2"/>
        <v>1063615.5090114367</v>
      </c>
    </row>
    <row r="187" spans="1:7" x14ac:dyDescent="0.25">
      <c r="A187" s="49">
        <f>'A) Base RI'!A182</f>
        <v>5704</v>
      </c>
      <c r="B187" s="284" t="str">
        <f>'A) Base RI'!B182</f>
        <v>Begnins</v>
      </c>
      <c r="C187" s="10">
        <f>'A) Base RI'!V182</f>
        <v>1941</v>
      </c>
      <c r="D187" s="423">
        <f>'C) Prél. conj.'!H181</f>
        <v>319835.36499999999</v>
      </c>
      <c r="E187" s="10">
        <f>'D) Ecrêtage'!M181</f>
        <v>2390287.5396948485</v>
      </c>
      <c r="F187" s="423">
        <f>$F$11*'D) Ecrêtage'!C181</f>
        <v>2467874.8249891191</v>
      </c>
      <c r="G187" s="55">
        <f t="shared" si="2"/>
        <v>5177997.7296839673</v>
      </c>
    </row>
    <row r="188" spans="1:7" x14ac:dyDescent="0.25">
      <c r="A188" s="49">
        <f>'A) Base RI'!A183</f>
        <v>5705</v>
      </c>
      <c r="B188" s="284" t="str">
        <f>'A) Base RI'!B183</f>
        <v>Bogis-Bossey</v>
      </c>
      <c r="C188" s="10">
        <f>'A) Base RI'!V183</f>
        <v>888</v>
      </c>
      <c r="D188" s="423">
        <f>'C) Prél. conj.'!H182</f>
        <v>286223.84000000003</v>
      </c>
      <c r="E188" s="10">
        <f>'D) Ecrêtage'!M182</f>
        <v>136788.10160837372</v>
      </c>
      <c r="F188" s="423">
        <f>$F$11*'D) Ecrêtage'!C182</f>
        <v>633647.38007880771</v>
      </c>
      <c r="G188" s="55">
        <f t="shared" si="2"/>
        <v>1056659.3216871815</v>
      </c>
    </row>
    <row r="189" spans="1:7" x14ac:dyDescent="0.25">
      <c r="A189" s="49">
        <f>'A) Base RI'!A184</f>
        <v>5706</v>
      </c>
      <c r="B189" s="284" t="str">
        <f>'A) Base RI'!B184</f>
        <v>Borex</v>
      </c>
      <c r="C189" s="10">
        <f>'A) Base RI'!V184</f>
        <v>1165</v>
      </c>
      <c r="D189" s="423">
        <f>'C) Prél. conj.'!H183</f>
        <v>163044.04499999998</v>
      </c>
      <c r="E189" s="10">
        <f>'D) Ecrêtage'!M183</f>
        <v>189432.16782415906</v>
      </c>
      <c r="F189" s="423">
        <f>$F$11*'D) Ecrêtage'!C183</f>
        <v>868486.25098469155</v>
      </c>
      <c r="G189" s="55">
        <f t="shared" si="2"/>
        <v>1220962.4638088506</v>
      </c>
    </row>
    <row r="190" spans="1:7" x14ac:dyDescent="0.25">
      <c r="A190" s="49">
        <f>'A) Base RI'!A185</f>
        <v>5707</v>
      </c>
      <c r="B190" s="284" t="str">
        <f>'A) Base RI'!B185</f>
        <v>Chavannes-de-Bogis</v>
      </c>
      <c r="C190" s="10">
        <f>'A) Base RI'!V185</f>
        <v>1330</v>
      </c>
      <c r="D190" s="423">
        <f>'C) Prél. conj.'!H184</f>
        <v>636337.80999999994</v>
      </c>
      <c r="E190" s="10">
        <f>'D) Ecrêtage'!M184</f>
        <v>337125.78507899476</v>
      </c>
      <c r="F190" s="423">
        <f>$F$11*'D) Ecrêtage'!C184</f>
        <v>1073550.6340680642</v>
      </c>
      <c r="G190" s="55">
        <f t="shared" si="2"/>
        <v>2047014.2291470587</v>
      </c>
    </row>
    <row r="191" spans="1:7" x14ac:dyDescent="0.25">
      <c r="A191" s="49">
        <f>'A) Base RI'!A186</f>
        <v>5708</v>
      </c>
      <c r="B191" s="284" t="str">
        <f>'A) Base RI'!B186</f>
        <v>Chavannes-des-Bois</v>
      </c>
      <c r="C191" s="10">
        <f>'A) Base RI'!V186</f>
        <v>1005</v>
      </c>
      <c r="D191" s="423">
        <f>'C) Prél. conj.'!H185</f>
        <v>144971.82499999998</v>
      </c>
      <c r="E191" s="10">
        <f>'D) Ecrêtage'!M185</f>
        <v>308647.07474200788</v>
      </c>
      <c r="F191" s="423">
        <f>$F$11*'D) Ecrêtage'!C185</f>
        <v>817183.55284284451</v>
      </c>
      <c r="G191" s="55">
        <f t="shared" si="2"/>
        <v>1270802.4525848525</v>
      </c>
    </row>
    <row r="192" spans="1:7" x14ac:dyDescent="0.25">
      <c r="A192" s="49">
        <f>'A) Base RI'!A187</f>
        <v>5709</v>
      </c>
      <c r="B192" s="284" t="str">
        <f>'A) Base RI'!B187</f>
        <v>Chéserex</v>
      </c>
      <c r="C192" s="10">
        <f>'A) Base RI'!V187</f>
        <v>1263</v>
      </c>
      <c r="D192" s="423">
        <f>'C) Prél. conj.'!H186</f>
        <v>931836.8</v>
      </c>
      <c r="E192" s="10">
        <f>'D) Ecrêtage'!M186</f>
        <v>395935.80405056878</v>
      </c>
      <c r="F192" s="423">
        <f>$F$11*'D) Ecrêtage'!C186</f>
        <v>1077465.3358140155</v>
      </c>
      <c r="G192" s="55">
        <f t="shared" si="2"/>
        <v>2405237.9398645842</v>
      </c>
    </row>
    <row r="193" spans="1:7" x14ac:dyDescent="0.25">
      <c r="A193" s="49">
        <f>'A) Base RI'!A188</f>
        <v>5710</v>
      </c>
      <c r="B193" s="284" t="str">
        <f>'A) Base RI'!B188</f>
        <v>Coinsins</v>
      </c>
      <c r="C193" s="10">
        <f>'A) Base RI'!V188</f>
        <v>508</v>
      </c>
      <c r="D193" s="423">
        <f>'C) Prél. conj.'!H187</f>
        <v>93103.86</v>
      </c>
      <c r="E193" s="10">
        <f>'D) Ecrêtage'!M187</f>
        <v>296401.7649282692</v>
      </c>
      <c r="F193" s="423">
        <f>$F$11*'D) Ecrêtage'!C187</f>
        <v>529476.42818550568</v>
      </c>
      <c r="G193" s="55">
        <f t="shared" si="2"/>
        <v>918982.05311377486</v>
      </c>
    </row>
    <row r="194" spans="1:7" x14ac:dyDescent="0.25">
      <c r="A194" s="49">
        <f>'A) Base RI'!A189</f>
        <v>5711</v>
      </c>
      <c r="B194" s="284" t="str">
        <f>'A) Base RI'!B189</f>
        <v>Commugny</v>
      </c>
      <c r="C194" s="10">
        <f>'A) Base RI'!V189</f>
        <v>3001</v>
      </c>
      <c r="D194" s="423">
        <f>'C) Prél. conj.'!H188</f>
        <v>1103213.575</v>
      </c>
      <c r="E194" s="10">
        <f>'D) Ecrêtage'!M188</f>
        <v>2567400.2140606693</v>
      </c>
      <c r="F194" s="423">
        <f>$F$11*'D) Ecrêtage'!C188</f>
        <v>3491520.7386524072</v>
      </c>
      <c r="G194" s="55">
        <f t="shared" si="2"/>
        <v>7162134.5277130771</v>
      </c>
    </row>
    <row r="195" spans="1:7" x14ac:dyDescent="0.25">
      <c r="A195" s="49">
        <f>'A) Base RI'!A190</f>
        <v>5712</v>
      </c>
      <c r="B195" s="284" t="str">
        <f>'A) Base RI'!B190</f>
        <v>Coppet</v>
      </c>
      <c r="C195" s="10">
        <f>'A) Base RI'!V190</f>
        <v>3211</v>
      </c>
      <c r="D195" s="423">
        <f>'C) Prél. conj.'!H189</f>
        <v>1067851.45</v>
      </c>
      <c r="E195" s="10">
        <f>'D) Ecrêtage'!M189</f>
        <v>3327171.2061755857</v>
      </c>
      <c r="F195" s="423">
        <f>$F$11*'D) Ecrêtage'!C189</f>
        <v>4070625.7622582088</v>
      </c>
      <c r="G195" s="55">
        <f t="shared" si="2"/>
        <v>8465648.4184337948</v>
      </c>
    </row>
    <row r="196" spans="1:7" x14ac:dyDescent="0.25">
      <c r="A196" s="49">
        <f>'A) Base RI'!A191</f>
        <v>5713</v>
      </c>
      <c r="B196" s="284" t="str">
        <f>'A) Base RI'!B191</f>
        <v>Crans</v>
      </c>
      <c r="C196" s="10">
        <f>'A) Base RI'!V191</f>
        <v>2373</v>
      </c>
      <c r="D196" s="423">
        <f>'C) Prél. conj.'!H190</f>
        <v>1655105.51</v>
      </c>
      <c r="E196" s="10">
        <f>'D) Ecrêtage'!M190</f>
        <v>4161915.2824812466</v>
      </c>
      <c r="F196" s="423">
        <f>$F$11*'D) Ecrêtage'!C190</f>
        <v>3689490.989624857</v>
      </c>
      <c r="G196" s="55">
        <f t="shared" si="2"/>
        <v>9506511.7821061034</v>
      </c>
    </row>
    <row r="197" spans="1:7" x14ac:dyDescent="0.25">
      <c r="A197" s="49">
        <f>'A) Base RI'!A192</f>
        <v>5714</v>
      </c>
      <c r="B197" s="284" t="str">
        <f>'A) Base RI'!B192</f>
        <v>Crassier</v>
      </c>
      <c r="C197" s="10">
        <f>'A) Base RI'!V192</f>
        <v>1228</v>
      </c>
      <c r="D197" s="423">
        <f>'C) Prél. conj.'!H191</f>
        <v>351015.245</v>
      </c>
      <c r="E197" s="10">
        <f>'D) Ecrêtage'!M191</f>
        <v>36932.545686060461</v>
      </c>
      <c r="F197" s="423">
        <f>$F$11*'D) Ecrêtage'!C191</f>
        <v>757840.28024949087</v>
      </c>
      <c r="G197" s="55">
        <f t="shared" si="2"/>
        <v>1145788.0709355515</v>
      </c>
    </row>
    <row r="198" spans="1:7" x14ac:dyDescent="0.25">
      <c r="A198" s="49">
        <f>'A) Base RI'!A193</f>
        <v>5715</v>
      </c>
      <c r="B198" s="284" t="str">
        <f>'A) Base RI'!B193</f>
        <v>Duillier</v>
      </c>
      <c r="C198" s="10">
        <f>'A) Base RI'!V193</f>
        <v>1146</v>
      </c>
      <c r="D198" s="423">
        <f>'C) Prél. conj.'!H192</f>
        <v>462986.87</v>
      </c>
      <c r="E198" s="10">
        <f>'D) Ecrêtage'!M192</f>
        <v>222664.86822140031</v>
      </c>
      <c r="F198" s="423">
        <f>$F$11*'D) Ecrêtage'!C192</f>
        <v>858572.14750222734</v>
      </c>
      <c r="G198" s="55">
        <f t="shared" si="2"/>
        <v>1544223.8857236276</v>
      </c>
    </row>
    <row r="199" spans="1:7" x14ac:dyDescent="0.25">
      <c r="A199" s="49">
        <f>'A) Base RI'!A194</f>
        <v>5716</v>
      </c>
      <c r="B199" s="284" t="str">
        <f>'A) Base RI'!B194</f>
        <v>Eysins</v>
      </c>
      <c r="C199" s="10">
        <f>'A) Base RI'!V194</f>
        <v>1736</v>
      </c>
      <c r="D199" s="423">
        <f>'C) Prél. conj.'!H193</f>
        <v>222904.06</v>
      </c>
      <c r="E199" s="10">
        <f>'D) Ecrêtage'!M193</f>
        <v>2715948.4043106455</v>
      </c>
      <c r="F199" s="423">
        <f>$F$11*'D) Ecrêtage'!C193</f>
        <v>2486303.8443776611</v>
      </c>
      <c r="G199" s="55">
        <f t="shared" si="2"/>
        <v>5425156.3086883072</v>
      </c>
    </row>
    <row r="200" spans="1:7" x14ac:dyDescent="0.25">
      <c r="A200" s="49">
        <f>'A) Base RI'!A195</f>
        <v>5717</v>
      </c>
      <c r="B200" s="284" t="str">
        <f>'A) Base RI'!B195</f>
        <v>Founex</v>
      </c>
      <c r="C200" s="10">
        <f>'A) Base RI'!V195</f>
        <v>3822</v>
      </c>
      <c r="D200" s="423">
        <f>'C) Prél. conj.'!H194</f>
        <v>893633.59999999986</v>
      </c>
      <c r="E200" s="10">
        <f>'D) Ecrêtage'!M194</f>
        <v>4072957.983769035</v>
      </c>
      <c r="F200" s="423">
        <f>$F$11*'D) Ecrêtage'!C194</f>
        <v>4765511.4652019991</v>
      </c>
      <c r="G200" s="55">
        <f t="shared" si="2"/>
        <v>9732103.0489710346</v>
      </c>
    </row>
    <row r="201" spans="1:7" x14ac:dyDescent="0.25">
      <c r="A201" s="49">
        <f>'A) Base RI'!A196</f>
        <v>5718</v>
      </c>
      <c r="B201" s="284" t="str">
        <f>'A) Base RI'!B196</f>
        <v>Genolier</v>
      </c>
      <c r="C201" s="10">
        <f>'A) Base RI'!V196</f>
        <v>2022</v>
      </c>
      <c r="D201" s="423">
        <f>'C) Prél. conj.'!H195</f>
        <v>683896.73499999999</v>
      </c>
      <c r="E201" s="10">
        <f>'D) Ecrêtage'!M195</f>
        <v>1700865.4049248416</v>
      </c>
      <c r="F201" s="423">
        <f>$F$11*'D) Ecrêtage'!C195</f>
        <v>2345071.232026747</v>
      </c>
      <c r="G201" s="55">
        <f t="shared" si="2"/>
        <v>4729833.3719515884</v>
      </c>
    </row>
    <row r="202" spans="1:7" x14ac:dyDescent="0.25">
      <c r="A202" s="49">
        <f>'A) Base RI'!A197</f>
        <v>5719</v>
      </c>
      <c r="B202" s="284" t="str">
        <f>'A) Base RI'!B197</f>
        <v>Gingins</v>
      </c>
      <c r="C202" s="10">
        <f>'A) Base RI'!V197</f>
        <v>1265</v>
      </c>
      <c r="D202" s="423">
        <f>'C) Prél. conj.'!H196</f>
        <v>401597.29</v>
      </c>
      <c r="E202" s="10">
        <f>'D) Ecrêtage'!M196</f>
        <v>2078154.7894644125</v>
      </c>
      <c r="F202" s="423">
        <f>$F$11*'D) Ecrêtage'!C196</f>
        <v>1845255.7820148461</v>
      </c>
      <c r="G202" s="55">
        <f t="shared" si="2"/>
        <v>4325007.8614792582</v>
      </c>
    </row>
    <row r="203" spans="1:7" x14ac:dyDescent="0.25">
      <c r="A203" s="49">
        <f>'A) Base RI'!A198</f>
        <v>5720</v>
      </c>
      <c r="B203" s="284" t="str">
        <f>'A) Base RI'!B198</f>
        <v>Givrins</v>
      </c>
      <c r="C203" s="10">
        <f>'A) Base RI'!V198</f>
        <v>1010</v>
      </c>
      <c r="D203" s="423">
        <f>'C) Prél. conj.'!H197</f>
        <v>271278.55500000005</v>
      </c>
      <c r="E203" s="10">
        <f>'D) Ecrêtage'!M197</f>
        <v>465393.55858751363</v>
      </c>
      <c r="F203" s="423">
        <f>$F$11*'D) Ecrêtage'!C197</f>
        <v>912171.98416409793</v>
      </c>
      <c r="G203" s="55">
        <f t="shared" si="2"/>
        <v>1648844.0977516116</v>
      </c>
    </row>
    <row r="204" spans="1:7" x14ac:dyDescent="0.25">
      <c r="A204" s="49">
        <f>'A) Base RI'!A199</f>
        <v>5721</v>
      </c>
      <c r="B204" s="284" t="str">
        <f>'A) Base RI'!B199</f>
        <v>Gland</v>
      </c>
      <c r="C204" s="10">
        <f>'A) Base RI'!V199</f>
        <v>13306</v>
      </c>
      <c r="D204" s="423">
        <f>'C) Prél. conj.'!H198</f>
        <v>2525722.87</v>
      </c>
      <c r="E204" s="10">
        <f>'D) Ecrêtage'!M198</f>
        <v>965919.88730899245</v>
      </c>
      <c r="F204" s="423">
        <f>$F$11*'D) Ecrêtage'!C198</f>
        <v>8818338.8862323947</v>
      </c>
      <c r="G204" s="55">
        <f t="shared" si="2"/>
        <v>12309981.643541388</v>
      </c>
    </row>
    <row r="205" spans="1:7" x14ac:dyDescent="0.25">
      <c r="A205" s="49">
        <f>'A) Base RI'!A200</f>
        <v>5722</v>
      </c>
      <c r="B205" s="284" t="str">
        <f>'A) Base RI'!B200</f>
        <v>Grens</v>
      </c>
      <c r="C205" s="10">
        <f>'A) Base RI'!V200</f>
        <v>401</v>
      </c>
      <c r="D205" s="423">
        <f>'C) Prél. conj.'!H199</f>
        <v>12375.334999999999</v>
      </c>
      <c r="E205" s="10">
        <f>'D) Ecrêtage'!M199</f>
        <v>36123.599899727509</v>
      </c>
      <c r="F205" s="423">
        <f>$F$11*'D) Ecrêtage'!C199</f>
        <v>272185.72780259815</v>
      </c>
      <c r="G205" s="55">
        <f t="shared" ref="G205:G268" si="3">D205+F205+E205</f>
        <v>320684.66270232567</v>
      </c>
    </row>
    <row r="206" spans="1:7" x14ac:dyDescent="0.25">
      <c r="A206" s="49">
        <f>'A) Base RI'!A201</f>
        <v>5723</v>
      </c>
      <c r="B206" s="284" t="str">
        <f>'A) Base RI'!B201</f>
        <v>Mies</v>
      </c>
      <c r="C206" s="10">
        <f>'A) Base RI'!V201</f>
        <v>2195</v>
      </c>
      <c r="D206" s="423">
        <f>'C) Prél. conj.'!H200</f>
        <v>1674563.0150000001</v>
      </c>
      <c r="E206" s="10">
        <f>'D) Ecrêtage'!M200</f>
        <v>2694935.6381866648</v>
      </c>
      <c r="F206" s="423">
        <f>$F$11*'D) Ecrêtage'!C200</f>
        <v>3000025.0450790352</v>
      </c>
      <c r="G206" s="55">
        <f t="shared" si="3"/>
        <v>7369523.6982656997</v>
      </c>
    </row>
    <row r="207" spans="1:7" x14ac:dyDescent="0.25">
      <c r="A207" s="49">
        <f>'A) Base RI'!A202</f>
        <v>5724</v>
      </c>
      <c r="B207" s="284" t="str">
        <f>'A) Base RI'!B202</f>
        <v>Nyon</v>
      </c>
      <c r="C207" s="10">
        <f>'A) Base RI'!V202</f>
        <v>22124</v>
      </c>
      <c r="D207" s="423">
        <f>'C) Prél. conj.'!H201</f>
        <v>6783547.1850000005</v>
      </c>
      <c r="E207" s="10">
        <f>'D) Ecrêtage'!M201</f>
        <v>5855433.6078551142</v>
      </c>
      <c r="F207" s="423">
        <f>$F$11*'D) Ecrêtage'!C201</f>
        <v>17829691.932419643</v>
      </c>
      <c r="G207" s="55">
        <f t="shared" si="3"/>
        <v>30468672.72527476</v>
      </c>
    </row>
    <row r="208" spans="1:7" x14ac:dyDescent="0.25">
      <c r="A208" s="49">
        <f>'A) Base RI'!A203</f>
        <v>5725</v>
      </c>
      <c r="B208" s="284" t="str">
        <f>'A) Base RI'!B203</f>
        <v>Prangins</v>
      </c>
      <c r="C208" s="10">
        <f>'A) Base RI'!V203</f>
        <v>4060</v>
      </c>
      <c r="D208" s="423">
        <f>'C) Prél. conj.'!H202</f>
        <v>1049962.0449999999</v>
      </c>
      <c r="E208" s="10">
        <f>'D) Ecrêtage'!M202</f>
        <v>2733453.2946737339</v>
      </c>
      <c r="F208" s="423">
        <f>$F$11*'D) Ecrêtage'!C202</f>
        <v>4330754.4559249058</v>
      </c>
      <c r="G208" s="55">
        <f t="shared" si="3"/>
        <v>8114169.7955986392</v>
      </c>
    </row>
    <row r="209" spans="1:7" x14ac:dyDescent="0.25">
      <c r="A209" s="49">
        <f>'A) Base RI'!A204</f>
        <v>5726</v>
      </c>
      <c r="B209" s="284" t="str">
        <f>'A) Base RI'!B204</f>
        <v>La Rippe</v>
      </c>
      <c r="C209" s="10">
        <f>'A) Base RI'!V204</f>
        <v>1165</v>
      </c>
      <c r="D209" s="423">
        <f>'C) Prél. conj.'!H203</f>
        <v>246771.04</v>
      </c>
      <c r="E209" s="10">
        <f>'D) Ecrêtage'!M203</f>
        <v>196538.46285519612</v>
      </c>
      <c r="F209" s="423">
        <f>$F$11*'D) Ecrêtage'!C203</f>
        <v>858222.60022649541</v>
      </c>
      <c r="G209" s="55">
        <f t="shared" si="3"/>
        <v>1301532.1030816915</v>
      </c>
    </row>
    <row r="210" spans="1:7" x14ac:dyDescent="0.25">
      <c r="A210" s="49">
        <f>'A) Base RI'!A205</f>
        <v>5727</v>
      </c>
      <c r="B210" s="284" t="str">
        <f>'A) Base RI'!B205</f>
        <v>Saint-Cergue</v>
      </c>
      <c r="C210" s="10">
        <f>'A) Base RI'!V205</f>
        <v>2755</v>
      </c>
      <c r="D210" s="423">
        <f>'C) Prél. conj.'!H204</f>
        <v>736560.51000000013</v>
      </c>
      <c r="E210" s="10">
        <f>'D) Ecrêtage'!M204</f>
        <v>0</v>
      </c>
      <c r="F210" s="423">
        <f>$F$11*'D) Ecrêtage'!C204</f>
        <v>1294939.6136094716</v>
      </c>
      <c r="G210" s="55">
        <f t="shared" si="3"/>
        <v>2031500.1236094716</v>
      </c>
    </row>
    <row r="211" spans="1:7" x14ac:dyDescent="0.25">
      <c r="A211" s="49">
        <f>'A) Base RI'!A206</f>
        <v>5728</v>
      </c>
      <c r="B211" s="284" t="str">
        <f>'A) Base RI'!B206</f>
        <v>Signy-Avenex</v>
      </c>
      <c r="C211" s="10">
        <f>'A) Base RI'!V206</f>
        <v>584</v>
      </c>
      <c r="D211" s="423">
        <f>'C) Prél. conj.'!H205</f>
        <v>176734.82</v>
      </c>
      <c r="E211" s="10">
        <f>'D) Ecrêtage'!M205</f>
        <v>539938.60041447938</v>
      </c>
      <c r="F211" s="423">
        <f>$F$11*'D) Ecrêtage'!C205</f>
        <v>688820.406929594</v>
      </c>
      <c r="G211" s="55">
        <f t="shared" si="3"/>
        <v>1405493.8273440734</v>
      </c>
    </row>
    <row r="212" spans="1:7" x14ac:dyDescent="0.25">
      <c r="A212" s="49">
        <f>'A) Base RI'!A207</f>
        <v>5729</v>
      </c>
      <c r="B212" s="284" t="str">
        <f>'A) Base RI'!B207</f>
        <v>Tannay</v>
      </c>
      <c r="C212" s="10">
        <f>'A) Base RI'!V207</f>
        <v>1644</v>
      </c>
      <c r="D212" s="423">
        <f>'C) Prél. conj.'!H206</f>
        <v>632102.57500000007</v>
      </c>
      <c r="E212" s="10">
        <f>'D) Ecrêtage'!M206</f>
        <v>1666512.5538271305</v>
      </c>
      <c r="F212" s="423">
        <f>$F$11*'D) Ecrêtage'!C206</f>
        <v>1972023.4809116165</v>
      </c>
      <c r="G212" s="55">
        <f t="shared" si="3"/>
        <v>4270638.6097387467</v>
      </c>
    </row>
    <row r="213" spans="1:7" x14ac:dyDescent="0.25">
      <c r="A213" s="49">
        <f>'A) Base RI'!A208</f>
        <v>5730</v>
      </c>
      <c r="B213" s="284" t="str">
        <f>'A) Base RI'!B208</f>
        <v>Trélex</v>
      </c>
      <c r="C213" s="10">
        <f>'A) Base RI'!V208</f>
        <v>1439</v>
      </c>
      <c r="D213" s="423">
        <f>'C) Prél. conj.'!H207</f>
        <v>782261.57500000007</v>
      </c>
      <c r="E213" s="10">
        <f>'D) Ecrêtage'!M207</f>
        <v>960596.10352402437</v>
      </c>
      <c r="F213" s="423">
        <f>$F$11*'D) Ecrêtage'!C207</f>
        <v>1525603.4760772225</v>
      </c>
      <c r="G213" s="55">
        <f t="shared" si="3"/>
        <v>3268461.154601247</v>
      </c>
    </row>
    <row r="214" spans="1:7" x14ac:dyDescent="0.25">
      <c r="A214" s="49">
        <f>'A) Base RI'!A209</f>
        <v>5731</v>
      </c>
      <c r="B214" s="284" t="str">
        <f>'A) Base RI'!B209</f>
        <v>Le Vaud</v>
      </c>
      <c r="C214" s="10">
        <f>'A) Base RI'!V209</f>
        <v>1387</v>
      </c>
      <c r="D214" s="423">
        <f>'C) Prél. conj.'!H208</f>
        <v>135597.76000000001</v>
      </c>
      <c r="E214" s="10">
        <f>'D) Ecrêtage'!M208</f>
        <v>36741.412740362211</v>
      </c>
      <c r="F214" s="423">
        <f>$F$11*'D) Ecrêtage'!C208</f>
        <v>848833.06905253255</v>
      </c>
      <c r="G214" s="55">
        <f t="shared" si="3"/>
        <v>1021172.2417928948</v>
      </c>
    </row>
    <row r="215" spans="1:7" x14ac:dyDescent="0.25">
      <c r="A215" s="49">
        <f>'A) Base RI'!A210</f>
        <v>5732</v>
      </c>
      <c r="B215" s="284" t="str">
        <f>'A) Base RI'!B210</f>
        <v>Vich</v>
      </c>
      <c r="C215" s="10">
        <f>'A) Base RI'!V210</f>
        <v>1157</v>
      </c>
      <c r="D215" s="423">
        <f>'C) Prél. conj.'!H209</f>
        <v>132180.55499999999</v>
      </c>
      <c r="E215" s="10">
        <f>'D) Ecrêtage'!M209</f>
        <v>523046.77704286145</v>
      </c>
      <c r="F215" s="423">
        <f>$F$11*'D) Ecrêtage'!C209</f>
        <v>1055458.5844247602</v>
      </c>
      <c r="G215" s="55">
        <f t="shared" si="3"/>
        <v>1710685.9164676215</v>
      </c>
    </row>
    <row r="216" spans="1:7" x14ac:dyDescent="0.25">
      <c r="A216" s="49">
        <f>'A) Base RI'!A211</f>
        <v>5741</v>
      </c>
      <c r="B216" s="284" t="str">
        <f>'A) Base RI'!B211</f>
        <v>L'Abergement</v>
      </c>
      <c r="C216" s="10">
        <f>'A) Base RI'!V211</f>
        <v>254</v>
      </c>
      <c r="D216" s="423">
        <f>'C) Prél. conj.'!H210</f>
        <v>31332.945</v>
      </c>
      <c r="E216" s="10">
        <f>'D) Ecrêtage'!M210</f>
        <v>0</v>
      </c>
      <c r="F216" s="423">
        <f>$F$11*'D) Ecrêtage'!C210</f>
        <v>109614.29785221946</v>
      </c>
      <c r="G216" s="55">
        <f t="shared" si="3"/>
        <v>140947.24285221947</v>
      </c>
    </row>
    <row r="217" spans="1:7" x14ac:dyDescent="0.25">
      <c r="A217" s="49">
        <f>'A) Base RI'!A212</f>
        <v>5742</v>
      </c>
      <c r="B217" s="284" t="str">
        <f>'A) Base RI'!B212</f>
        <v>Agiez</v>
      </c>
      <c r="C217" s="10">
        <f>'A) Base RI'!V212</f>
        <v>375</v>
      </c>
      <c r="D217" s="423">
        <f>'C) Prél. conj.'!H211</f>
        <v>2261.56</v>
      </c>
      <c r="E217" s="10">
        <f>'D) Ecrêtage'!M211</f>
        <v>0</v>
      </c>
      <c r="F217" s="423">
        <f>$F$11*'D) Ecrêtage'!C211</f>
        <v>123916.9933326937</v>
      </c>
      <c r="G217" s="55">
        <f t="shared" si="3"/>
        <v>126178.5533326937</v>
      </c>
    </row>
    <row r="218" spans="1:7" x14ac:dyDescent="0.25">
      <c r="A218" s="49">
        <f>'A) Base RI'!A213</f>
        <v>5743</v>
      </c>
      <c r="B218" s="284" t="str">
        <f>'A) Base RI'!B213</f>
        <v>Arnex-sur-Orbe</v>
      </c>
      <c r="C218" s="10">
        <f>'A) Base RI'!V213</f>
        <v>665</v>
      </c>
      <c r="D218" s="423">
        <f>'C) Prél. conj.'!H212</f>
        <v>47199.57</v>
      </c>
      <c r="E218" s="10">
        <f>'D) Ecrêtage'!M212</f>
        <v>0</v>
      </c>
      <c r="F218" s="423">
        <f>$F$11*'D) Ecrêtage'!C212</f>
        <v>226038.63223154709</v>
      </c>
      <c r="G218" s="55">
        <f t="shared" si="3"/>
        <v>273238.2022315471</v>
      </c>
    </row>
    <row r="219" spans="1:7" x14ac:dyDescent="0.25">
      <c r="A219" s="49">
        <f>'A) Base RI'!A214</f>
        <v>5744</v>
      </c>
      <c r="B219" s="284" t="str">
        <f>'A) Base RI'!B214</f>
        <v>Ballaigues</v>
      </c>
      <c r="C219" s="10">
        <f>'A) Base RI'!V214</f>
        <v>1173</v>
      </c>
      <c r="D219" s="423">
        <f>'C) Prél. conj.'!H213</f>
        <v>595828.4</v>
      </c>
      <c r="E219" s="10">
        <f>'D) Ecrêtage'!M213</f>
        <v>0</v>
      </c>
      <c r="F219" s="423">
        <f>$F$11*'D) Ecrêtage'!C213</f>
        <v>600618.37704313686</v>
      </c>
      <c r="G219" s="55">
        <f t="shared" si="3"/>
        <v>1196446.7770431368</v>
      </c>
    </row>
    <row r="220" spans="1:7" x14ac:dyDescent="0.25">
      <c r="A220" s="49">
        <f>'A) Base RI'!A215</f>
        <v>5745</v>
      </c>
      <c r="B220" s="284" t="str">
        <f>'A) Base RI'!B215</f>
        <v>Baulmes</v>
      </c>
      <c r="C220" s="10">
        <f>'A) Base RI'!V215</f>
        <v>1126</v>
      </c>
      <c r="D220" s="423">
        <f>'C) Prél. conj.'!H214</f>
        <v>170044.535</v>
      </c>
      <c r="E220" s="10">
        <f>'D) Ecrêtage'!M214</f>
        <v>0</v>
      </c>
      <c r="F220" s="423">
        <f>$F$11*'D) Ecrêtage'!C214</f>
        <v>347252.70142889791</v>
      </c>
      <c r="G220" s="55">
        <f t="shared" si="3"/>
        <v>517297.23642889794</v>
      </c>
    </row>
    <row r="221" spans="1:7" x14ac:dyDescent="0.25">
      <c r="A221" s="49">
        <f>'A) Base RI'!A216</f>
        <v>5746</v>
      </c>
      <c r="B221" s="284" t="str">
        <f>'A) Base RI'!B216</f>
        <v>Bavois</v>
      </c>
      <c r="C221" s="10">
        <f>'A) Base RI'!V216</f>
        <v>978</v>
      </c>
      <c r="D221" s="423">
        <f>'C) Prél. conj.'!H215</f>
        <v>169935.845</v>
      </c>
      <c r="E221" s="10">
        <f>'D) Ecrêtage'!M215</f>
        <v>0</v>
      </c>
      <c r="F221" s="423">
        <f>$F$11*'D) Ecrêtage'!C215</f>
        <v>334282.39800745394</v>
      </c>
      <c r="G221" s="55">
        <f t="shared" si="3"/>
        <v>504218.24300745397</v>
      </c>
    </row>
    <row r="222" spans="1:7" x14ac:dyDescent="0.25">
      <c r="A222" s="49">
        <f>'A) Base RI'!A217</f>
        <v>5747</v>
      </c>
      <c r="B222" s="284" t="str">
        <f>'A) Base RI'!B217</f>
        <v>Bofflens</v>
      </c>
      <c r="C222" s="10">
        <f>'A) Base RI'!V217</f>
        <v>206</v>
      </c>
      <c r="D222" s="423">
        <f>'C) Prél. conj.'!H216</f>
        <v>180.78</v>
      </c>
      <c r="E222" s="10">
        <f>'D) Ecrêtage'!M216</f>
        <v>0</v>
      </c>
      <c r="F222" s="423">
        <f>$F$11*'D) Ecrêtage'!C216</f>
        <v>70839.248887692593</v>
      </c>
      <c r="G222" s="55">
        <f t="shared" si="3"/>
        <v>71020.028887692592</v>
      </c>
    </row>
    <row r="223" spans="1:7" x14ac:dyDescent="0.25">
      <c r="A223" s="49">
        <f>'A) Base RI'!A218</f>
        <v>5748</v>
      </c>
      <c r="B223" s="284" t="str">
        <f>'A) Base RI'!B218</f>
        <v>Bretonnières</v>
      </c>
      <c r="C223" s="10">
        <f>'A) Base RI'!V218</f>
        <v>266</v>
      </c>
      <c r="D223" s="423">
        <f>'C) Prél. conj.'!H217</f>
        <v>16887.16</v>
      </c>
      <c r="E223" s="10">
        <f>'D) Ecrêtage'!M217</f>
        <v>0</v>
      </c>
      <c r="F223" s="423">
        <f>$F$11*'D) Ecrêtage'!C217</f>
        <v>81028.661520237336</v>
      </c>
      <c r="G223" s="55">
        <f t="shared" si="3"/>
        <v>97915.821520237339</v>
      </c>
    </row>
    <row r="224" spans="1:7" x14ac:dyDescent="0.25">
      <c r="A224" s="49">
        <f>'A) Base RI'!A219</f>
        <v>5749</v>
      </c>
      <c r="B224" s="284" t="str">
        <f>'A) Base RI'!B219</f>
        <v>Chavornay</v>
      </c>
      <c r="C224" s="10">
        <f>'A) Base RI'!V219</f>
        <v>5366</v>
      </c>
      <c r="D224" s="423">
        <f>'C) Prél. conj.'!H218</f>
        <v>476008.64500000002</v>
      </c>
      <c r="E224" s="10">
        <f>'D) Ecrêtage'!M218</f>
        <v>0</v>
      </c>
      <c r="F224" s="423">
        <f>$F$11*'D) Ecrêtage'!C218</f>
        <v>1870189.979372781</v>
      </c>
      <c r="G224" s="55">
        <f t="shared" si="3"/>
        <v>2346198.6243727813</v>
      </c>
    </row>
    <row r="225" spans="1:7" x14ac:dyDescent="0.25">
      <c r="A225" s="49">
        <f>'A) Base RI'!A220</f>
        <v>5750</v>
      </c>
      <c r="B225" s="284" t="str">
        <f>'A) Base RI'!B220</f>
        <v>Les Clées</v>
      </c>
      <c r="C225" s="10">
        <f>'A) Base RI'!V220</f>
        <v>182</v>
      </c>
      <c r="D225" s="423">
        <f>'C) Prél. conj.'!H219</f>
        <v>22556.965</v>
      </c>
      <c r="E225" s="10">
        <f>'D) Ecrêtage'!M219</f>
        <v>0</v>
      </c>
      <c r="F225" s="423">
        <f>$F$11*'D) Ecrêtage'!C219</f>
        <v>58784.23539210124</v>
      </c>
      <c r="G225" s="55">
        <f t="shared" si="3"/>
        <v>81341.200392101237</v>
      </c>
    </row>
    <row r="226" spans="1:7" x14ac:dyDescent="0.25">
      <c r="A226" s="49">
        <f>'A) Base RI'!A221</f>
        <v>5752</v>
      </c>
      <c r="B226" s="284" t="str">
        <f>'A) Base RI'!B221</f>
        <v>Croy</v>
      </c>
      <c r="C226" s="10">
        <f>'A) Base RI'!V221</f>
        <v>390</v>
      </c>
      <c r="D226" s="423">
        <f>'C) Prél. conj.'!H220</f>
        <v>19197.72</v>
      </c>
      <c r="E226" s="10">
        <f>'D) Ecrêtage'!M220</f>
        <v>0</v>
      </c>
      <c r="F226" s="423">
        <f>$F$11*'D) Ecrêtage'!C220</f>
        <v>117952.01196469691</v>
      </c>
      <c r="G226" s="55">
        <f t="shared" si="3"/>
        <v>137149.7319646969</v>
      </c>
    </row>
    <row r="227" spans="1:7" x14ac:dyDescent="0.25">
      <c r="A227" s="49">
        <f>'A) Base RI'!A222</f>
        <v>5754</v>
      </c>
      <c r="B227" s="284" t="str">
        <f>'A) Base RI'!B222</f>
        <v>Juriens</v>
      </c>
      <c r="C227" s="10">
        <f>'A) Base RI'!V222</f>
        <v>348</v>
      </c>
      <c r="D227" s="423">
        <f>'C) Prél. conj.'!H221</f>
        <v>65099.869999999995</v>
      </c>
      <c r="E227" s="10">
        <f>'D) Ecrêtage'!M221</f>
        <v>0</v>
      </c>
      <c r="F227" s="423">
        <f>$F$11*'D) Ecrêtage'!C221</f>
        <v>110667.03931338631</v>
      </c>
      <c r="G227" s="55">
        <f t="shared" si="3"/>
        <v>175766.90931338631</v>
      </c>
    </row>
    <row r="228" spans="1:7" x14ac:dyDescent="0.25">
      <c r="A228" s="49">
        <f>'A) Base RI'!A223</f>
        <v>5755</v>
      </c>
      <c r="B228" s="284" t="str">
        <f>'A) Base RI'!B223</f>
        <v>Lignerolle</v>
      </c>
      <c r="C228" s="10">
        <f>'A) Base RI'!V223</f>
        <v>409</v>
      </c>
      <c r="D228" s="423">
        <f>'C) Prél. conj.'!H222</f>
        <v>36656.605000000003</v>
      </c>
      <c r="E228" s="10">
        <f>'D) Ecrêtage'!M222</f>
        <v>0</v>
      </c>
      <c r="F228" s="423">
        <f>$F$11*'D) Ecrêtage'!C222</f>
        <v>131072.03383224367</v>
      </c>
      <c r="G228" s="55">
        <f t="shared" si="3"/>
        <v>167728.63883224368</v>
      </c>
    </row>
    <row r="229" spans="1:7" x14ac:dyDescent="0.25">
      <c r="A229" s="49">
        <f>'A) Base RI'!A224</f>
        <v>5756</v>
      </c>
      <c r="B229" s="284" t="str">
        <f>'A) Base RI'!B224</f>
        <v>Montcherand</v>
      </c>
      <c r="C229" s="10">
        <f>'A) Base RI'!V224</f>
        <v>502</v>
      </c>
      <c r="D229" s="423">
        <f>'C) Prél. conj.'!H223</f>
        <v>29969.08</v>
      </c>
      <c r="E229" s="10">
        <f>'D) Ecrêtage'!M223</f>
        <v>0</v>
      </c>
      <c r="F229" s="423">
        <f>$F$11*'D) Ecrêtage'!C223</f>
        <v>216359.59375402739</v>
      </c>
      <c r="G229" s="55">
        <f t="shared" si="3"/>
        <v>246328.6737540274</v>
      </c>
    </row>
    <row r="230" spans="1:7" x14ac:dyDescent="0.25">
      <c r="A230" s="49">
        <f>'A) Base RI'!A225</f>
        <v>5757</v>
      </c>
      <c r="B230" s="284" t="str">
        <f>'A) Base RI'!B225</f>
        <v>Orbe</v>
      </c>
      <c r="C230" s="10">
        <f>'A) Base RI'!V225</f>
        <v>7570</v>
      </c>
      <c r="D230" s="423">
        <f>'C) Prél. conj.'!H224</f>
        <v>1665678.925</v>
      </c>
      <c r="E230" s="10">
        <f>'D) Ecrêtage'!M224</f>
        <v>0</v>
      </c>
      <c r="F230" s="423">
        <f>$F$11*'D) Ecrêtage'!C224</f>
        <v>2636691.905988575</v>
      </c>
      <c r="G230" s="55">
        <f t="shared" si="3"/>
        <v>4302370.8309885748</v>
      </c>
    </row>
    <row r="231" spans="1:7" x14ac:dyDescent="0.25">
      <c r="A231" s="49">
        <f>'A) Base RI'!A226</f>
        <v>5758</v>
      </c>
      <c r="B231" s="284" t="str">
        <f>'A) Base RI'!B226</f>
        <v>La Praz</v>
      </c>
      <c r="C231" s="10">
        <f>'A) Base RI'!V226</f>
        <v>182</v>
      </c>
      <c r="D231" s="423">
        <f>'C) Prél. conj.'!H225</f>
        <v>21886.690000000002</v>
      </c>
      <c r="E231" s="10">
        <f>'D) Ecrêtage'!M225</f>
        <v>0</v>
      </c>
      <c r="F231" s="423">
        <f>$F$11*'D) Ecrêtage'!C225</f>
        <v>58199.926594587727</v>
      </c>
      <c r="G231" s="55">
        <f t="shared" si="3"/>
        <v>80086.616594587729</v>
      </c>
    </row>
    <row r="232" spans="1:7" x14ac:dyDescent="0.25">
      <c r="A232" s="49">
        <f>'A) Base RI'!A227</f>
        <v>5759</v>
      </c>
      <c r="B232" s="284" t="str">
        <f>'A) Base RI'!B227</f>
        <v>Premier</v>
      </c>
      <c r="C232" s="10">
        <f>'A) Base RI'!V227</f>
        <v>232</v>
      </c>
      <c r="D232" s="423">
        <f>'C) Prél. conj.'!H226</f>
        <v>1323.1949999999999</v>
      </c>
      <c r="E232" s="10">
        <f>'D) Ecrêtage'!M226</f>
        <v>0</v>
      </c>
      <c r="F232" s="423">
        <f>$F$11*'D) Ecrêtage'!C226</f>
        <v>71959.87637612308</v>
      </c>
      <c r="G232" s="55">
        <f t="shared" si="3"/>
        <v>73283.071376123087</v>
      </c>
    </row>
    <row r="233" spans="1:7" x14ac:dyDescent="0.25">
      <c r="A233" s="49">
        <f>'A) Base RI'!A228</f>
        <v>5760</v>
      </c>
      <c r="B233" s="284" t="str">
        <f>'A) Base RI'!B228</f>
        <v>Rances</v>
      </c>
      <c r="C233" s="10">
        <f>'A) Base RI'!V228</f>
        <v>512</v>
      </c>
      <c r="D233" s="423">
        <f>'C) Prél. conj.'!H227</f>
        <v>56312.829999999994</v>
      </c>
      <c r="E233" s="10">
        <f>'D) Ecrêtage'!M227</f>
        <v>0</v>
      </c>
      <c r="F233" s="423">
        <f>$F$11*'D) Ecrêtage'!C227</f>
        <v>176627.98005962098</v>
      </c>
      <c r="G233" s="55">
        <f t="shared" si="3"/>
        <v>232940.81005962097</v>
      </c>
    </row>
    <row r="234" spans="1:7" x14ac:dyDescent="0.25">
      <c r="A234" s="49">
        <f>'A) Base RI'!A229</f>
        <v>5761</v>
      </c>
      <c r="B234" s="284" t="str">
        <f>'A) Base RI'!B229</f>
        <v>Romainmôtier-Envy</v>
      </c>
      <c r="C234" s="10">
        <f>'A) Base RI'!V229</f>
        <v>551</v>
      </c>
      <c r="D234" s="423">
        <f>'C) Prél. conj.'!H228</f>
        <v>95372.93</v>
      </c>
      <c r="E234" s="10">
        <f>'D) Ecrêtage'!M228</f>
        <v>0</v>
      </c>
      <c r="F234" s="423">
        <f>$F$11*'D) Ecrêtage'!C228</f>
        <v>157505.03978687458</v>
      </c>
      <c r="G234" s="55">
        <f t="shared" si="3"/>
        <v>252877.96978687457</v>
      </c>
    </row>
    <row r="235" spans="1:7" x14ac:dyDescent="0.25">
      <c r="A235" s="49">
        <f>'A) Base RI'!A230</f>
        <v>5762</v>
      </c>
      <c r="B235" s="284" t="str">
        <f>'A) Base RI'!B230</f>
        <v>Sergey</v>
      </c>
      <c r="C235" s="10">
        <f>'A) Base RI'!V230</f>
        <v>141</v>
      </c>
      <c r="D235" s="423">
        <f>'C) Prél. conj.'!H229</f>
        <v>3649.62</v>
      </c>
      <c r="E235" s="10">
        <f>'D) Ecrêtage'!M229</f>
        <v>0</v>
      </c>
      <c r="F235" s="423">
        <f>$F$11*'D) Ecrêtage'!C229</f>
        <v>46951.879962308551</v>
      </c>
      <c r="G235" s="55">
        <f t="shared" si="3"/>
        <v>50601.499962308553</v>
      </c>
    </row>
    <row r="236" spans="1:7" x14ac:dyDescent="0.25">
      <c r="A236" s="49">
        <f>'A) Base RI'!A231</f>
        <v>5763</v>
      </c>
      <c r="B236" s="284" t="str">
        <f>'A) Base RI'!B231</f>
        <v>Valeyres-sous-Rances</v>
      </c>
      <c r="C236" s="10">
        <f>'A) Base RI'!V231</f>
        <v>614</v>
      </c>
      <c r="D236" s="423">
        <f>'C) Prél. conj.'!H230</f>
        <v>23504.595000000001</v>
      </c>
      <c r="E236" s="10">
        <f>'D) Ecrêtage'!M230</f>
        <v>0</v>
      </c>
      <c r="F236" s="423">
        <f>$F$11*'D) Ecrêtage'!C230</f>
        <v>276420.49374165887</v>
      </c>
      <c r="G236" s="55">
        <f t="shared" si="3"/>
        <v>299925.08874165884</v>
      </c>
    </row>
    <row r="237" spans="1:7" x14ac:dyDescent="0.25">
      <c r="A237" s="49">
        <f>'A) Base RI'!A232</f>
        <v>5764</v>
      </c>
      <c r="B237" s="284" t="str">
        <f>'A) Base RI'!B232</f>
        <v>Vallorbe</v>
      </c>
      <c r="C237" s="10">
        <f>'A) Base RI'!V232</f>
        <v>3924</v>
      </c>
      <c r="D237" s="423">
        <f>'C) Prél. conj.'!H231</f>
        <v>891489.3</v>
      </c>
      <c r="E237" s="10">
        <f>'D) Ecrêtage'!M231</f>
        <v>0</v>
      </c>
      <c r="F237" s="423">
        <f>$F$11*'D) Ecrêtage'!C231</f>
        <v>1020629.747041611</v>
      </c>
      <c r="G237" s="55">
        <f t="shared" si="3"/>
        <v>1912119.047041611</v>
      </c>
    </row>
    <row r="238" spans="1:7" x14ac:dyDescent="0.25">
      <c r="A238" s="49">
        <f>'A) Base RI'!A233</f>
        <v>5765</v>
      </c>
      <c r="B238" s="284" t="str">
        <f>'A) Base RI'!B233</f>
        <v>Vaulion</v>
      </c>
      <c r="C238" s="10">
        <f>'A) Base RI'!V233</f>
        <v>492</v>
      </c>
      <c r="D238" s="423">
        <f>'C) Prél. conj.'!H232</f>
        <v>49914.945</v>
      </c>
      <c r="E238" s="10">
        <f>'D) Ecrêtage'!M232</f>
        <v>0</v>
      </c>
      <c r="F238" s="423">
        <f>$F$11*'D) Ecrêtage'!C232</f>
        <v>125373.36669195103</v>
      </c>
      <c r="G238" s="55">
        <f t="shared" si="3"/>
        <v>175288.31169195104</v>
      </c>
    </row>
    <row r="239" spans="1:7" x14ac:dyDescent="0.25">
      <c r="A239" s="49">
        <f>'A) Base RI'!A234</f>
        <v>5766</v>
      </c>
      <c r="B239" s="284" t="str">
        <f>'A) Base RI'!B234</f>
        <v>Vuiteboeuf</v>
      </c>
      <c r="C239" s="10">
        <f>'A) Base RI'!V234</f>
        <v>591</v>
      </c>
      <c r="D239" s="423">
        <f>'C) Prél. conj.'!H233</f>
        <v>51897.274999999994</v>
      </c>
      <c r="E239" s="10">
        <f>'D) Ecrêtage'!M233</f>
        <v>0</v>
      </c>
      <c r="F239" s="423">
        <f>$F$11*'D) Ecrêtage'!C233</f>
        <v>189705.15133380293</v>
      </c>
      <c r="G239" s="55">
        <f t="shared" si="3"/>
        <v>241602.42633380293</v>
      </c>
    </row>
    <row r="240" spans="1:7" x14ac:dyDescent="0.25">
      <c r="A240" s="49">
        <f>'A) Base RI'!A235</f>
        <v>5785</v>
      </c>
      <c r="B240" s="284" t="str">
        <f>'A) Base RI'!B235</f>
        <v>Corcelles-le-Jorat</v>
      </c>
      <c r="C240" s="10">
        <f>'A) Base RI'!V235</f>
        <v>489</v>
      </c>
      <c r="D240" s="423">
        <f>'C) Prél. conj.'!H234</f>
        <v>37952.399999999994</v>
      </c>
      <c r="E240" s="10">
        <f>'D) Ecrêtage'!M234</f>
        <v>0</v>
      </c>
      <c r="F240" s="423">
        <f>$F$11*'D) Ecrêtage'!C234</f>
        <v>177823.82509338038</v>
      </c>
      <c r="G240" s="55">
        <f t="shared" si="3"/>
        <v>215776.22509338037</v>
      </c>
    </row>
    <row r="241" spans="1:7" x14ac:dyDescent="0.25">
      <c r="A241" s="49">
        <f>'A) Base RI'!A236</f>
        <v>5788</v>
      </c>
      <c r="B241" s="284" t="str">
        <f>'A) Base RI'!B236</f>
        <v>Essertes</v>
      </c>
      <c r="C241" s="10">
        <f>'A) Base RI'!V236</f>
        <v>397</v>
      </c>
      <c r="D241" s="423">
        <f>'C) Prél. conj.'!H235</f>
        <v>14583.55</v>
      </c>
      <c r="E241" s="10">
        <f>'D) Ecrêtage'!M235</f>
        <v>0</v>
      </c>
      <c r="F241" s="423">
        <f>$F$11*'D) Ecrêtage'!C235</f>
        <v>162395.41306914834</v>
      </c>
      <c r="G241" s="55">
        <f t="shared" si="3"/>
        <v>176978.96306914833</v>
      </c>
    </row>
    <row r="242" spans="1:7" x14ac:dyDescent="0.25">
      <c r="A242" s="49">
        <f>'A) Base RI'!A237</f>
        <v>5790</v>
      </c>
      <c r="B242" s="284" t="str">
        <f>'A) Base RI'!B237</f>
        <v>Maracon</v>
      </c>
      <c r="C242" s="10">
        <f>'A) Base RI'!V237</f>
        <v>547</v>
      </c>
      <c r="D242" s="423">
        <f>'C) Prél. conj.'!H236</f>
        <v>33169.729999999996</v>
      </c>
      <c r="E242" s="10">
        <f>'D) Ecrêtage'!M236</f>
        <v>0</v>
      </c>
      <c r="F242" s="423">
        <f>$F$11*'D) Ecrêtage'!C236</f>
        <v>185045.47376019572</v>
      </c>
      <c r="G242" s="55">
        <f t="shared" si="3"/>
        <v>218215.2037601957</v>
      </c>
    </row>
    <row r="243" spans="1:7" x14ac:dyDescent="0.25">
      <c r="A243" s="49">
        <f>'A) Base RI'!A238</f>
        <v>5792</v>
      </c>
      <c r="B243" s="284" t="str">
        <f>'A) Base RI'!B238</f>
        <v>Montpreveyres</v>
      </c>
      <c r="C243" s="10">
        <f>'A) Base RI'!V238</f>
        <v>662</v>
      </c>
      <c r="D243" s="423">
        <f>'C) Prél. conj.'!H237</f>
        <v>87511.865000000005</v>
      </c>
      <c r="E243" s="10">
        <f>'D) Ecrêtage'!M237</f>
        <v>0</v>
      </c>
      <c r="F243" s="423">
        <f>$F$11*'D) Ecrêtage'!C237</f>
        <v>245708.10618350515</v>
      </c>
      <c r="G243" s="55">
        <f t="shared" si="3"/>
        <v>333219.97118350514</v>
      </c>
    </row>
    <row r="244" spans="1:7" x14ac:dyDescent="0.25">
      <c r="A244" s="49">
        <f>'A) Base RI'!A239</f>
        <v>5798</v>
      </c>
      <c r="B244" s="284" t="str">
        <f>'A) Base RI'!B239</f>
        <v>Ropraz</v>
      </c>
      <c r="C244" s="10">
        <f>'A) Base RI'!V239</f>
        <v>534</v>
      </c>
      <c r="D244" s="423">
        <f>'C) Prél. conj.'!H238</f>
        <v>69018.13</v>
      </c>
      <c r="E244" s="10">
        <f>'D) Ecrêtage'!M238</f>
        <v>0</v>
      </c>
      <c r="F244" s="423">
        <f>$F$11*'D) Ecrêtage'!C238</f>
        <v>212765.05859191529</v>
      </c>
      <c r="G244" s="55">
        <f t="shared" si="3"/>
        <v>281783.1885919153</v>
      </c>
    </row>
    <row r="245" spans="1:7" x14ac:dyDescent="0.25">
      <c r="A245" s="49">
        <f>'A) Base RI'!A240</f>
        <v>5799</v>
      </c>
      <c r="B245" s="284" t="str">
        <f>'A) Base RI'!B240</f>
        <v>Servion</v>
      </c>
      <c r="C245" s="10">
        <f>'A) Base RI'!V240</f>
        <v>2107</v>
      </c>
      <c r="D245" s="423">
        <f>'C) Prél. conj.'!H239</f>
        <v>249140.88</v>
      </c>
      <c r="E245" s="10">
        <f>'D) Ecrêtage'!M239</f>
        <v>0</v>
      </c>
      <c r="F245" s="423">
        <f>$F$11*'D) Ecrêtage'!C239</f>
        <v>875026.8221085089</v>
      </c>
      <c r="G245" s="55">
        <f t="shared" si="3"/>
        <v>1124167.7021085089</v>
      </c>
    </row>
    <row r="246" spans="1:7" x14ac:dyDescent="0.25">
      <c r="A246" s="49">
        <f>'A) Base RI'!A241</f>
        <v>5803</v>
      </c>
      <c r="B246" s="284" t="str">
        <f>'A) Base RI'!B241</f>
        <v>Vulliens</v>
      </c>
      <c r="C246" s="10">
        <f>'A) Base RI'!V241</f>
        <v>631</v>
      </c>
      <c r="D246" s="423">
        <f>'C) Prél. conj.'!H240</f>
        <v>54035.61</v>
      </c>
      <c r="E246" s="10">
        <f>'D) Ecrêtage'!M240</f>
        <v>0</v>
      </c>
      <c r="F246" s="423">
        <f>$F$11*'D) Ecrêtage'!C240</f>
        <v>219489.98366267743</v>
      </c>
      <c r="G246" s="55">
        <f t="shared" si="3"/>
        <v>273525.59366267745</v>
      </c>
    </row>
    <row r="247" spans="1:7" x14ac:dyDescent="0.25">
      <c r="A247" s="49">
        <f>'A) Base RI'!A242</f>
        <v>5804</v>
      </c>
      <c r="B247" s="284" t="str">
        <f>'A) Base RI'!B242</f>
        <v>Jorat-Menthue</v>
      </c>
      <c r="C247" s="10">
        <f>'A) Base RI'!V242</f>
        <v>1603</v>
      </c>
      <c r="D247" s="423">
        <f>'C) Prél. conj.'!H241</f>
        <v>85788.494999999995</v>
      </c>
      <c r="E247" s="10">
        <f>'D) Ecrêtage'!M241</f>
        <v>0</v>
      </c>
      <c r="F247" s="423">
        <f>$F$11*'D) Ecrêtage'!C241</f>
        <v>571458.62565741315</v>
      </c>
      <c r="G247" s="55">
        <f t="shared" si="3"/>
        <v>657247.12065741315</v>
      </c>
    </row>
    <row r="248" spans="1:7" x14ac:dyDescent="0.25">
      <c r="A248" s="49">
        <f>'A) Base RI'!A243</f>
        <v>5805</v>
      </c>
      <c r="B248" s="284" t="str">
        <f>'A) Base RI'!B243</f>
        <v>Oron</v>
      </c>
      <c r="C248" s="10">
        <f>'A) Base RI'!V243</f>
        <v>5703</v>
      </c>
      <c r="D248" s="423">
        <f>'C) Prél. conj.'!H242</f>
        <v>319705.88</v>
      </c>
      <c r="E248" s="10">
        <f>'D) Ecrêtage'!M242</f>
        <v>0</v>
      </c>
      <c r="F248" s="423">
        <f>$F$11*'D) Ecrêtage'!C242</f>
        <v>1977238.0162512313</v>
      </c>
      <c r="G248" s="55">
        <f t="shared" si="3"/>
        <v>2296943.8962512314</v>
      </c>
    </row>
    <row r="249" spans="1:7" x14ac:dyDescent="0.25">
      <c r="A249" s="49">
        <f>'A) Base RI'!A244</f>
        <v>5806</v>
      </c>
      <c r="B249" s="284" t="str">
        <f>'A) Base RI'!B244</f>
        <v>Jorat-Mézières</v>
      </c>
      <c r="C249" s="10">
        <f>'A) Base RI'!V244</f>
        <v>3095</v>
      </c>
      <c r="D249" s="423">
        <f>'C) Prél. conj.'!H243</f>
        <v>495124.67</v>
      </c>
      <c r="E249" s="10">
        <f>'D) Ecrêtage'!M243</f>
        <v>0</v>
      </c>
      <c r="F249" s="423">
        <f>$F$11*'D) Ecrêtage'!C243</f>
        <v>1244988.2427568713</v>
      </c>
      <c r="G249" s="55">
        <f t="shared" si="3"/>
        <v>1740112.9127568712</v>
      </c>
    </row>
    <row r="250" spans="1:7" x14ac:dyDescent="0.25">
      <c r="A250" s="49">
        <f>'A) Base RI'!A245</f>
        <v>5812</v>
      </c>
      <c r="B250" s="284" t="str">
        <f>'A) Base RI'!B245</f>
        <v>Champtauroz</v>
      </c>
      <c r="C250" s="10">
        <f>'A) Base RI'!V245</f>
        <v>169</v>
      </c>
      <c r="D250" s="423">
        <f>'C) Prél. conj.'!H244</f>
        <v>7105.65</v>
      </c>
      <c r="E250" s="10">
        <f>'D) Ecrêtage'!M244</f>
        <v>0</v>
      </c>
      <c r="F250" s="423">
        <f>$F$11*'D) Ecrêtage'!C244</f>
        <v>40847.816867087851</v>
      </c>
      <c r="G250" s="55">
        <f t="shared" si="3"/>
        <v>47953.466867087853</v>
      </c>
    </row>
    <row r="251" spans="1:7" x14ac:dyDescent="0.25">
      <c r="A251" s="49">
        <f>'A) Base RI'!A246</f>
        <v>5813</v>
      </c>
      <c r="B251" s="284" t="str">
        <f>'A) Base RI'!B246</f>
        <v>Chevroux</v>
      </c>
      <c r="C251" s="10">
        <f>'A) Base RI'!V246</f>
        <v>506</v>
      </c>
      <c r="D251" s="423">
        <f>'C) Prél. conj.'!H245</f>
        <v>76164.799999999988</v>
      </c>
      <c r="E251" s="10">
        <f>'D) Ecrêtage'!M245</f>
        <v>0</v>
      </c>
      <c r="F251" s="423">
        <f>$F$11*'D) Ecrêtage'!C245</f>
        <v>186324.33135607681</v>
      </c>
      <c r="G251" s="55">
        <f t="shared" si="3"/>
        <v>262489.1313560768</v>
      </c>
    </row>
    <row r="252" spans="1:7" x14ac:dyDescent="0.25">
      <c r="A252" s="49">
        <f>'A) Base RI'!A247</f>
        <v>5816</v>
      </c>
      <c r="B252" s="284" t="str">
        <f>'A) Base RI'!B247</f>
        <v>Corcelles-près-Payerne</v>
      </c>
      <c r="C252" s="10">
        <f>'A) Base RI'!V247</f>
        <v>2722</v>
      </c>
      <c r="D252" s="423">
        <f>'C) Prél. conj.'!H246</f>
        <v>135581.375</v>
      </c>
      <c r="E252" s="10">
        <f>'D) Ecrêtage'!M246</f>
        <v>0</v>
      </c>
      <c r="F252" s="423">
        <f>$F$11*'D) Ecrêtage'!C246</f>
        <v>800713.6234511605</v>
      </c>
      <c r="G252" s="55">
        <f t="shared" si="3"/>
        <v>936294.9984511605</v>
      </c>
    </row>
    <row r="253" spans="1:7" x14ac:dyDescent="0.25">
      <c r="A253" s="49">
        <f>'A) Base RI'!A248</f>
        <v>5817</v>
      </c>
      <c r="B253" s="284" t="str">
        <f>'A) Base RI'!B248</f>
        <v>Grandcour</v>
      </c>
      <c r="C253" s="10">
        <f>'A) Base RI'!V248</f>
        <v>987</v>
      </c>
      <c r="D253" s="423">
        <f>'C) Prél. conj.'!H247</f>
        <v>22879.514999999999</v>
      </c>
      <c r="E253" s="10">
        <f>'D) Ecrêtage'!M247</f>
        <v>0</v>
      </c>
      <c r="F253" s="423">
        <f>$F$11*'D) Ecrêtage'!C247</f>
        <v>300314.96920202015</v>
      </c>
      <c r="G253" s="55">
        <f t="shared" si="3"/>
        <v>323194.48420202016</v>
      </c>
    </row>
    <row r="254" spans="1:7" x14ac:dyDescent="0.25">
      <c r="A254" s="49">
        <f>'A) Base RI'!A249</f>
        <v>5819</v>
      </c>
      <c r="B254" s="284" t="str">
        <f>'A) Base RI'!B249</f>
        <v>Henniez</v>
      </c>
      <c r="C254" s="10">
        <f>'A) Base RI'!V249</f>
        <v>407</v>
      </c>
      <c r="D254" s="423">
        <f>'C) Prél. conj.'!H248</f>
        <v>33181.68</v>
      </c>
      <c r="E254" s="10">
        <f>'D) Ecrêtage'!M248</f>
        <v>0</v>
      </c>
      <c r="F254" s="423">
        <f>$F$11*'D) Ecrêtage'!C248</f>
        <v>122732.84808974349</v>
      </c>
      <c r="G254" s="55">
        <f t="shared" si="3"/>
        <v>155914.52808974349</v>
      </c>
    </row>
    <row r="255" spans="1:7" x14ac:dyDescent="0.25">
      <c r="A255" s="49">
        <f>'A) Base RI'!A250</f>
        <v>5821</v>
      </c>
      <c r="B255" s="284" t="str">
        <f>'A) Base RI'!B250</f>
        <v>Missy</v>
      </c>
      <c r="C255" s="10">
        <f>'A) Base RI'!V250</f>
        <v>366</v>
      </c>
      <c r="D255" s="423">
        <f>'C) Prél. conj.'!H249</f>
        <v>12292.875</v>
      </c>
      <c r="E255" s="10">
        <f>'D) Ecrêtage'!M249</f>
        <v>0</v>
      </c>
      <c r="F255" s="423">
        <f>$F$11*'D) Ecrêtage'!C249</f>
        <v>98116.773317674015</v>
      </c>
      <c r="G255" s="55">
        <f t="shared" si="3"/>
        <v>110409.64831767401</v>
      </c>
    </row>
    <row r="256" spans="1:7" x14ac:dyDescent="0.25">
      <c r="A256" s="49">
        <f>'A) Base RI'!A251</f>
        <v>5822</v>
      </c>
      <c r="B256" s="284" t="str">
        <f>'A) Base RI'!B251</f>
        <v>Payerne</v>
      </c>
      <c r="C256" s="10">
        <f>'A) Base RI'!V251</f>
        <v>10258</v>
      </c>
      <c r="D256" s="423">
        <f>'C) Prél. conj.'!H250</f>
        <v>1140366.645</v>
      </c>
      <c r="E256" s="10">
        <f>'D) Ecrêtage'!M250</f>
        <v>0</v>
      </c>
      <c r="F256" s="423">
        <f>$F$11*'D) Ecrêtage'!C250</f>
        <v>2926963.2918900489</v>
      </c>
      <c r="G256" s="55">
        <f t="shared" si="3"/>
        <v>4067329.9368900489</v>
      </c>
    </row>
    <row r="257" spans="1:7" x14ac:dyDescent="0.25">
      <c r="A257" s="49">
        <f>'A) Base RI'!A252</f>
        <v>5827</v>
      </c>
      <c r="B257" s="284" t="str">
        <f>'A) Base RI'!B252</f>
        <v>Trey</v>
      </c>
      <c r="C257" s="10">
        <f>'A) Base RI'!V252</f>
        <v>321</v>
      </c>
      <c r="D257" s="423">
        <f>'C) Prél. conj.'!H251</f>
        <v>57691.375</v>
      </c>
      <c r="E257" s="10">
        <f>'D) Ecrêtage'!M251</f>
        <v>0</v>
      </c>
      <c r="F257" s="423">
        <f>$F$11*'D) Ecrêtage'!C251</f>
        <v>94491.473457223285</v>
      </c>
      <c r="G257" s="55">
        <f t="shared" si="3"/>
        <v>152182.84845722327</v>
      </c>
    </row>
    <row r="258" spans="1:7" x14ac:dyDescent="0.25">
      <c r="A258" s="49">
        <f>'A) Base RI'!A253</f>
        <v>5828</v>
      </c>
      <c r="B258" s="284" t="str">
        <f>'A) Base RI'!B253</f>
        <v>Treytorrens (Payerne)</v>
      </c>
      <c r="C258" s="10">
        <f>'A) Base RI'!V253</f>
        <v>110</v>
      </c>
      <c r="D258" s="423">
        <f>'C) Prél. conj.'!H252</f>
        <v>6837.0249999999996</v>
      </c>
      <c r="E258" s="10">
        <f>'D) Ecrêtage'!M252</f>
        <v>0</v>
      </c>
      <c r="F258" s="423">
        <f>$F$11*'D) Ecrêtage'!C252</f>
        <v>35360.256319295615</v>
      </c>
      <c r="G258" s="55">
        <f t="shared" si="3"/>
        <v>42197.281319295616</v>
      </c>
    </row>
    <row r="259" spans="1:7" x14ac:dyDescent="0.25">
      <c r="A259" s="49">
        <f>'A) Base RI'!A254</f>
        <v>5830</v>
      </c>
      <c r="B259" s="284" t="str">
        <f>'A) Base RI'!B254</f>
        <v>Villarzel</v>
      </c>
      <c r="C259" s="10">
        <f>'A) Base RI'!V254</f>
        <v>500</v>
      </c>
      <c r="D259" s="423">
        <f>'C) Prél. conj.'!H253</f>
        <v>64705.97</v>
      </c>
      <c r="E259" s="10">
        <f>'D) Ecrêtage'!M253</f>
        <v>0</v>
      </c>
      <c r="F259" s="423">
        <f>$F$11*'D) Ecrêtage'!C253</f>
        <v>151358.04456300783</v>
      </c>
      <c r="G259" s="55">
        <f t="shared" si="3"/>
        <v>216064.01456300783</v>
      </c>
    </row>
    <row r="260" spans="1:7" x14ac:dyDescent="0.25">
      <c r="A260" s="49">
        <f>'A) Base RI'!A255</f>
        <v>5831</v>
      </c>
      <c r="B260" s="284" t="str">
        <f>'A) Base RI'!B255</f>
        <v>Valbroye</v>
      </c>
      <c r="C260" s="10">
        <f>'A) Base RI'!V255</f>
        <v>3349</v>
      </c>
      <c r="D260" s="423">
        <f>'C) Prél. conj.'!H254</f>
        <v>432307.00500000006</v>
      </c>
      <c r="E260" s="10">
        <f>'D) Ecrêtage'!M254</f>
        <v>0</v>
      </c>
      <c r="F260" s="423">
        <f>$F$11*'D) Ecrêtage'!C254</f>
        <v>988753.53441390523</v>
      </c>
      <c r="G260" s="55">
        <f t="shared" si="3"/>
        <v>1421060.5394139052</v>
      </c>
    </row>
    <row r="261" spans="1:7" x14ac:dyDescent="0.25">
      <c r="A261" s="49">
        <f>'A) Base RI'!A256</f>
        <v>5841</v>
      </c>
      <c r="B261" s="284" t="str">
        <f>'A) Base RI'!B256</f>
        <v>Château-d'Oex</v>
      </c>
      <c r="C261" s="10">
        <f>'A) Base RI'!V256</f>
        <v>3549</v>
      </c>
      <c r="D261" s="423">
        <f>'C) Prél. conj.'!H255</f>
        <v>894406.98499999999</v>
      </c>
      <c r="E261" s="10">
        <f>'D) Ecrêtage'!M255</f>
        <v>0</v>
      </c>
      <c r="F261" s="423">
        <f>$F$11*'D) Ecrêtage'!C255</f>
        <v>1352071.9539126274</v>
      </c>
      <c r="G261" s="55">
        <f t="shared" si="3"/>
        <v>2246478.9389126273</v>
      </c>
    </row>
    <row r="262" spans="1:7" x14ac:dyDescent="0.25">
      <c r="A262" s="49">
        <f>'A) Base RI'!A257</f>
        <v>5842</v>
      </c>
      <c r="B262" s="284" t="str">
        <f>'A) Base RI'!B257</f>
        <v>Rossinière</v>
      </c>
      <c r="C262" s="10">
        <f>'A) Base RI'!V257</f>
        <v>534</v>
      </c>
      <c r="D262" s="423">
        <f>'C) Prél. conj.'!H256</f>
        <v>43581.175000000003</v>
      </c>
      <c r="E262" s="10">
        <f>'D) Ecrêtage'!M256</f>
        <v>0</v>
      </c>
      <c r="F262" s="423">
        <f>$F$11*'D) Ecrêtage'!C256</f>
        <v>182272.35982266892</v>
      </c>
      <c r="G262" s="55">
        <f t="shared" si="3"/>
        <v>225853.53482266894</v>
      </c>
    </row>
    <row r="263" spans="1:7" x14ac:dyDescent="0.25">
      <c r="A263" s="49">
        <f>'A) Base RI'!A258</f>
        <v>5843</v>
      </c>
      <c r="B263" s="284" t="str">
        <f>'A) Base RI'!B258</f>
        <v>Rougemont</v>
      </c>
      <c r="C263" s="10">
        <f>'A) Base RI'!V258</f>
        <v>862</v>
      </c>
      <c r="D263" s="423">
        <f>'C) Prél. conj.'!H257</f>
        <v>1161512.0549999999</v>
      </c>
      <c r="E263" s="10">
        <f>'D) Ecrêtage'!M257</f>
        <v>1524257.8169214213</v>
      </c>
      <c r="F263" s="423">
        <f>$F$11*'D) Ecrêtage'!C257</f>
        <v>1184132.3022373191</v>
      </c>
      <c r="G263" s="55">
        <f t="shared" si="3"/>
        <v>3869902.1741587403</v>
      </c>
    </row>
    <row r="264" spans="1:7" x14ac:dyDescent="0.25">
      <c r="A264" s="49">
        <f>'A) Base RI'!A259</f>
        <v>5851</v>
      </c>
      <c r="B264" s="284" t="str">
        <f>'A) Base RI'!B259</f>
        <v>Allaman</v>
      </c>
      <c r="C264" s="10">
        <f>'A) Base RI'!V259</f>
        <v>430</v>
      </c>
      <c r="D264" s="423">
        <f>'C) Prél. conj.'!H258</f>
        <v>53699.05</v>
      </c>
      <c r="E264" s="10">
        <f>'D) Ecrêtage'!M258</f>
        <v>48829.412466921567</v>
      </c>
      <c r="F264" s="423">
        <f>$F$11*'D) Ecrêtage'!C258</f>
        <v>303398.62743945356</v>
      </c>
      <c r="G264" s="55">
        <f t="shared" si="3"/>
        <v>405927.0899063751</v>
      </c>
    </row>
    <row r="265" spans="1:7" x14ac:dyDescent="0.25">
      <c r="A265" s="49">
        <f>'A) Base RI'!A260</f>
        <v>5852</v>
      </c>
      <c r="B265" s="284" t="str">
        <f>'A) Base RI'!B260</f>
        <v>Bursinel</v>
      </c>
      <c r="C265" s="10">
        <f>'A) Base RI'!V260</f>
        <v>515</v>
      </c>
      <c r="D265" s="423">
        <f>'C) Prél. conj.'!H259</f>
        <v>170591.81500000003</v>
      </c>
      <c r="E265" s="10">
        <f>'D) Ecrêtage'!M259</f>
        <v>149833.12428522541</v>
      </c>
      <c r="F265" s="423">
        <f>$F$11*'D) Ecrêtage'!C259</f>
        <v>422444.98773793963</v>
      </c>
      <c r="G265" s="55">
        <f t="shared" si="3"/>
        <v>742869.92702316504</v>
      </c>
    </row>
    <row r="266" spans="1:7" x14ac:dyDescent="0.25">
      <c r="A266" s="49">
        <f>'A) Base RI'!A261</f>
        <v>5853</v>
      </c>
      <c r="B266" s="284" t="str">
        <f>'A) Base RI'!B261</f>
        <v>Bursins</v>
      </c>
      <c r="C266" s="10">
        <f>'A) Base RI'!V261</f>
        <v>773</v>
      </c>
      <c r="D266" s="423">
        <f>'C) Prél. conj.'!H260</f>
        <v>285825.07</v>
      </c>
      <c r="E266" s="10">
        <f>'D) Ecrêtage'!M260</f>
        <v>100570.46391902254</v>
      </c>
      <c r="F266" s="423">
        <f>$F$11*'D) Ecrêtage'!C260</f>
        <v>542576.00619661622</v>
      </c>
      <c r="G266" s="55">
        <f t="shared" si="3"/>
        <v>928971.54011563887</v>
      </c>
    </row>
    <row r="267" spans="1:7" x14ac:dyDescent="0.25">
      <c r="A267" s="49">
        <f>'A) Base RI'!A262</f>
        <v>5854</v>
      </c>
      <c r="B267" s="284" t="str">
        <f>'A) Base RI'!B262</f>
        <v>Burtigny</v>
      </c>
      <c r="C267" s="10">
        <f>'A) Base RI'!V262</f>
        <v>416</v>
      </c>
      <c r="D267" s="423">
        <f>'C) Prél. conj.'!H261</f>
        <v>35355.040000000001</v>
      </c>
      <c r="E267" s="10">
        <f>'D) Ecrêtage'!M261</f>
        <v>0</v>
      </c>
      <c r="F267" s="423">
        <f>$F$11*'D) Ecrêtage'!C261</f>
        <v>186068.96018306061</v>
      </c>
      <c r="G267" s="55">
        <f t="shared" si="3"/>
        <v>221424.00018306062</v>
      </c>
    </row>
    <row r="268" spans="1:7" x14ac:dyDescent="0.25">
      <c r="A268" s="49">
        <f>'A) Base RI'!A263</f>
        <v>5855</v>
      </c>
      <c r="B268" s="284" t="str">
        <f>'A) Base RI'!B263</f>
        <v>Dully</v>
      </c>
      <c r="C268" s="10">
        <f>'A) Base RI'!V263</f>
        <v>634</v>
      </c>
      <c r="D268" s="423">
        <f>'C) Prél. conj.'!H262</f>
        <v>334178.92</v>
      </c>
      <c r="E268" s="10">
        <f>'D) Ecrêtage'!M262</f>
        <v>1296190.6680892983</v>
      </c>
      <c r="F268" s="423">
        <f>$F$11*'D) Ecrêtage'!C262</f>
        <v>1142616.0445755075</v>
      </c>
      <c r="G268" s="55">
        <f t="shared" si="3"/>
        <v>2772985.6326648057</v>
      </c>
    </row>
    <row r="269" spans="1:7" x14ac:dyDescent="0.25">
      <c r="A269" s="49">
        <f>'A) Base RI'!A264</f>
        <v>5856</v>
      </c>
      <c r="B269" s="284" t="str">
        <f>'A) Base RI'!B264</f>
        <v>Essertines-sur-Rolle</v>
      </c>
      <c r="C269" s="10">
        <f>'A) Base RI'!V264</f>
        <v>753</v>
      </c>
      <c r="D269" s="423">
        <f>'C) Prél. conj.'!H263</f>
        <v>234852</v>
      </c>
      <c r="E269" s="10">
        <f>'D) Ecrêtage'!M263</f>
        <v>74806.442413763027</v>
      </c>
      <c r="F269" s="423">
        <f>$F$11*'D) Ecrêtage'!C263</f>
        <v>512991.7405070216</v>
      </c>
      <c r="G269" s="55">
        <f t="shared" ref="G269:G319" si="4">D269+F269+E269</f>
        <v>822650.18292078457</v>
      </c>
    </row>
    <row r="270" spans="1:7" x14ac:dyDescent="0.25">
      <c r="A270" s="49">
        <f>'A) Base RI'!A265</f>
        <v>5857</v>
      </c>
      <c r="B270" s="284" t="str">
        <f>'A) Base RI'!B265</f>
        <v>Gilly</v>
      </c>
      <c r="C270" s="10">
        <f>'A) Base RI'!V265</f>
        <v>1438</v>
      </c>
      <c r="D270" s="423">
        <f>'C) Prél. conj.'!H264</f>
        <v>245765.75999999998</v>
      </c>
      <c r="E270" s="10">
        <f>'D) Ecrêtage'!M264</f>
        <v>283398.00559555099</v>
      </c>
      <c r="F270" s="423">
        <f>$F$11*'D) Ecrêtage'!C264</f>
        <v>1083858.3397154449</v>
      </c>
      <c r="G270" s="55">
        <f t="shared" si="4"/>
        <v>1613022.1053109961</v>
      </c>
    </row>
    <row r="271" spans="1:7" x14ac:dyDescent="0.25">
      <c r="A271" s="49">
        <f>'A) Base RI'!A266</f>
        <v>5858</v>
      </c>
      <c r="B271" s="284" t="str">
        <f>'A) Base RI'!B266</f>
        <v>Luins</v>
      </c>
      <c r="C271" s="10">
        <f>'A) Base RI'!V266</f>
        <v>630</v>
      </c>
      <c r="D271" s="423">
        <f>'C) Prél. conj.'!H265</f>
        <v>54184.259999999995</v>
      </c>
      <c r="E271" s="10">
        <f>'D) Ecrêtage'!M265</f>
        <v>100679.00450507291</v>
      </c>
      <c r="F271" s="423">
        <f>$F$11*'D) Ecrêtage'!C265</f>
        <v>466556.44606196729</v>
      </c>
      <c r="G271" s="55">
        <f t="shared" si="4"/>
        <v>621419.71056704025</v>
      </c>
    </row>
    <row r="272" spans="1:7" x14ac:dyDescent="0.25">
      <c r="A272" s="49">
        <f>'A) Base RI'!A267</f>
        <v>5859</v>
      </c>
      <c r="B272" s="284" t="str">
        <f>'A) Base RI'!B267</f>
        <v>Mont-sur-Rolle</v>
      </c>
      <c r="C272" s="10">
        <f>'A) Base RI'!V267</f>
        <v>2739</v>
      </c>
      <c r="D272" s="423">
        <f>'C) Prél. conj.'!H266</f>
        <v>871600.13000000012</v>
      </c>
      <c r="E272" s="10">
        <f>'D) Ecrêtage'!M266</f>
        <v>372250.44372595567</v>
      </c>
      <c r="F272" s="423">
        <f>$F$11*'D) Ecrêtage'!C266</f>
        <v>1962545.5711056807</v>
      </c>
      <c r="G272" s="55">
        <f t="shared" si="4"/>
        <v>3206396.1448316365</v>
      </c>
    </row>
    <row r="273" spans="1:7" x14ac:dyDescent="0.25">
      <c r="A273" s="49">
        <f>'A) Base RI'!A268</f>
        <v>5860</v>
      </c>
      <c r="B273" s="284" t="str">
        <f>'A) Base RI'!B268</f>
        <v>Perroy</v>
      </c>
      <c r="C273" s="10">
        <f>'A) Base RI'!V268</f>
        <v>1514</v>
      </c>
      <c r="D273" s="423">
        <f>'C) Prél. conj.'!H267</f>
        <v>512248.72000000003</v>
      </c>
      <c r="E273" s="10">
        <f>'D) Ecrêtage'!M267</f>
        <v>892999.20434211683</v>
      </c>
      <c r="F273" s="423">
        <f>$F$11*'D) Ecrêtage'!C267</f>
        <v>1515315.1725723098</v>
      </c>
      <c r="G273" s="55">
        <f t="shared" si="4"/>
        <v>2920563.0969144264</v>
      </c>
    </row>
    <row r="274" spans="1:7" x14ac:dyDescent="0.25">
      <c r="A274" s="49">
        <f>'A) Base RI'!A269</f>
        <v>5861</v>
      </c>
      <c r="B274" s="284" t="str">
        <f>'A) Base RI'!B269</f>
        <v>Rolle</v>
      </c>
      <c r="C274" s="10">
        <f>'A) Base RI'!V269</f>
        <v>6291</v>
      </c>
      <c r="D274" s="423">
        <f>'C) Prél. conj.'!H268</f>
        <v>1812803.0649999999</v>
      </c>
      <c r="E274" s="10">
        <f>'D) Ecrêtage'!M268</f>
        <v>6849077.0230577616</v>
      </c>
      <c r="F274" s="423">
        <f>$F$11*'D) Ecrêtage'!C268</f>
        <v>7782916.7087725298</v>
      </c>
      <c r="G274" s="55">
        <f t="shared" si="4"/>
        <v>16444796.796830293</v>
      </c>
    </row>
    <row r="275" spans="1:7" x14ac:dyDescent="0.25">
      <c r="A275" s="49">
        <f>'A) Base RI'!A270</f>
        <v>5862</v>
      </c>
      <c r="B275" s="284" t="str">
        <f>'A) Base RI'!B270</f>
        <v>Tartegnin</v>
      </c>
      <c r="C275" s="10">
        <f>'A) Base RI'!V270</f>
        <v>241</v>
      </c>
      <c r="D275" s="423">
        <f>'C) Prél. conj.'!H269</f>
        <v>18035.195</v>
      </c>
      <c r="E275" s="10">
        <f>'D) Ecrêtage'!M269</f>
        <v>0</v>
      </c>
      <c r="F275" s="423">
        <f>$F$11*'D) Ecrêtage'!C269</f>
        <v>96242.62362967759</v>
      </c>
      <c r="G275" s="55">
        <f t="shared" si="4"/>
        <v>114277.81862967758</v>
      </c>
    </row>
    <row r="276" spans="1:7" x14ac:dyDescent="0.25">
      <c r="A276" s="49">
        <f>'A) Base RI'!A271</f>
        <v>5863</v>
      </c>
      <c r="B276" s="284" t="str">
        <f>'A) Base RI'!B271</f>
        <v>Vinzel</v>
      </c>
      <c r="C276" s="10">
        <f>'A) Base RI'!V271</f>
        <v>369</v>
      </c>
      <c r="D276" s="423">
        <f>'C) Prél. conj.'!H270</f>
        <v>104646.435</v>
      </c>
      <c r="E276" s="10">
        <f>'D) Ecrêtage'!M270</f>
        <v>47824.268884681835</v>
      </c>
      <c r="F276" s="423">
        <f>$F$11*'D) Ecrêtage'!C270</f>
        <v>261298.76000483002</v>
      </c>
      <c r="G276" s="55">
        <f t="shared" si="4"/>
        <v>413769.46388951188</v>
      </c>
    </row>
    <row r="277" spans="1:7" x14ac:dyDescent="0.25">
      <c r="A277" s="49">
        <f>'A) Base RI'!A272</f>
        <v>5871</v>
      </c>
      <c r="B277" s="284" t="str">
        <f>'A) Base RI'!B272</f>
        <v>L'Abbaye</v>
      </c>
      <c r="C277" s="10">
        <f>'A) Base RI'!V272</f>
        <v>1521</v>
      </c>
      <c r="D277" s="423">
        <f>'C) Prél. conj.'!H271</f>
        <v>485972.72499999998</v>
      </c>
      <c r="E277" s="10">
        <f>'D) Ecrêtage'!M271</f>
        <v>0</v>
      </c>
      <c r="F277" s="423">
        <f>$F$11*'D) Ecrêtage'!C271</f>
        <v>635893.98008356022</v>
      </c>
      <c r="G277" s="55">
        <f t="shared" si="4"/>
        <v>1121866.7050835602</v>
      </c>
    </row>
    <row r="278" spans="1:7" x14ac:dyDescent="0.25">
      <c r="A278" s="49">
        <f>'A) Base RI'!A273</f>
        <v>5872</v>
      </c>
      <c r="B278" s="284" t="str">
        <f>'A) Base RI'!B273</f>
        <v>Le Chenit</v>
      </c>
      <c r="C278" s="10">
        <f>'A) Base RI'!V273</f>
        <v>4569</v>
      </c>
      <c r="D278" s="423">
        <f>'C) Prél. conj.'!H272</f>
        <v>2863982.8899999997</v>
      </c>
      <c r="E278" s="10">
        <f>'D) Ecrêtage'!M272</f>
        <v>0</v>
      </c>
      <c r="F278" s="423">
        <f>$F$11*'D) Ecrêtage'!C272</f>
        <v>2428885.1730786245</v>
      </c>
      <c r="G278" s="55">
        <f t="shared" si="4"/>
        <v>5292868.0630786242</v>
      </c>
    </row>
    <row r="279" spans="1:7" x14ac:dyDescent="0.25">
      <c r="A279" s="49">
        <f>'A) Base RI'!A274</f>
        <v>5873</v>
      </c>
      <c r="B279" s="284" t="str">
        <f>'A) Base RI'!B274</f>
        <v>Le Lieu</v>
      </c>
      <c r="C279" s="10">
        <f>'A) Base RI'!V274</f>
        <v>881</v>
      </c>
      <c r="D279" s="423">
        <f>'C) Prél. conj.'!H273</f>
        <v>372933.495</v>
      </c>
      <c r="E279" s="10">
        <f>'D) Ecrêtage'!M273</f>
        <v>0</v>
      </c>
      <c r="F279" s="423">
        <f>$F$11*'D) Ecrêtage'!C273</f>
        <v>383885.49986900674</v>
      </c>
      <c r="G279" s="55">
        <f t="shared" si="4"/>
        <v>756818.9948690068</v>
      </c>
    </row>
    <row r="280" spans="1:7" x14ac:dyDescent="0.25">
      <c r="A280" s="49">
        <f>'A) Base RI'!A275</f>
        <v>5881</v>
      </c>
      <c r="B280" s="284" t="str">
        <f>'A) Base RI'!B275</f>
        <v>Blonay</v>
      </c>
      <c r="C280" s="10">
        <f>'A) Base RI'!V275</f>
        <v>6291</v>
      </c>
      <c r="D280" s="423">
        <f>'C) Prél. conj.'!H274</f>
        <v>2437315.2349999999</v>
      </c>
      <c r="E280" s="10">
        <f>'D) Ecrêtage'!M274</f>
        <v>959673.58681151608</v>
      </c>
      <c r="F280" s="423">
        <f>$F$11*'D) Ecrêtage'!C274</f>
        <v>4529792.9338798644</v>
      </c>
      <c r="G280" s="55">
        <f t="shared" si="4"/>
        <v>7926781.7556913812</v>
      </c>
    </row>
    <row r="281" spans="1:7" x14ac:dyDescent="0.25">
      <c r="A281" s="49">
        <f>'A) Base RI'!A276</f>
        <v>5882</v>
      </c>
      <c r="B281" s="284" t="str">
        <f>'A) Base RI'!B276</f>
        <v>Chardonne</v>
      </c>
      <c r="C281" s="10">
        <f>'A) Base RI'!V276</f>
        <v>3078</v>
      </c>
      <c r="D281" s="423">
        <f>'C) Prél. conj.'!H275</f>
        <v>734217.58499999996</v>
      </c>
      <c r="E281" s="10">
        <f>'D) Ecrêtage'!M275</f>
        <v>572877.07656507439</v>
      </c>
      <c r="F281" s="423">
        <f>$F$11*'D) Ecrêtage'!C275</f>
        <v>2280124.4315920901</v>
      </c>
      <c r="G281" s="55">
        <f t="shared" si="4"/>
        <v>3587219.0931571643</v>
      </c>
    </row>
    <row r="282" spans="1:7" x14ac:dyDescent="0.25">
      <c r="A282" s="49">
        <f>'A) Base RI'!A277</f>
        <v>5883</v>
      </c>
      <c r="B282" s="284" t="str">
        <f>'A) Base RI'!B277</f>
        <v>Corseaux</v>
      </c>
      <c r="C282" s="10">
        <f>'A) Base RI'!V277</f>
        <v>2330</v>
      </c>
      <c r="D282" s="423">
        <f>'C) Prél. conj.'!H276</f>
        <v>1552478.375</v>
      </c>
      <c r="E282" s="10">
        <f>'D) Ecrêtage'!M276</f>
        <v>1636772.2255577238</v>
      </c>
      <c r="F282" s="423">
        <f>$F$11*'D) Ecrêtage'!C276</f>
        <v>2355081.2227845276</v>
      </c>
      <c r="G282" s="55">
        <f t="shared" si="4"/>
        <v>5544331.8233422516</v>
      </c>
    </row>
    <row r="283" spans="1:7" x14ac:dyDescent="0.25">
      <c r="A283" s="49">
        <f>'A) Base RI'!A278</f>
        <v>5884</v>
      </c>
      <c r="B283" s="284" t="str">
        <f>'A) Base RI'!B278</f>
        <v>Corsier-sur-Vevey</v>
      </c>
      <c r="C283" s="10">
        <f>'A) Base RI'!V278</f>
        <v>3390</v>
      </c>
      <c r="D283" s="423">
        <f>'C) Prél. conj.'!H277</f>
        <v>557221.98499999999</v>
      </c>
      <c r="E283" s="10">
        <f>'D) Ecrêtage'!M277</f>
        <v>0</v>
      </c>
      <c r="F283" s="423">
        <f>$F$11*'D) Ecrêtage'!C277</f>
        <v>1816015.3686488003</v>
      </c>
      <c r="G283" s="55">
        <f t="shared" si="4"/>
        <v>2373237.3536488004</v>
      </c>
    </row>
    <row r="284" spans="1:7" x14ac:dyDescent="0.25">
      <c r="A284" s="49">
        <f>'A) Base RI'!A279</f>
        <v>5885</v>
      </c>
      <c r="B284" s="284" t="str">
        <f>'A) Base RI'!B279</f>
        <v>Jongny</v>
      </c>
      <c r="C284" s="10">
        <f>'A) Base RI'!V279</f>
        <v>1805</v>
      </c>
      <c r="D284" s="423">
        <f>'C) Prél. conj.'!H278</f>
        <v>581298.58000000007</v>
      </c>
      <c r="E284" s="10">
        <f>'D) Ecrêtage'!M278</f>
        <v>135340.02441192925</v>
      </c>
      <c r="F284" s="423">
        <f>$F$11*'D) Ecrêtage'!C278</f>
        <v>1183996.0806845867</v>
      </c>
      <c r="G284" s="55">
        <f t="shared" si="4"/>
        <v>1900634.685096516</v>
      </c>
    </row>
    <row r="285" spans="1:7" x14ac:dyDescent="0.25">
      <c r="A285" s="49">
        <f>'A) Base RI'!A280</f>
        <v>5886</v>
      </c>
      <c r="B285" s="284" t="str">
        <f>'A) Base RI'!B280</f>
        <v>Montreux</v>
      </c>
      <c r="C285" s="10">
        <f>'A) Base RI'!V280</f>
        <v>26012</v>
      </c>
      <c r="D285" s="423">
        <f>'C) Prél. conj.'!H279</f>
        <v>15532852.059999999</v>
      </c>
      <c r="E285" s="10">
        <f>'D) Ecrêtage'!M279</f>
        <v>0</v>
      </c>
      <c r="F285" s="423">
        <f>$F$11*'D) Ecrêtage'!C279</f>
        <v>14921224.012836892</v>
      </c>
      <c r="G285" s="55">
        <f t="shared" si="4"/>
        <v>30454076.072836891</v>
      </c>
    </row>
    <row r="286" spans="1:7" x14ac:dyDescent="0.25">
      <c r="A286" s="49">
        <f>'A) Base RI'!A281</f>
        <v>5888</v>
      </c>
      <c r="B286" s="284" t="str">
        <f>'A) Base RI'!B281</f>
        <v>Saint-Légier-La Chiésaz</v>
      </c>
      <c r="C286" s="10">
        <f>'A) Base RI'!V281</f>
        <v>5634</v>
      </c>
      <c r="D286" s="423">
        <f>'C) Prél. conj.'!H280</f>
        <v>1394565.2749999999</v>
      </c>
      <c r="E286" s="10">
        <f>'D) Ecrêtage'!M280</f>
        <v>888273.14648499049</v>
      </c>
      <c r="F286" s="423">
        <f>$F$11*'D) Ecrêtage'!C280</f>
        <v>4073830.9339444512</v>
      </c>
      <c r="G286" s="55">
        <f t="shared" si="4"/>
        <v>6356669.3554294417</v>
      </c>
    </row>
    <row r="287" spans="1:7" x14ac:dyDescent="0.25">
      <c r="A287" s="49">
        <f>'A) Base RI'!A282</f>
        <v>5889</v>
      </c>
      <c r="B287" s="284" t="str">
        <f>'A) Base RI'!B282</f>
        <v>La Tour-de-Peilz</v>
      </c>
      <c r="C287" s="10">
        <f>'A) Base RI'!V282</f>
        <v>12222</v>
      </c>
      <c r="D287" s="423">
        <f>'C) Prél. conj.'!H281</f>
        <v>1988211.64</v>
      </c>
      <c r="E287" s="10">
        <f>'D) Ecrêtage'!M281</f>
        <v>2106462.424553826</v>
      </c>
      <c r="F287" s="423">
        <f>$F$11*'D) Ecrêtage'!C281</f>
        <v>9031920.8924800847</v>
      </c>
      <c r="G287" s="55">
        <f t="shared" si="4"/>
        <v>13126594.957033912</v>
      </c>
    </row>
    <row r="288" spans="1:7" x14ac:dyDescent="0.25">
      <c r="A288" s="49">
        <f>'A) Base RI'!A283</f>
        <v>5890</v>
      </c>
      <c r="B288" s="284" t="str">
        <f>'A) Base RI'!B283</f>
        <v>Vevey</v>
      </c>
      <c r="C288" s="10">
        <f>'A) Base RI'!V283</f>
        <v>19721</v>
      </c>
      <c r="D288" s="423">
        <f>'C) Prél. conj.'!H282</f>
        <v>3344709.7549999999</v>
      </c>
      <c r="E288" s="10">
        <f>'D) Ecrêtage'!M282</f>
        <v>231218.99767352123</v>
      </c>
      <c r="F288" s="423">
        <f>$F$11*'D) Ecrêtage'!C282</f>
        <v>11827854.497648869</v>
      </c>
      <c r="G288" s="55">
        <f t="shared" si="4"/>
        <v>15403783.250322388</v>
      </c>
    </row>
    <row r="289" spans="1:7" x14ac:dyDescent="0.25">
      <c r="A289" s="49">
        <f>'A) Base RI'!A284</f>
        <v>5891</v>
      </c>
      <c r="B289" s="284" t="str">
        <f>'A) Base RI'!B284</f>
        <v>Veytaux</v>
      </c>
      <c r="C289" s="10">
        <f>'A) Base RI'!V284</f>
        <v>952</v>
      </c>
      <c r="D289" s="423">
        <f>'C) Prél. conj.'!H283</f>
        <v>130905.74</v>
      </c>
      <c r="E289" s="10">
        <f>'D) Ecrêtage'!M283</f>
        <v>0</v>
      </c>
      <c r="F289" s="423">
        <f>$F$11*'D) Ecrêtage'!C283</f>
        <v>477166.84121840482</v>
      </c>
      <c r="G289" s="55">
        <f t="shared" si="4"/>
        <v>608072.58121840481</v>
      </c>
    </row>
    <row r="290" spans="1:7" x14ac:dyDescent="0.25">
      <c r="A290" s="49">
        <f>'A) Base RI'!A285</f>
        <v>5902</v>
      </c>
      <c r="B290" s="284" t="str">
        <f>'A) Base RI'!B285</f>
        <v>Belmont-sur-Yverdon</v>
      </c>
      <c r="C290" s="10">
        <f>'A) Base RI'!V285</f>
        <v>415</v>
      </c>
      <c r="D290" s="423">
        <f>'C) Prél. conj.'!H284</f>
        <v>31388.274999999998</v>
      </c>
      <c r="E290" s="10">
        <f>'D) Ecrêtage'!M284</f>
        <v>0</v>
      </c>
      <c r="F290" s="423">
        <f>$F$11*'D) Ecrêtage'!C284</f>
        <v>147688.89565847832</v>
      </c>
      <c r="G290" s="55">
        <f t="shared" si="4"/>
        <v>179077.17065847831</v>
      </c>
    </row>
    <row r="291" spans="1:7" x14ac:dyDescent="0.25">
      <c r="A291" s="49">
        <f>'A) Base RI'!A286</f>
        <v>5903</v>
      </c>
      <c r="B291" s="284" t="str">
        <f>'A) Base RI'!B286</f>
        <v>Bioley-Magnoux</v>
      </c>
      <c r="C291" s="10">
        <f>'A) Base RI'!V286</f>
        <v>234</v>
      </c>
      <c r="D291" s="423">
        <f>'C) Prél. conj.'!H285</f>
        <v>10760.355</v>
      </c>
      <c r="E291" s="10">
        <f>'D) Ecrêtage'!M285</f>
        <v>0</v>
      </c>
      <c r="F291" s="423">
        <f>$F$11*'D) Ecrêtage'!C285</f>
        <v>73900.84900537692</v>
      </c>
      <c r="G291" s="55">
        <f t="shared" si="4"/>
        <v>84661.204005376916</v>
      </c>
    </row>
    <row r="292" spans="1:7" x14ac:dyDescent="0.25">
      <c r="A292" s="49">
        <f>'A) Base RI'!A287</f>
        <v>5904</v>
      </c>
      <c r="B292" s="284" t="str">
        <f>'A) Base RI'!B287</f>
        <v>Chamblon</v>
      </c>
      <c r="C292" s="10">
        <f>'A) Base RI'!V287</f>
        <v>561</v>
      </c>
      <c r="D292" s="423">
        <f>'C) Prél. conj.'!H286</f>
        <v>33055.434999999998</v>
      </c>
      <c r="E292" s="10">
        <f>'D) Ecrêtage'!M286</f>
        <v>0</v>
      </c>
      <c r="F292" s="423">
        <f>$F$11*'D) Ecrêtage'!C286</f>
        <v>270495.95581881504</v>
      </c>
      <c r="G292" s="55">
        <f t="shared" si="4"/>
        <v>303551.39081881504</v>
      </c>
    </row>
    <row r="293" spans="1:7" x14ac:dyDescent="0.25">
      <c r="A293" s="49">
        <f>'A) Base RI'!A288</f>
        <v>5905</v>
      </c>
      <c r="B293" s="284" t="str">
        <f>'A) Base RI'!B288</f>
        <v>Champvent</v>
      </c>
      <c r="C293" s="10">
        <f>'A) Base RI'!V288</f>
        <v>712</v>
      </c>
      <c r="D293" s="423">
        <f>'C) Prél. conj.'!H287</f>
        <v>174756.07499999998</v>
      </c>
      <c r="E293" s="10">
        <f>'D) Ecrêtage'!M287</f>
        <v>0</v>
      </c>
      <c r="F293" s="423">
        <f>$F$11*'D) Ecrêtage'!C287</f>
        <v>284156.25925263268</v>
      </c>
      <c r="G293" s="55">
        <f t="shared" si="4"/>
        <v>458912.33425263269</v>
      </c>
    </row>
    <row r="294" spans="1:7" x14ac:dyDescent="0.25">
      <c r="A294" s="49">
        <f>'A) Base RI'!A289</f>
        <v>5907</v>
      </c>
      <c r="B294" s="284" t="str">
        <f>'A) Base RI'!B289</f>
        <v>Chavannes-le-Chêne</v>
      </c>
      <c r="C294" s="10">
        <f>'A) Base RI'!V289</f>
        <v>325</v>
      </c>
      <c r="D294" s="423">
        <f>'C) Prél. conj.'!H288</f>
        <v>12711.205</v>
      </c>
      <c r="E294" s="10">
        <f>'D) Ecrêtage'!M288</f>
        <v>0</v>
      </c>
      <c r="F294" s="423">
        <f>$F$11*'D) Ecrêtage'!C288</f>
        <v>95356.250654254603</v>
      </c>
      <c r="G294" s="55">
        <f t="shared" si="4"/>
        <v>108067.45565425461</v>
      </c>
    </row>
    <row r="295" spans="1:7" x14ac:dyDescent="0.25">
      <c r="A295" s="49">
        <f>'A) Base RI'!A290</f>
        <v>5908</v>
      </c>
      <c r="B295" s="284" t="str">
        <f>'A) Base RI'!B290</f>
        <v>Chêne-Pâquier</v>
      </c>
      <c r="C295" s="10">
        <f>'A) Base RI'!V290</f>
        <v>153</v>
      </c>
      <c r="D295" s="423">
        <f>'C) Prél. conj.'!H289</f>
        <v>7434.085</v>
      </c>
      <c r="E295" s="10">
        <f>'D) Ecrêtage'!M289</f>
        <v>0</v>
      </c>
      <c r="F295" s="423">
        <f>$F$11*'D) Ecrêtage'!C289</f>
        <v>53833.735840012763</v>
      </c>
      <c r="G295" s="55">
        <f t="shared" si="4"/>
        <v>61267.820840012762</v>
      </c>
    </row>
    <row r="296" spans="1:7" x14ac:dyDescent="0.25">
      <c r="A296" s="49">
        <f>'A) Base RI'!A291</f>
        <v>5909</v>
      </c>
      <c r="B296" s="284" t="str">
        <f>'A) Base RI'!B291</f>
        <v>Cheseaux-Noréaz</v>
      </c>
      <c r="C296" s="10">
        <f>'A) Base RI'!V291</f>
        <v>728</v>
      </c>
      <c r="D296" s="423">
        <f>'C) Prél. conj.'!H290</f>
        <v>134913.19</v>
      </c>
      <c r="E296" s="10">
        <f>'D) Ecrêtage'!M290</f>
        <v>22406.758948640625</v>
      </c>
      <c r="F296" s="423">
        <f>$F$11*'D) Ecrêtage'!C290</f>
        <v>450032.37366640533</v>
      </c>
      <c r="G296" s="55">
        <f t="shared" si="4"/>
        <v>607352.32261504605</v>
      </c>
    </row>
    <row r="297" spans="1:7" x14ac:dyDescent="0.25">
      <c r="A297" s="49">
        <f>'A) Base RI'!A292</f>
        <v>5910</v>
      </c>
      <c r="B297" s="284" t="str">
        <f>'A) Base RI'!B292</f>
        <v>Cronay</v>
      </c>
      <c r="C297" s="10">
        <f>'A) Base RI'!V292</f>
        <v>403</v>
      </c>
      <c r="D297" s="423">
        <f>'C) Prél. conj.'!H291</f>
        <v>28881.25</v>
      </c>
      <c r="E297" s="10">
        <f>'D) Ecrêtage'!M291</f>
        <v>0</v>
      </c>
      <c r="F297" s="423">
        <f>$F$11*'D) Ecrêtage'!C291</f>
        <v>129287.66659135984</v>
      </c>
      <c r="G297" s="55">
        <f t="shared" si="4"/>
        <v>158168.91659135983</v>
      </c>
    </row>
    <row r="298" spans="1:7" x14ac:dyDescent="0.25">
      <c r="A298" s="49">
        <f>'A) Base RI'!A293</f>
        <v>5911</v>
      </c>
      <c r="B298" s="284" t="str">
        <f>'A) Base RI'!B293</f>
        <v>Cuarny</v>
      </c>
      <c r="C298" s="10">
        <f>'A) Base RI'!V293</f>
        <v>245</v>
      </c>
      <c r="D298" s="423">
        <f>'C) Prél. conj.'!H292</f>
        <v>24250.785</v>
      </c>
      <c r="E298" s="10">
        <f>'D) Ecrêtage'!M292</f>
        <v>0</v>
      </c>
      <c r="F298" s="423">
        <f>$F$11*'D) Ecrêtage'!C292</f>
        <v>91521.886834247925</v>
      </c>
      <c r="G298" s="55">
        <f t="shared" si="4"/>
        <v>115772.67183424793</v>
      </c>
    </row>
    <row r="299" spans="1:7" x14ac:dyDescent="0.25">
      <c r="A299" s="49">
        <f>'A) Base RI'!A294</f>
        <v>5912</v>
      </c>
      <c r="B299" s="284" t="str">
        <f>'A) Base RI'!B294</f>
        <v>Démoret</v>
      </c>
      <c r="C299" s="10">
        <f>'A) Base RI'!V294</f>
        <v>164</v>
      </c>
      <c r="D299" s="423">
        <f>'C) Prél. conj.'!H293</f>
        <v>16859.174999999999</v>
      </c>
      <c r="E299" s="10">
        <f>'D) Ecrêtage'!M293</f>
        <v>0</v>
      </c>
      <c r="F299" s="423">
        <f>$F$11*'D) Ecrêtage'!C293</f>
        <v>57598.506913055055</v>
      </c>
      <c r="G299" s="55">
        <f t="shared" si="4"/>
        <v>74457.681913055058</v>
      </c>
    </row>
    <row r="300" spans="1:7" x14ac:dyDescent="0.25">
      <c r="A300" s="49">
        <f>'A) Base RI'!A295</f>
        <v>5913</v>
      </c>
      <c r="B300" s="284" t="str">
        <f>'A) Base RI'!B295</f>
        <v>Donneloye</v>
      </c>
      <c r="C300" s="10">
        <f>'A) Base RI'!V295</f>
        <v>891</v>
      </c>
      <c r="D300" s="423">
        <f>'C) Prél. conj.'!H294</f>
        <v>80409.085000000006</v>
      </c>
      <c r="E300" s="10">
        <f>'D) Ecrêtage'!M294</f>
        <v>0</v>
      </c>
      <c r="F300" s="423">
        <f>$F$11*'D) Ecrêtage'!C294</f>
        <v>291414.21227576118</v>
      </c>
      <c r="G300" s="55">
        <f t="shared" si="4"/>
        <v>371823.2972757612</v>
      </c>
    </row>
    <row r="301" spans="1:7" x14ac:dyDescent="0.25">
      <c r="A301" s="49">
        <f>'A) Base RI'!A296</f>
        <v>5914</v>
      </c>
      <c r="B301" s="284" t="str">
        <f>'A) Base RI'!B296</f>
        <v>Ependes</v>
      </c>
      <c r="C301" s="10">
        <f>'A) Base RI'!V296</f>
        <v>381</v>
      </c>
      <c r="D301" s="423">
        <f>'C) Prél. conj.'!H295</f>
        <v>63985.214999999997</v>
      </c>
      <c r="E301" s="10">
        <f>'D) Ecrêtage'!M295</f>
        <v>0</v>
      </c>
      <c r="F301" s="423">
        <f>$F$11*'D) Ecrêtage'!C295</f>
        <v>119885.37337965819</v>
      </c>
      <c r="G301" s="55">
        <f t="shared" si="4"/>
        <v>183870.58837965818</v>
      </c>
    </row>
    <row r="302" spans="1:7" x14ac:dyDescent="0.25">
      <c r="A302" s="49">
        <f>'A) Base RI'!A297</f>
        <v>5919</v>
      </c>
      <c r="B302" s="284" t="str">
        <f>'A) Base RI'!B297</f>
        <v>Mathod</v>
      </c>
      <c r="C302" s="10">
        <f>'A) Base RI'!V297</f>
        <v>655</v>
      </c>
      <c r="D302" s="423">
        <f>'C) Prél. conj.'!H296</f>
        <v>47788.514999999999</v>
      </c>
      <c r="E302" s="10">
        <f>'D) Ecrêtage'!M296</f>
        <v>0</v>
      </c>
      <c r="F302" s="423">
        <f>$F$11*'D) Ecrêtage'!C296</f>
        <v>227889.66812221281</v>
      </c>
      <c r="G302" s="55">
        <f t="shared" si="4"/>
        <v>275678.18312221282</v>
      </c>
    </row>
    <row r="303" spans="1:7" x14ac:dyDescent="0.25">
      <c r="A303" s="49">
        <f>'A) Base RI'!A298</f>
        <v>5921</v>
      </c>
      <c r="B303" s="284" t="str">
        <f>'A) Base RI'!B298</f>
        <v>Molondin</v>
      </c>
      <c r="C303" s="10">
        <f>'A) Base RI'!V298</f>
        <v>239</v>
      </c>
      <c r="D303" s="423">
        <f>'C) Prél. conj.'!H297</f>
        <v>4549.92</v>
      </c>
      <c r="E303" s="10">
        <f>'D) Ecrêtage'!M297</f>
        <v>0</v>
      </c>
      <c r="F303" s="423">
        <f>$F$11*'D) Ecrêtage'!C297</f>
        <v>71654.225911582689</v>
      </c>
      <c r="G303" s="55">
        <f t="shared" si="4"/>
        <v>76204.145911582687</v>
      </c>
    </row>
    <row r="304" spans="1:7" x14ac:dyDescent="0.25">
      <c r="A304" s="49">
        <f>'A) Base RI'!A299</f>
        <v>5922</v>
      </c>
      <c r="B304" s="284" t="str">
        <f>'A) Base RI'!B299</f>
        <v>Montagny-près-Yverdon</v>
      </c>
      <c r="C304" s="10">
        <f>'A) Base RI'!V299</f>
        <v>775</v>
      </c>
      <c r="D304" s="423">
        <f>'C) Prél. conj.'!H298</f>
        <v>276288.565</v>
      </c>
      <c r="E304" s="10">
        <f>'D) Ecrêtage'!M298</f>
        <v>27262.400881933256</v>
      </c>
      <c r="F304" s="423">
        <f>$F$11*'D) Ecrêtage'!C298</f>
        <v>483151.3028670862</v>
      </c>
      <c r="G304" s="55">
        <f t="shared" si="4"/>
        <v>786702.26874901948</v>
      </c>
    </row>
    <row r="305" spans="1:7" x14ac:dyDescent="0.25">
      <c r="A305" s="49">
        <f>'A) Base RI'!A300</f>
        <v>5923</v>
      </c>
      <c r="B305" s="284" t="str">
        <f>'A) Base RI'!B300</f>
        <v>Oppens</v>
      </c>
      <c r="C305" s="10">
        <f>'A) Base RI'!V300</f>
        <v>201</v>
      </c>
      <c r="D305" s="423">
        <f>'C) Prél. conj.'!H299</f>
        <v>34730.39</v>
      </c>
      <c r="E305" s="10">
        <f>'D) Ecrêtage'!M299</f>
        <v>0</v>
      </c>
      <c r="F305" s="423">
        <f>$F$11*'D) Ecrêtage'!C299</f>
        <v>62139.018135966682</v>
      </c>
      <c r="G305" s="55">
        <f t="shared" si="4"/>
        <v>96869.408135966689</v>
      </c>
    </row>
    <row r="306" spans="1:7" x14ac:dyDescent="0.25">
      <c r="A306" s="49">
        <f>'A) Base RI'!A301</f>
        <v>5924</v>
      </c>
      <c r="B306" s="284" t="str">
        <f>'A) Base RI'!B301</f>
        <v>Orges</v>
      </c>
      <c r="C306" s="10">
        <f>'A) Base RI'!V301</f>
        <v>367</v>
      </c>
      <c r="D306" s="423">
        <f>'C) Prél. conj.'!H300</f>
        <v>46697.440000000002</v>
      </c>
      <c r="E306" s="10">
        <f>'D) Ecrêtage'!M300</f>
        <v>0</v>
      </c>
      <c r="F306" s="423">
        <f>$F$11*'D) Ecrêtage'!C300</f>
        <v>159897.8053155634</v>
      </c>
      <c r="G306" s="55">
        <f t="shared" si="4"/>
        <v>206595.2453155634</v>
      </c>
    </row>
    <row r="307" spans="1:7" x14ac:dyDescent="0.25">
      <c r="A307" s="49">
        <f>'A) Base RI'!A302</f>
        <v>5925</v>
      </c>
      <c r="B307" s="284" t="str">
        <f>'A) Base RI'!B302</f>
        <v>Orzens</v>
      </c>
      <c r="C307" s="10">
        <f>'A) Base RI'!V302</f>
        <v>202</v>
      </c>
      <c r="D307" s="423">
        <f>'C) Prél. conj.'!H301</f>
        <v>68662.324999999997</v>
      </c>
      <c r="E307" s="10">
        <f>'D) Ecrêtage'!M301</f>
        <v>0</v>
      </c>
      <c r="F307" s="423">
        <f>$F$11*'D) Ecrêtage'!C301</f>
        <v>63794.700154210426</v>
      </c>
      <c r="G307" s="55">
        <f t="shared" si="4"/>
        <v>132457.02515421042</v>
      </c>
    </row>
    <row r="308" spans="1:7" x14ac:dyDescent="0.25">
      <c r="A308" s="49">
        <f>'A) Base RI'!A303</f>
        <v>5926</v>
      </c>
      <c r="B308" s="284" t="str">
        <f>'A) Base RI'!B303</f>
        <v>Pomy</v>
      </c>
      <c r="C308" s="10">
        <f>'A) Base RI'!V303</f>
        <v>838</v>
      </c>
      <c r="D308" s="423">
        <f>'C) Prél. conj.'!H302</f>
        <v>106457.55499999999</v>
      </c>
      <c r="E308" s="10">
        <f>'D) Ecrêtage'!M302</f>
        <v>0</v>
      </c>
      <c r="F308" s="423">
        <f>$F$11*'D) Ecrêtage'!C302</f>
        <v>339977.89422087686</v>
      </c>
      <c r="G308" s="55">
        <f t="shared" si="4"/>
        <v>446435.44922087685</v>
      </c>
    </row>
    <row r="309" spans="1:7" x14ac:dyDescent="0.25">
      <c r="A309" s="49">
        <f>'A) Base RI'!A304</f>
        <v>5928</v>
      </c>
      <c r="B309" s="284" t="str">
        <f>'A) Base RI'!B304</f>
        <v>Rovray</v>
      </c>
      <c r="C309" s="10">
        <f>'A) Base RI'!V304</f>
        <v>206</v>
      </c>
      <c r="D309" s="423">
        <f>'C) Prél. conj.'!H303</f>
        <v>13014.73</v>
      </c>
      <c r="E309" s="10">
        <f>'D) Ecrêtage'!M303</f>
        <v>0</v>
      </c>
      <c r="F309" s="423">
        <f>$F$11*'D) Ecrêtage'!C303</f>
        <v>66586.153575650154</v>
      </c>
      <c r="G309" s="55">
        <f t="shared" si="4"/>
        <v>79600.88357565015</v>
      </c>
    </row>
    <row r="310" spans="1:7" x14ac:dyDescent="0.25">
      <c r="A310" s="49">
        <f>'A) Base RI'!A305</f>
        <v>5929</v>
      </c>
      <c r="B310" s="284" t="str">
        <f>'A) Base RI'!B305</f>
        <v>Suchy</v>
      </c>
      <c r="C310" s="10">
        <f>'A) Base RI'!V305</f>
        <v>656</v>
      </c>
      <c r="D310" s="423">
        <f>'C) Prél. conj.'!H304</f>
        <v>73535.040000000008</v>
      </c>
      <c r="E310" s="10">
        <f>'D) Ecrêtage'!M304</f>
        <v>0</v>
      </c>
      <c r="F310" s="423">
        <f>$F$11*'D) Ecrêtage'!C304</f>
        <v>247185.73426411187</v>
      </c>
      <c r="G310" s="55">
        <f t="shared" si="4"/>
        <v>320720.77426411188</v>
      </c>
    </row>
    <row r="311" spans="1:7" x14ac:dyDescent="0.25">
      <c r="A311" s="49">
        <f>'A) Base RI'!A306</f>
        <v>5930</v>
      </c>
      <c r="B311" s="284" t="str">
        <f>'A) Base RI'!B306</f>
        <v>Suscévaz</v>
      </c>
      <c r="C311" s="10">
        <f>'A) Base RI'!V306</f>
        <v>215</v>
      </c>
      <c r="D311" s="423">
        <f>'C) Prél. conj.'!H305</f>
        <v>39920.9</v>
      </c>
      <c r="E311" s="10">
        <f>'D) Ecrêtage'!M305</f>
        <v>0</v>
      </c>
      <c r="F311" s="423">
        <f>$F$11*'D) Ecrêtage'!C305</f>
        <v>81250.619269916788</v>
      </c>
      <c r="G311" s="55">
        <f t="shared" si="4"/>
        <v>121171.51926991678</v>
      </c>
    </row>
    <row r="312" spans="1:7" x14ac:dyDescent="0.25">
      <c r="A312" s="49">
        <f>'A) Base RI'!A307</f>
        <v>5931</v>
      </c>
      <c r="B312" s="284" t="str">
        <f>'A) Base RI'!B307</f>
        <v>Treycovagnes</v>
      </c>
      <c r="C312" s="10">
        <f>'A) Base RI'!V307</f>
        <v>490</v>
      </c>
      <c r="D312" s="423">
        <f>'C) Prél. conj.'!H306</f>
        <v>81251.62000000001</v>
      </c>
      <c r="E312" s="10">
        <f>'D) Ecrêtage'!M306</f>
        <v>0</v>
      </c>
      <c r="F312" s="423">
        <f>$F$11*'D) Ecrêtage'!C306</f>
        <v>186253.44715272362</v>
      </c>
      <c r="G312" s="55">
        <f t="shared" si="4"/>
        <v>267505.06715272361</v>
      </c>
    </row>
    <row r="313" spans="1:7" x14ac:dyDescent="0.25">
      <c r="A313" s="49">
        <f>'A) Base RI'!A308</f>
        <v>5932</v>
      </c>
      <c r="B313" s="284" t="str">
        <f>'A) Base RI'!B308</f>
        <v>Ursins</v>
      </c>
      <c r="C313" s="10">
        <f>'A) Base RI'!V308</f>
        <v>228</v>
      </c>
      <c r="D313" s="423">
        <f>'C) Prél. conj.'!H307</f>
        <v>4924.3500000000004</v>
      </c>
      <c r="E313" s="10">
        <f>'D) Ecrêtage'!M307</f>
        <v>0</v>
      </c>
      <c r="F313" s="423">
        <f>$F$11*'D) Ecrêtage'!C307</f>
        <v>93953.371915866141</v>
      </c>
      <c r="G313" s="55">
        <f t="shared" si="4"/>
        <v>98877.721915866146</v>
      </c>
    </row>
    <row r="314" spans="1:7" x14ac:dyDescent="0.25">
      <c r="A314" s="49">
        <f>'A) Base RI'!A309</f>
        <v>5933</v>
      </c>
      <c r="B314" s="284" t="str">
        <f>'A) Base RI'!B309</f>
        <v>Valeyres-sous-Montagny</v>
      </c>
      <c r="C314" s="10">
        <f>'A) Base RI'!V309</f>
        <v>697</v>
      </c>
      <c r="D314" s="423">
        <f>'C) Prél. conj.'!H308</f>
        <v>71457.494999999995</v>
      </c>
      <c r="E314" s="10">
        <f>'D) Ecrêtage'!M308</f>
        <v>0</v>
      </c>
      <c r="F314" s="423">
        <f>$F$11*'D) Ecrêtage'!C308</f>
        <v>239137.09598091032</v>
      </c>
      <c r="G314" s="55">
        <f t="shared" si="4"/>
        <v>310594.59098091035</v>
      </c>
    </row>
    <row r="315" spans="1:7" x14ac:dyDescent="0.25">
      <c r="A315" s="49">
        <f>'A) Base RI'!A310</f>
        <v>5934</v>
      </c>
      <c r="B315" s="284" t="str">
        <f>'A) Base RI'!B310</f>
        <v>Valeyres-sous-Ursins</v>
      </c>
      <c r="C315" s="10">
        <f>'A) Base RI'!V310</f>
        <v>247</v>
      </c>
      <c r="D315" s="423">
        <f>'C) Prél. conj.'!H309</f>
        <v>6024.6450000000004</v>
      </c>
      <c r="E315" s="10">
        <f>'D) Ecrêtage'!M309</f>
        <v>0</v>
      </c>
      <c r="F315" s="423">
        <f>$F$11*'D) Ecrêtage'!C309</f>
        <v>85598.292173481634</v>
      </c>
      <c r="G315" s="55">
        <f t="shared" si="4"/>
        <v>91622.937173481638</v>
      </c>
    </row>
    <row r="316" spans="1:7" x14ac:dyDescent="0.25">
      <c r="A316" s="49">
        <f>'A) Base RI'!A311</f>
        <v>5935</v>
      </c>
      <c r="B316" s="284" t="str">
        <f>'A) Base RI'!B311</f>
        <v>Villars-Epeney</v>
      </c>
      <c r="C316" s="10">
        <f>'A) Base RI'!V311</f>
        <v>95</v>
      </c>
      <c r="D316" s="423">
        <f>'C) Prél. conj.'!H310</f>
        <v>5060</v>
      </c>
      <c r="E316" s="10">
        <f>'D) Ecrêtage'!M310</f>
        <v>0</v>
      </c>
      <c r="F316" s="423">
        <f>$F$11*'D) Ecrêtage'!C310</f>
        <v>42056.242966755104</v>
      </c>
      <c r="G316" s="55">
        <f t="shared" si="4"/>
        <v>47116.242966755104</v>
      </c>
    </row>
    <row r="317" spans="1:7" x14ac:dyDescent="0.25">
      <c r="A317" s="49">
        <f>'A) Base RI'!A312</f>
        <v>5937</v>
      </c>
      <c r="B317" s="284" t="str">
        <f>'A) Base RI'!B312</f>
        <v>Vugelles-La Mothe</v>
      </c>
      <c r="C317" s="10">
        <f>'A) Base RI'!V312</f>
        <v>140</v>
      </c>
      <c r="D317" s="423">
        <f>'C) Prél. conj.'!H311</f>
        <v>5115</v>
      </c>
      <c r="E317" s="10">
        <f>'D) Ecrêtage'!M311</f>
        <v>0</v>
      </c>
      <c r="F317" s="423">
        <f>$F$11*'D) Ecrêtage'!C311</f>
        <v>42440.966080358419</v>
      </c>
      <c r="G317" s="55">
        <f t="shared" si="4"/>
        <v>47555.966080358419</v>
      </c>
    </row>
    <row r="318" spans="1:7" x14ac:dyDescent="0.25">
      <c r="A318" s="49">
        <f>'A) Base RI'!A313</f>
        <v>5938</v>
      </c>
      <c r="B318" s="284" t="str">
        <f>'A) Base RI'!B313</f>
        <v>Yverdon-les-Bains</v>
      </c>
      <c r="C318" s="10">
        <f>'A) Base RI'!V313</f>
        <v>29710</v>
      </c>
      <c r="D318" s="423">
        <f>'C) Prél. conj.'!H312</f>
        <v>4584273.9799999995</v>
      </c>
      <c r="E318" s="10">
        <f>'D) Ecrêtage'!M312</f>
        <v>0</v>
      </c>
      <c r="F318" s="423">
        <f>$F$11*'D) Ecrêtage'!C312</f>
        <v>9303105.7483308315</v>
      </c>
      <c r="G318" s="55">
        <f t="shared" si="4"/>
        <v>13887379.728330832</v>
      </c>
    </row>
    <row r="319" spans="1:7" x14ac:dyDescent="0.25">
      <c r="A319" s="49">
        <f>'A) Base RI'!A314</f>
        <v>5939</v>
      </c>
      <c r="B319" s="284" t="str">
        <f>'A) Base RI'!B314</f>
        <v>Yvonand</v>
      </c>
      <c r="C319" s="10">
        <f>'A) Base RI'!V314</f>
        <v>3512</v>
      </c>
      <c r="D319" s="423">
        <f>'C) Prél. conj.'!H313</f>
        <v>353543.815</v>
      </c>
      <c r="E319" s="10">
        <f>'D) Ecrêtage'!M313</f>
        <v>0</v>
      </c>
      <c r="F319" s="423">
        <f>$F$11*'D) Ecrêtage'!C313</f>
        <v>1284738.0539666861</v>
      </c>
      <c r="G319" s="55">
        <f t="shared" si="4"/>
        <v>1638281.8689666861</v>
      </c>
    </row>
    <row r="320" spans="1:7" x14ac:dyDescent="0.25">
      <c r="A320" s="30"/>
      <c r="B320" s="290">
        <f>COUNTA(B12:B319)</f>
        <v>308</v>
      </c>
      <c r="C320" s="11">
        <f>SUM(C12:C319)</f>
        <v>823879</v>
      </c>
      <c r="D320" s="291">
        <f>SUM(D12:D319)</f>
        <v>186233702.24500009</v>
      </c>
      <c r="E320" s="11">
        <f>SUM(E12:E319)</f>
        <v>122886087.59365194</v>
      </c>
      <c r="F320" s="291">
        <f>SUM(F12:F319)</f>
        <v>486222254.16134828</v>
      </c>
      <c r="G320" s="37">
        <f>SUM(G12:G319)</f>
        <v>795342043.99999952</v>
      </c>
    </row>
    <row r="321" spans="1:13" x14ac:dyDescent="0.25">
      <c r="C321" s="71"/>
      <c r="D321" s="71"/>
      <c r="E321" s="71"/>
      <c r="F321" s="71"/>
    </row>
    <row r="322" spans="1:13" x14ac:dyDescent="0.25">
      <c r="A322" s="72"/>
      <c r="B322" s="73"/>
      <c r="C322" s="73"/>
      <c r="D322" s="45"/>
      <c r="E322" s="74"/>
      <c r="F322" s="16"/>
      <c r="G322" s="16"/>
      <c r="H322" s="16"/>
      <c r="I322" s="16"/>
      <c r="J322" s="16"/>
      <c r="M322" s="16"/>
    </row>
    <row r="323" spans="1:13" x14ac:dyDescent="0.25">
      <c r="F323" s="72"/>
      <c r="G323" s="72"/>
      <c r="H323" s="72"/>
      <c r="I323" s="72"/>
      <c r="J323" s="72"/>
      <c r="K323" s="72"/>
      <c r="L323" s="73"/>
      <c r="M323" s="72"/>
    </row>
    <row r="324" spans="1:13" x14ac:dyDescent="0.25">
      <c r="F324" s="73"/>
      <c r="G324" s="72"/>
      <c r="H324" s="72"/>
      <c r="I324" s="72"/>
      <c r="J324" s="72"/>
      <c r="K324" s="72"/>
      <c r="L324" s="72"/>
      <c r="M324" s="72"/>
    </row>
    <row r="325" spans="1:13" x14ac:dyDescent="0.25">
      <c r="F325" s="73"/>
      <c r="G325" s="72"/>
      <c r="H325" s="72"/>
      <c r="I325" s="72"/>
      <c r="M325" s="72"/>
    </row>
    <row r="326" spans="1:13" x14ac:dyDescent="0.25">
      <c r="F326" s="73"/>
      <c r="G326" s="72"/>
      <c r="H326" s="72"/>
      <c r="I326" s="72"/>
      <c r="M326" s="72"/>
    </row>
    <row r="327" spans="1:13" x14ac:dyDescent="0.25">
      <c r="F327" s="85"/>
      <c r="G327" s="72"/>
      <c r="H327" s="72"/>
      <c r="I327" s="72"/>
      <c r="M327" s="72"/>
    </row>
    <row r="328" spans="1:13" x14ac:dyDescent="0.25">
      <c r="D328" s="17"/>
      <c r="E328" s="72"/>
      <c r="F328" s="72"/>
      <c r="G328" s="72"/>
      <c r="H328" s="72"/>
      <c r="I328" s="72"/>
      <c r="J328" s="72"/>
      <c r="K328" s="72"/>
      <c r="L328" s="72"/>
      <c r="M328" s="72"/>
    </row>
    <row r="329" spans="1:13" x14ac:dyDescent="0.25">
      <c r="C329" s="58"/>
      <c r="E329" s="72"/>
      <c r="F329" s="72"/>
      <c r="G329" s="72"/>
      <c r="H329" s="72"/>
      <c r="I329" s="72"/>
      <c r="J329" s="72"/>
      <c r="K329" s="72"/>
      <c r="L329" s="72"/>
      <c r="M329" s="72"/>
    </row>
    <row r="330" spans="1:13" x14ac:dyDescent="0.25">
      <c r="E330" s="72"/>
      <c r="F330" s="72"/>
      <c r="G330" s="72"/>
      <c r="H330" s="72"/>
      <c r="I330" s="72"/>
      <c r="J330" s="72"/>
      <c r="M330" s="72"/>
    </row>
    <row r="331" spans="1:13" x14ac:dyDescent="0.25">
      <c r="E331" s="72"/>
      <c r="F331" s="72"/>
      <c r="G331" s="72"/>
      <c r="H331" s="72"/>
      <c r="I331" s="72"/>
      <c r="J331" s="72"/>
      <c r="M331" s="72"/>
    </row>
    <row r="332" spans="1:13" x14ac:dyDescent="0.25">
      <c r="E332" s="72"/>
      <c r="F332" s="72"/>
      <c r="G332" s="72"/>
      <c r="H332" s="72"/>
      <c r="I332" s="72"/>
      <c r="J332" s="72"/>
      <c r="M332" s="72"/>
    </row>
  </sheetData>
  <mergeCells count="7">
    <mergeCell ref="A4:C4"/>
    <mergeCell ref="A10:A11"/>
    <mergeCell ref="G10:G11"/>
    <mergeCell ref="E10:E11"/>
    <mergeCell ref="D10:D11"/>
    <mergeCell ref="C10:C11"/>
    <mergeCell ref="B10:B11"/>
  </mergeCells>
  <phoneticPr fontId="0" type="noConversion"/>
  <printOptions horizontalCentered="1"/>
  <pageMargins left="0" right="0" top="0" bottom="0" header="0.51181102362204722" footer="0.51181102362204722"/>
  <pageSetup paperSize="9" scale="73" orientation="portrait" horizontalDpi="4294967292" verticalDpi="4294967292"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9">
    <tabColor rgb="FF00B050"/>
  </sheetPr>
  <dimension ref="A1:L328"/>
  <sheetViews>
    <sheetView workbookViewId="0"/>
  </sheetViews>
  <sheetFormatPr baseColWidth="10" defaultColWidth="11" defaultRowHeight="15" x14ac:dyDescent="0.25"/>
  <cols>
    <col min="1" max="1" width="7.25" style="13" customWidth="1"/>
    <col min="2" max="2" width="17.375" style="13" bestFit="1" customWidth="1"/>
    <col min="3" max="3" width="11.875" style="13" customWidth="1"/>
    <col min="4" max="9" width="11" style="13"/>
    <col min="10" max="10" width="8.25" style="13" bestFit="1" customWidth="1"/>
    <col min="11" max="11" width="13" style="13" bestFit="1" customWidth="1"/>
    <col min="12" max="16384" width="11" style="13"/>
  </cols>
  <sheetData>
    <row r="1" spans="1:12" ht="21" x14ac:dyDescent="0.25">
      <c r="A1" s="51" t="s">
        <v>435</v>
      </c>
      <c r="B1" s="42"/>
      <c r="C1" s="68"/>
    </row>
    <row r="2" spans="1:12" s="393" customFormat="1" ht="21" x14ac:dyDescent="0.25">
      <c r="A2" s="199">
        <f>Paramètres!B5</f>
        <v>2021</v>
      </c>
      <c r="B2" s="42"/>
      <c r="C2" s="397"/>
    </row>
    <row r="3" spans="1:12" x14ac:dyDescent="0.25">
      <c r="A3" s="27"/>
      <c r="B3" s="53"/>
    </row>
    <row r="4" spans="1:12" x14ac:dyDescent="0.25">
      <c r="A4" s="27"/>
      <c r="B4" s="53"/>
      <c r="C4" s="610" t="s">
        <v>300</v>
      </c>
      <c r="D4" s="611"/>
      <c r="E4" s="611"/>
      <c r="F4" s="611"/>
      <c r="G4" s="611"/>
      <c r="H4" s="611"/>
      <c r="I4" s="611"/>
      <c r="J4" s="612"/>
    </row>
    <row r="5" spans="1:12" x14ac:dyDescent="0.25">
      <c r="C5" s="121" t="s">
        <v>299</v>
      </c>
      <c r="D5" s="102">
        <f>Paramètres!B20</f>
        <v>0</v>
      </c>
      <c r="E5" s="102">
        <f>Paramètres!C20</f>
        <v>1000</v>
      </c>
      <c r="F5" s="102">
        <f>Paramètres!D20</f>
        <v>3000</v>
      </c>
      <c r="G5" s="102">
        <f>Paramètres!E20</f>
        <v>5000</v>
      </c>
      <c r="H5" s="102">
        <f>Paramètres!F20</f>
        <v>9000</v>
      </c>
      <c r="I5" s="102">
        <f>Paramètres!G20</f>
        <v>12000</v>
      </c>
      <c r="J5" s="102">
        <f>Paramètres!H20</f>
        <v>15000</v>
      </c>
    </row>
    <row r="6" spans="1:12" x14ac:dyDescent="0.25">
      <c r="C6" s="105" t="s">
        <v>301</v>
      </c>
      <c r="D6" s="102">
        <f>Paramètres!B21</f>
        <v>1000</v>
      </c>
      <c r="E6" s="102">
        <f>Paramètres!C21</f>
        <v>3000</v>
      </c>
      <c r="F6" s="102">
        <f>Paramètres!D21</f>
        <v>5000</v>
      </c>
      <c r="G6" s="102">
        <f>Paramètres!E21</f>
        <v>9000</v>
      </c>
      <c r="H6" s="102">
        <f>Paramètres!F21</f>
        <v>12000</v>
      </c>
      <c r="I6" s="102">
        <f>Paramètres!G21</f>
        <v>15000</v>
      </c>
      <c r="J6" s="102"/>
    </row>
    <row r="7" spans="1:12" ht="30" customHeight="1" x14ac:dyDescent="0.25">
      <c r="A7" s="592" t="s">
        <v>46</v>
      </c>
      <c r="B7" s="592" t="s">
        <v>94</v>
      </c>
      <c r="C7" s="592" t="s">
        <v>296</v>
      </c>
      <c r="D7" s="599" t="s">
        <v>302</v>
      </c>
      <c r="E7" s="600"/>
      <c r="F7" s="600"/>
      <c r="G7" s="600"/>
      <c r="H7" s="600"/>
      <c r="I7" s="600"/>
      <c r="J7" s="601"/>
      <c r="K7" s="592" t="s">
        <v>287</v>
      </c>
    </row>
    <row r="8" spans="1:12" x14ac:dyDescent="0.25">
      <c r="A8" s="593"/>
      <c r="B8" s="594"/>
      <c r="C8" s="594"/>
      <c r="D8" s="268">
        <f>Paramètres!B25</f>
        <v>124.74849094567404</v>
      </c>
      <c r="E8" s="268">
        <f>Paramètres!C25</f>
        <v>349.2957746478873</v>
      </c>
      <c r="F8" s="268">
        <f>Paramètres!D25</f>
        <v>498.99396378269614</v>
      </c>
      <c r="G8" s="268">
        <f>Paramètres!E25</f>
        <v>598.79275653923537</v>
      </c>
      <c r="H8" s="268">
        <f>Paramètres!F25</f>
        <v>848.2897384305835</v>
      </c>
      <c r="I8" s="268">
        <f>Paramètres!G25</f>
        <v>997.98792756539228</v>
      </c>
      <c r="J8" s="268">
        <f>Paramètres!H25</f>
        <v>1047.8873239436618</v>
      </c>
      <c r="K8" s="593"/>
    </row>
    <row r="9" spans="1:12" x14ac:dyDescent="0.25">
      <c r="A9" s="46">
        <f>'A) Base RI'!A7</f>
        <v>5401</v>
      </c>
      <c r="B9" s="286" t="str">
        <f>'A) Base RI'!B7</f>
        <v>Aigle</v>
      </c>
      <c r="C9" s="54">
        <f>'A) Base RI'!V7</f>
        <v>10828</v>
      </c>
      <c r="D9" s="10">
        <f>IF($C9&gt;D$5,IF($C9&lt;D$6,$C9-D$5,D$6-D$5),0)</f>
        <v>1000</v>
      </c>
      <c r="E9" s="14">
        <f t="shared" ref="E9:I24" si="0">IF($C9&gt;E$5,IF($C9&lt;E$6,$C9-E$5,E$6-E$5),0)</f>
        <v>2000</v>
      </c>
      <c r="F9" s="10">
        <f t="shared" si="0"/>
        <v>2000</v>
      </c>
      <c r="G9" s="14">
        <f t="shared" si="0"/>
        <v>4000</v>
      </c>
      <c r="H9" s="41">
        <f t="shared" si="0"/>
        <v>1828</v>
      </c>
      <c r="I9" s="10">
        <f t="shared" si="0"/>
        <v>0</v>
      </c>
      <c r="J9" s="10">
        <f>IF(C9&gt;$J$5,C9-$J$5,0)</f>
        <v>0</v>
      </c>
      <c r="K9" s="112">
        <f>(D9*D$8)+(E9*E$8)+(F9*F$8)+(G9*G$8)+(H9*H$8)+(I9*I$8)+(J9*J$8)</f>
        <v>5767172.6358148884</v>
      </c>
    </row>
    <row r="10" spans="1:12" x14ac:dyDescent="0.25">
      <c r="A10" s="49">
        <f>'A) Base RI'!A8</f>
        <v>5402</v>
      </c>
      <c r="B10" s="286" t="str">
        <f>'A) Base RI'!B8</f>
        <v>Bex</v>
      </c>
      <c r="C10" s="10">
        <f>'A) Base RI'!V8</f>
        <v>8063</v>
      </c>
      <c r="D10" s="10">
        <f t="shared" ref="D10:I64" si="1">IF($C10&gt;D$5,IF($C10&lt;D$6,$C10-D$5,D$6-D$5),0)</f>
        <v>1000</v>
      </c>
      <c r="E10" s="404">
        <f t="shared" si="0"/>
        <v>2000</v>
      </c>
      <c r="F10" s="10">
        <f t="shared" si="0"/>
        <v>2000</v>
      </c>
      <c r="G10" s="404">
        <f t="shared" si="0"/>
        <v>3063</v>
      </c>
      <c r="H10" s="41">
        <f t="shared" si="0"/>
        <v>0</v>
      </c>
      <c r="I10" s="10">
        <f t="shared" si="0"/>
        <v>0</v>
      </c>
      <c r="J10" s="10">
        <f t="shared" ref="J10:J73" si="2">IF(C10&gt;$J$5,C10-$J$5,0)</f>
        <v>0</v>
      </c>
      <c r="K10" s="112">
        <f t="shared" ref="K10:K73" si="3">(D10*D$8)+(E10*E$8)+(F10*F$8)+(G10*G$8)+(H10*H$8)+(I10*I$8)+(J10*J$8)</f>
        <v>3655430.1810865188</v>
      </c>
    </row>
    <row r="11" spans="1:12" x14ac:dyDescent="0.25">
      <c r="A11" s="49">
        <f>'A) Base RI'!A9</f>
        <v>5403</v>
      </c>
      <c r="B11" s="286" t="str">
        <f>'A) Base RI'!B9</f>
        <v>Chessel</v>
      </c>
      <c r="C11" s="10">
        <f>'A) Base RI'!V9</f>
        <v>497</v>
      </c>
      <c r="D11" s="10">
        <f t="shared" si="1"/>
        <v>497</v>
      </c>
      <c r="E11" s="404">
        <f t="shared" si="0"/>
        <v>0</v>
      </c>
      <c r="F11" s="10">
        <f t="shared" si="0"/>
        <v>0</v>
      </c>
      <c r="G11" s="404">
        <f t="shared" si="0"/>
        <v>0</v>
      </c>
      <c r="H11" s="41">
        <f t="shared" si="0"/>
        <v>0</v>
      </c>
      <c r="I11" s="10">
        <f t="shared" si="0"/>
        <v>0</v>
      </c>
      <c r="J11" s="10">
        <f t="shared" si="2"/>
        <v>0</v>
      </c>
      <c r="K11" s="112">
        <f t="shared" si="3"/>
        <v>61999.999999999993</v>
      </c>
    </row>
    <row r="12" spans="1:12" x14ac:dyDescent="0.25">
      <c r="A12" s="49">
        <f>'A) Base RI'!A10</f>
        <v>5404</v>
      </c>
      <c r="B12" s="286" t="str">
        <f>'A) Base RI'!B10</f>
        <v>Corbeyrier</v>
      </c>
      <c r="C12" s="10">
        <f>'A) Base RI'!V10</f>
        <v>439</v>
      </c>
      <c r="D12" s="10">
        <f t="shared" si="1"/>
        <v>439</v>
      </c>
      <c r="E12" s="404">
        <f t="shared" si="0"/>
        <v>0</v>
      </c>
      <c r="F12" s="10">
        <f t="shared" si="0"/>
        <v>0</v>
      </c>
      <c r="G12" s="404">
        <f t="shared" si="0"/>
        <v>0</v>
      </c>
      <c r="H12" s="41">
        <f t="shared" si="0"/>
        <v>0</v>
      </c>
      <c r="I12" s="10">
        <f t="shared" si="0"/>
        <v>0</v>
      </c>
      <c r="J12" s="10">
        <f t="shared" si="2"/>
        <v>0</v>
      </c>
      <c r="K12" s="112">
        <f t="shared" si="3"/>
        <v>54764.587525150899</v>
      </c>
    </row>
    <row r="13" spans="1:12" x14ac:dyDescent="0.25">
      <c r="A13" s="49">
        <f>'A) Base RI'!A11</f>
        <v>5405</v>
      </c>
      <c r="B13" s="286" t="str">
        <f>'A) Base RI'!B11</f>
        <v>Gryon</v>
      </c>
      <c r="C13" s="10">
        <f>'A) Base RI'!V11</f>
        <v>1382</v>
      </c>
      <c r="D13" s="10">
        <f t="shared" si="1"/>
        <v>1000</v>
      </c>
      <c r="E13" s="404">
        <f t="shared" si="0"/>
        <v>382</v>
      </c>
      <c r="F13" s="10">
        <f t="shared" si="0"/>
        <v>0</v>
      </c>
      <c r="G13" s="404">
        <f t="shared" si="0"/>
        <v>0</v>
      </c>
      <c r="H13" s="41">
        <f t="shared" si="0"/>
        <v>0</v>
      </c>
      <c r="I13" s="10">
        <f t="shared" si="0"/>
        <v>0</v>
      </c>
      <c r="J13" s="10">
        <f t="shared" si="2"/>
        <v>0</v>
      </c>
      <c r="K13" s="112">
        <f t="shared" si="3"/>
        <v>258179.476861167</v>
      </c>
    </row>
    <row r="14" spans="1:12" x14ac:dyDescent="0.25">
      <c r="A14" s="49">
        <f>'A) Base RI'!A12</f>
        <v>5406</v>
      </c>
      <c r="B14" s="286" t="str">
        <f>'A) Base RI'!B12</f>
        <v>Lavey-Morcles</v>
      </c>
      <c r="C14" s="10">
        <f>'A) Base RI'!V12</f>
        <v>966</v>
      </c>
      <c r="D14" s="10">
        <f t="shared" si="1"/>
        <v>966</v>
      </c>
      <c r="E14" s="404">
        <f t="shared" si="0"/>
        <v>0</v>
      </c>
      <c r="F14" s="10">
        <f t="shared" si="0"/>
        <v>0</v>
      </c>
      <c r="G14" s="404">
        <f t="shared" si="0"/>
        <v>0</v>
      </c>
      <c r="H14" s="41">
        <f t="shared" si="0"/>
        <v>0</v>
      </c>
      <c r="I14" s="10">
        <f t="shared" si="0"/>
        <v>0</v>
      </c>
      <c r="J14" s="10">
        <f t="shared" si="2"/>
        <v>0</v>
      </c>
      <c r="K14" s="112">
        <f t="shared" si="3"/>
        <v>120507.04225352111</v>
      </c>
    </row>
    <row r="15" spans="1:12" x14ac:dyDescent="0.25">
      <c r="A15" s="49">
        <f>'A) Base RI'!A13</f>
        <v>5407</v>
      </c>
      <c r="B15" s="286" t="str">
        <f>'A) Base RI'!B13</f>
        <v>Leysin</v>
      </c>
      <c r="C15" s="10">
        <f>'A) Base RI'!V13</f>
        <v>3637</v>
      </c>
      <c r="D15" s="10">
        <f t="shared" si="1"/>
        <v>1000</v>
      </c>
      <c r="E15" s="404">
        <f t="shared" si="0"/>
        <v>2000</v>
      </c>
      <c r="F15" s="10">
        <f t="shared" si="0"/>
        <v>637</v>
      </c>
      <c r="G15" s="404">
        <f t="shared" si="0"/>
        <v>0</v>
      </c>
      <c r="H15" s="41">
        <f t="shared" si="0"/>
        <v>0</v>
      </c>
      <c r="I15" s="10">
        <f t="shared" si="0"/>
        <v>0</v>
      </c>
      <c r="J15" s="10">
        <f t="shared" si="2"/>
        <v>0</v>
      </c>
      <c r="K15" s="112">
        <f t="shared" si="3"/>
        <v>1141199.195171026</v>
      </c>
      <c r="L15" s="12"/>
    </row>
    <row r="16" spans="1:12" x14ac:dyDescent="0.25">
      <c r="A16" s="49">
        <f>'A) Base RI'!A14</f>
        <v>5408</v>
      </c>
      <c r="B16" s="286" t="str">
        <f>'A) Base RI'!B14</f>
        <v>Noville</v>
      </c>
      <c r="C16" s="10">
        <f>'A) Base RI'!V14</f>
        <v>1169</v>
      </c>
      <c r="D16" s="10">
        <f t="shared" si="1"/>
        <v>1000</v>
      </c>
      <c r="E16" s="404">
        <f t="shared" si="0"/>
        <v>169</v>
      </c>
      <c r="F16" s="10">
        <f t="shared" si="0"/>
        <v>0</v>
      </c>
      <c r="G16" s="404">
        <f t="shared" si="0"/>
        <v>0</v>
      </c>
      <c r="H16" s="41">
        <f t="shared" si="0"/>
        <v>0</v>
      </c>
      <c r="I16" s="10">
        <f t="shared" si="0"/>
        <v>0</v>
      </c>
      <c r="J16" s="10">
        <f t="shared" si="2"/>
        <v>0</v>
      </c>
      <c r="K16" s="112">
        <f t="shared" si="3"/>
        <v>183779.476861167</v>
      </c>
    </row>
    <row r="17" spans="1:11" x14ac:dyDescent="0.25">
      <c r="A17" s="49">
        <f>'A) Base RI'!A15</f>
        <v>5409</v>
      </c>
      <c r="B17" s="286" t="str">
        <f>'A) Base RI'!B15</f>
        <v>Ollon</v>
      </c>
      <c r="C17" s="10">
        <f>'A) Base RI'!V15</f>
        <v>7904</v>
      </c>
      <c r="D17" s="10">
        <f t="shared" si="1"/>
        <v>1000</v>
      </c>
      <c r="E17" s="404">
        <f t="shared" si="0"/>
        <v>2000</v>
      </c>
      <c r="F17" s="10">
        <f t="shared" si="0"/>
        <v>2000</v>
      </c>
      <c r="G17" s="404">
        <f t="shared" si="0"/>
        <v>2904</v>
      </c>
      <c r="H17" s="41">
        <f t="shared" si="0"/>
        <v>0</v>
      </c>
      <c r="I17" s="10">
        <f t="shared" si="0"/>
        <v>0</v>
      </c>
      <c r="J17" s="10">
        <f t="shared" si="2"/>
        <v>0</v>
      </c>
      <c r="K17" s="112">
        <f t="shared" si="3"/>
        <v>3560222.1327967802</v>
      </c>
    </row>
    <row r="18" spans="1:11" x14ac:dyDescent="0.25">
      <c r="A18" s="49">
        <f>'A) Base RI'!A16</f>
        <v>5410</v>
      </c>
      <c r="B18" s="286" t="str">
        <f>'A) Base RI'!B16</f>
        <v>Ormont-Dessous</v>
      </c>
      <c r="C18" s="10">
        <f>'A) Base RI'!V16</f>
        <v>1162</v>
      </c>
      <c r="D18" s="10">
        <f t="shared" si="1"/>
        <v>1000</v>
      </c>
      <c r="E18" s="404">
        <f t="shared" si="0"/>
        <v>162</v>
      </c>
      <c r="F18" s="10">
        <f t="shared" si="0"/>
        <v>0</v>
      </c>
      <c r="G18" s="404">
        <f t="shared" si="0"/>
        <v>0</v>
      </c>
      <c r="H18" s="41">
        <f t="shared" si="0"/>
        <v>0</v>
      </c>
      <c r="I18" s="10">
        <f t="shared" si="0"/>
        <v>0</v>
      </c>
      <c r="J18" s="10">
        <f t="shared" si="2"/>
        <v>0</v>
      </c>
      <c r="K18" s="112">
        <f t="shared" si="3"/>
        <v>181334.40643863179</v>
      </c>
    </row>
    <row r="19" spans="1:11" x14ac:dyDescent="0.25">
      <c r="A19" s="49">
        <f>'A) Base RI'!A17</f>
        <v>5411</v>
      </c>
      <c r="B19" s="286" t="str">
        <f>'A) Base RI'!B17</f>
        <v>Ormont-Dessus</v>
      </c>
      <c r="C19" s="10">
        <f>'A) Base RI'!V17</f>
        <v>1451</v>
      </c>
      <c r="D19" s="10">
        <f t="shared" si="1"/>
        <v>1000</v>
      </c>
      <c r="E19" s="404">
        <f t="shared" si="0"/>
        <v>451</v>
      </c>
      <c r="F19" s="10">
        <f t="shared" si="0"/>
        <v>0</v>
      </c>
      <c r="G19" s="404">
        <f t="shared" si="0"/>
        <v>0</v>
      </c>
      <c r="H19" s="41">
        <f t="shared" si="0"/>
        <v>0</v>
      </c>
      <c r="I19" s="10">
        <f t="shared" si="0"/>
        <v>0</v>
      </c>
      <c r="J19" s="10">
        <f t="shared" si="2"/>
        <v>0</v>
      </c>
      <c r="K19" s="112">
        <f t="shared" si="3"/>
        <v>282280.88531187118</v>
      </c>
    </row>
    <row r="20" spans="1:11" x14ac:dyDescent="0.25">
      <c r="A20" s="49">
        <f>'A) Base RI'!A18</f>
        <v>5412</v>
      </c>
      <c r="B20" s="286" t="str">
        <f>'A) Base RI'!B18</f>
        <v>Rennaz</v>
      </c>
      <c r="C20" s="10">
        <f>'A) Base RI'!V18</f>
        <v>883</v>
      </c>
      <c r="D20" s="10">
        <f t="shared" si="1"/>
        <v>883</v>
      </c>
      <c r="E20" s="404">
        <f t="shared" si="0"/>
        <v>0</v>
      </c>
      <c r="F20" s="10">
        <f t="shared" si="0"/>
        <v>0</v>
      </c>
      <c r="G20" s="404">
        <f t="shared" si="0"/>
        <v>0</v>
      </c>
      <c r="H20" s="41">
        <f t="shared" si="0"/>
        <v>0</v>
      </c>
      <c r="I20" s="10">
        <f t="shared" si="0"/>
        <v>0</v>
      </c>
      <c r="J20" s="10">
        <f t="shared" si="2"/>
        <v>0</v>
      </c>
      <c r="K20" s="112">
        <f t="shared" si="3"/>
        <v>110152.91750503017</v>
      </c>
    </row>
    <row r="21" spans="1:11" x14ac:dyDescent="0.25">
      <c r="A21" s="49">
        <f>'A) Base RI'!A19</f>
        <v>5413</v>
      </c>
      <c r="B21" s="286" t="str">
        <f>'A) Base RI'!B19</f>
        <v>Roche</v>
      </c>
      <c r="C21" s="10">
        <f>'A) Base RI'!V19</f>
        <v>1874</v>
      </c>
      <c r="D21" s="10">
        <f t="shared" si="1"/>
        <v>1000</v>
      </c>
      <c r="E21" s="404">
        <f t="shared" si="0"/>
        <v>874</v>
      </c>
      <c r="F21" s="10">
        <f t="shared" si="0"/>
        <v>0</v>
      </c>
      <c r="G21" s="404">
        <f t="shared" si="0"/>
        <v>0</v>
      </c>
      <c r="H21" s="41">
        <f t="shared" si="0"/>
        <v>0</v>
      </c>
      <c r="I21" s="10">
        <f t="shared" si="0"/>
        <v>0</v>
      </c>
      <c r="J21" s="10">
        <f t="shared" si="2"/>
        <v>0</v>
      </c>
      <c r="K21" s="112">
        <f t="shared" si="3"/>
        <v>430032.99798792752</v>
      </c>
    </row>
    <row r="22" spans="1:11" x14ac:dyDescent="0.25">
      <c r="A22" s="49">
        <f>'A) Base RI'!A20</f>
        <v>5414</v>
      </c>
      <c r="B22" s="286" t="str">
        <f>'A) Base RI'!B20</f>
        <v>Villeneuve</v>
      </c>
      <c r="C22" s="10">
        <f>'A) Base RI'!V20</f>
        <v>5921</v>
      </c>
      <c r="D22" s="10">
        <f t="shared" si="1"/>
        <v>1000</v>
      </c>
      <c r="E22" s="404">
        <f t="shared" si="0"/>
        <v>2000</v>
      </c>
      <c r="F22" s="10">
        <f t="shared" si="0"/>
        <v>2000</v>
      </c>
      <c r="G22" s="404">
        <f t="shared" si="0"/>
        <v>921</v>
      </c>
      <c r="H22" s="41">
        <f t="shared" si="0"/>
        <v>0</v>
      </c>
      <c r="I22" s="10">
        <f t="shared" si="0"/>
        <v>0</v>
      </c>
      <c r="J22" s="10">
        <f t="shared" si="2"/>
        <v>0</v>
      </c>
      <c r="K22" s="112">
        <f t="shared" si="3"/>
        <v>2372816.0965794767</v>
      </c>
    </row>
    <row r="23" spans="1:11" x14ac:dyDescent="0.25">
      <c r="A23" s="49">
        <f>'A) Base RI'!A21</f>
        <v>5415</v>
      </c>
      <c r="B23" s="286" t="str">
        <f>'A) Base RI'!B21</f>
        <v>Yvorne</v>
      </c>
      <c r="C23" s="10">
        <f>'A) Base RI'!V21</f>
        <v>1038</v>
      </c>
      <c r="D23" s="10">
        <f t="shared" si="1"/>
        <v>1000</v>
      </c>
      <c r="E23" s="404">
        <f t="shared" si="0"/>
        <v>38</v>
      </c>
      <c r="F23" s="10">
        <f t="shared" si="0"/>
        <v>0</v>
      </c>
      <c r="G23" s="404">
        <f t="shared" si="0"/>
        <v>0</v>
      </c>
      <c r="H23" s="41">
        <f t="shared" si="0"/>
        <v>0</v>
      </c>
      <c r="I23" s="10">
        <f t="shared" si="0"/>
        <v>0</v>
      </c>
      <c r="J23" s="10">
        <f t="shared" si="2"/>
        <v>0</v>
      </c>
      <c r="K23" s="112">
        <f t="shared" si="3"/>
        <v>138021.73038229375</v>
      </c>
    </row>
    <row r="24" spans="1:11" x14ac:dyDescent="0.25">
      <c r="A24" s="49">
        <f>'A) Base RI'!A22</f>
        <v>5421</v>
      </c>
      <c r="B24" s="286" t="str">
        <f>'A) Base RI'!B22</f>
        <v>Apples</v>
      </c>
      <c r="C24" s="10">
        <f>'A) Base RI'!V22</f>
        <v>1469</v>
      </c>
      <c r="D24" s="10">
        <f t="shared" si="1"/>
        <v>1000</v>
      </c>
      <c r="E24" s="404">
        <f t="shared" si="0"/>
        <v>469</v>
      </c>
      <c r="F24" s="10">
        <f t="shared" si="0"/>
        <v>0</v>
      </c>
      <c r="G24" s="404">
        <f t="shared" si="0"/>
        <v>0</v>
      </c>
      <c r="H24" s="41">
        <f t="shared" si="0"/>
        <v>0</v>
      </c>
      <c r="I24" s="10">
        <f t="shared" si="0"/>
        <v>0</v>
      </c>
      <c r="J24" s="10">
        <f t="shared" si="2"/>
        <v>0</v>
      </c>
      <c r="K24" s="112">
        <f t="shared" si="3"/>
        <v>288568.20925553318</v>
      </c>
    </row>
    <row r="25" spans="1:11" x14ac:dyDescent="0.25">
      <c r="A25" s="49">
        <f>'A) Base RI'!A23</f>
        <v>5422</v>
      </c>
      <c r="B25" s="286" t="str">
        <f>'A) Base RI'!B23</f>
        <v>Aubonne</v>
      </c>
      <c r="C25" s="10">
        <f>'A) Base RI'!V23</f>
        <v>3781</v>
      </c>
      <c r="D25" s="10">
        <f t="shared" si="1"/>
        <v>1000</v>
      </c>
      <c r="E25" s="404">
        <f t="shared" si="1"/>
        <v>2000</v>
      </c>
      <c r="F25" s="10">
        <f t="shared" si="1"/>
        <v>781</v>
      </c>
      <c r="G25" s="404">
        <f t="shared" si="1"/>
        <v>0</v>
      </c>
      <c r="H25" s="41">
        <f t="shared" si="1"/>
        <v>0</v>
      </c>
      <c r="I25" s="10">
        <f t="shared" si="1"/>
        <v>0</v>
      </c>
      <c r="J25" s="10">
        <f t="shared" si="2"/>
        <v>0</v>
      </c>
      <c r="K25" s="112">
        <f t="shared" si="3"/>
        <v>1213054.3259557341</v>
      </c>
    </row>
    <row r="26" spans="1:11" x14ac:dyDescent="0.25">
      <c r="A26" s="49">
        <f>'A) Base RI'!A24</f>
        <v>5423</v>
      </c>
      <c r="B26" s="286" t="str">
        <f>'A) Base RI'!B24</f>
        <v>Ballens</v>
      </c>
      <c r="C26" s="10">
        <f>'A) Base RI'!V24</f>
        <v>567</v>
      </c>
      <c r="D26" s="10">
        <f t="shared" si="1"/>
        <v>567</v>
      </c>
      <c r="E26" s="404">
        <f t="shared" si="1"/>
        <v>0</v>
      </c>
      <c r="F26" s="10">
        <f t="shared" si="1"/>
        <v>0</v>
      </c>
      <c r="G26" s="404">
        <f t="shared" si="1"/>
        <v>0</v>
      </c>
      <c r="H26" s="41">
        <f t="shared" si="1"/>
        <v>0</v>
      </c>
      <c r="I26" s="10">
        <f t="shared" si="1"/>
        <v>0</v>
      </c>
      <c r="J26" s="10">
        <f t="shared" si="2"/>
        <v>0</v>
      </c>
      <c r="K26" s="112">
        <f t="shared" si="3"/>
        <v>70732.394366197172</v>
      </c>
    </row>
    <row r="27" spans="1:11" x14ac:dyDescent="0.25">
      <c r="A27" s="49">
        <f>'A) Base RI'!A25</f>
        <v>5424</v>
      </c>
      <c r="B27" s="286" t="str">
        <f>'A) Base RI'!B25</f>
        <v>Berolle</v>
      </c>
      <c r="C27" s="10">
        <f>'A) Base RI'!V25</f>
        <v>308</v>
      </c>
      <c r="D27" s="10">
        <f t="shared" si="1"/>
        <v>308</v>
      </c>
      <c r="E27" s="404">
        <f t="shared" si="1"/>
        <v>0</v>
      </c>
      <c r="F27" s="10">
        <f t="shared" si="1"/>
        <v>0</v>
      </c>
      <c r="G27" s="404">
        <f t="shared" si="1"/>
        <v>0</v>
      </c>
      <c r="H27" s="41">
        <f t="shared" si="1"/>
        <v>0</v>
      </c>
      <c r="I27" s="10">
        <f t="shared" si="1"/>
        <v>0</v>
      </c>
      <c r="J27" s="10">
        <f t="shared" si="2"/>
        <v>0</v>
      </c>
      <c r="K27" s="112">
        <f t="shared" si="3"/>
        <v>38422.535211267605</v>
      </c>
    </row>
    <row r="28" spans="1:11" x14ac:dyDescent="0.25">
      <c r="A28" s="49">
        <f>'A) Base RI'!A26</f>
        <v>5425</v>
      </c>
      <c r="B28" s="286" t="str">
        <f>'A) Base RI'!B26</f>
        <v>Bière</v>
      </c>
      <c r="C28" s="10">
        <f>'A) Base RI'!V26</f>
        <v>1634</v>
      </c>
      <c r="D28" s="10">
        <f t="shared" si="1"/>
        <v>1000</v>
      </c>
      <c r="E28" s="404">
        <f t="shared" si="1"/>
        <v>634</v>
      </c>
      <c r="F28" s="10">
        <f t="shared" si="1"/>
        <v>0</v>
      </c>
      <c r="G28" s="404">
        <f t="shared" si="1"/>
        <v>0</v>
      </c>
      <c r="H28" s="41">
        <f t="shared" si="1"/>
        <v>0</v>
      </c>
      <c r="I28" s="10">
        <f t="shared" si="1"/>
        <v>0</v>
      </c>
      <c r="J28" s="10">
        <f t="shared" si="2"/>
        <v>0</v>
      </c>
      <c r="K28" s="112">
        <f t="shared" si="3"/>
        <v>346202.01207243459</v>
      </c>
    </row>
    <row r="29" spans="1:11" x14ac:dyDescent="0.25">
      <c r="A29" s="49">
        <f>'A) Base RI'!A27</f>
        <v>5426</v>
      </c>
      <c r="B29" s="286" t="str">
        <f>'A) Base RI'!B27</f>
        <v>Bougy-Villars</v>
      </c>
      <c r="C29" s="10">
        <f>'A) Base RI'!V27</f>
        <v>497</v>
      </c>
      <c r="D29" s="10">
        <f t="shared" si="1"/>
        <v>497</v>
      </c>
      <c r="E29" s="404">
        <f t="shared" si="1"/>
        <v>0</v>
      </c>
      <c r="F29" s="10">
        <f t="shared" si="1"/>
        <v>0</v>
      </c>
      <c r="G29" s="404">
        <f t="shared" si="1"/>
        <v>0</v>
      </c>
      <c r="H29" s="41">
        <f t="shared" si="1"/>
        <v>0</v>
      </c>
      <c r="I29" s="10">
        <f t="shared" si="1"/>
        <v>0</v>
      </c>
      <c r="J29" s="10">
        <f t="shared" si="2"/>
        <v>0</v>
      </c>
      <c r="K29" s="112">
        <f t="shared" si="3"/>
        <v>61999.999999999993</v>
      </c>
    </row>
    <row r="30" spans="1:11" x14ac:dyDescent="0.25">
      <c r="A30" s="49">
        <f>'A) Base RI'!A28</f>
        <v>5427</v>
      </c>
      <c r="B30" s="286" t="str">
        <f>'A) Base RI'!B28</f>
        <v>Féchy</v>
      </c>
      <c r="C30" s="10">
        <f>'A) Base RI'!V28</f>
        <v>893</v>
      </c>
      <c r="D30" s="10">
        <f t="shared" si="1"/>
        <v>893</v>
      </c>
      <c r="E30" s="404">
        <f t="shared" si="1"/>
        <v>0</v>
      </c>
      <c r="F30" s="10">
        <f t="shared" si="1"/>
        <v>0</v>
      </c>
      <c r="G30" s="404">
        <f t="shared" si="1"/>
        <v>0</v>
      </c>
      <c r="H30" s="41">
        <f t="shared" si="1"/>
        <v>0</v>
      </c>
      <c r="I30" s="10">
        <f t="shared" si="1"/>
        <v>0</v>
      </c>
      <c r="J30" s="10">
        <f t="shared" si="2"/>
        <v>0</v>
      </c>
      <c r="K30" s="112">
        <f t="shared" si="3"/>
        <v>111400.40241448692</v>
      </c>
    </row>
    <row r="31" spans="1:11" x14ac:dyDescent="0.25">
      <c r="A31" s="49">
        <f>'A) Base RI'!A29</f>
        <v>5428</v>
      </c>
      <c r="B31" s="286" t="str">
        <f>'A) Base RI'!B29</f>
        <v>Gimel</v>
      </c>
      <c r="C31" s="10">
        <f>'A) Base RI'!V29</f>
        <v>2402</v>
      </c>
      <c r="D31" s="10">
        <f t="shared" si="1"/>
        <v>1000</v>
      </c>
      <c r="E31" s="404">
        <f t="shared" si="1"/>
        <v>1402</v>
      </c>
      <c r="F31" s="10">
        <f t="shared" si="1"/>
        <v>0</v>
      </c>
      <c r="G31" s="404">
        <f t="shared" si="1"/>
        <v>0</v>
      </c>
      <c r="H31" s="41">
        <f t="shared" si="1"/>
        <v>0</v>
      </c>
      <c r="I31" s="10">
        <f t="shared" si="1"/>
        <v>0</v>
      </c>
      <c r="J31" s="10">
        <f t="shared" si="2"/>
        <v>0</v>
      </c>
      <c r="K31" s="112">
        <f t="shared" si="3"/>
        <v>614461.16700201202</v>
      </c>
    </row>
    <row r="32" spans="1:11" x14ac:dyDescent="0.25">
      <c r="A32" s="49">
        <f>'A) Base RI'!A30</f>
        <v>5429</v>
      </c>
      <c r="B32" s="286" t="str">
        <f>'A) Base RI'!B30</f>
        <v>Longirod</v>
      </c>
      <c r="C32" s="10">
        <f>'A) Base RI'!V30</f>
        <v>520</v>
      </c>
      <c r="D32" s="10">
        <f t="shared" si="1"/>
        <v>520</v>
      </c>
      <c r="E32" s="404">
        <f t="shared" si="1"/>
        <v>0</v>
      </c>
      <c r="F32" s="10">
        <f t="shared" si="1"/>
        <v>0</v>
      </c>
      <c r="G32" s="404">
        <f t="shared" si="1"/>
        <v>0</v>
      </c>
      <c r="H32" s="41">
        <f t="shared" si="1"/>
        <v>0</v>
      </c>
      <c r="I32" s="10">
        <f t="shared" si="1"/>
        <v>0</v>
      </c>
      <c r="J32" s="10">
        <f t="shared" si="2"/>
        <v>0</v>
      </c>
      <c r="K32" s="112">
        <f t="shared" si="3"/>
        <v>64869.215291750501</v>
      </c>
    </row>
    <row r="33" spans="1:11" x14ac:dyDescent="0.25">
      <c r="A33" s="49">
        <f>'A) Base RI'!A31</f>
        <v>5430</v>
      </c>
      <c r="B33" s="286" t="str">
        <f>'A) Base RI'!B31</f>
        <v>Marchissy</v>
      </c>
      <c r="C33" s="10">
        <f>'A) Base RI'!V31</f>
        <v>485</v>
      </c>
      <c r="D33" s="10">
        <f t="shared" si="1"/>
        <v>485</v>
      </c>
      <c r="E33" s="404">
        <f t="shared" si="1"/>
        <v>0</v>
      </c>
      <c r="F33" s="10">
        <f t="shared" si="1"/>
        <v>0</v>
      </c>
      <c r="G33" s="404">
        <f t="shared" si="1"/>
        <v>0</v>
      </c>
      <c r="H33" s="41">
        <f t="shared" si="1"/>
        <v>0</v>
      </c>
      <c r="I33" s="10">
        <f t="shared" si="1"/>
        <v>0</v>
      </c>
      <c r="J33" s="10">
        <f t="shared" si="2"/>
        <v>0</v>
      </c>
      <c r="K33" s="112">
        <f t="shared" si="3"/>
        <v>60503.018108651908</v>
      </c>
    </row>
    <row r="34" spans="1:11" x14ac:dyDescent="0.25">
      <c r="A34" s="49">
        <f>'A) Base RI'!A32</f>
        <v>5431</v>
      </c>
      <c r="B34" s="286" t="str">
        <f>'A) Base RI'!B32</f>
        <v>Mollens</v>
      </c>
      <c r="C34" s="10">
        <f>'A) Base RI'!V32</f>
        <v>319</v>
      </c>
      <c r="D34" s="10">
        <f t="shared" si="1"/>
        <v>319</v>
      </c>
      <c r="E34" s="404">
        <f t="shared" si="1"/>
        <v>0</v>
      </c>
      <c r="F34" s="10">
        <f t="shared" si="1"/>
        <v>0</v>
      </c>
      <c r="G34" s="404">
        <f t="shared" si="1"/>
        <v>0</v>
      </c>
      <c r="H34" s="41">
        <f t="shared" si="1"/>
        <v>0</v>
      </c>
      <c r="I34" s="10">
        <f t="shared" si="1"/>
        <v>0</v>
      </c>
      <c r="J34" s="10">
        <f t="shared" si="2"/>
        <v>0</v>
      </c>
      <c r="K34" s="112">
        <f t="shared" si="3"/>
        <v>39794.768611670021</v>
      </c>
    </row>
    <row r="35" spans="1:11" x14ac:dyDescent="0.25">
      <c r="A35" s="49">
        <f>'A) Base RI'!A33</f>
        <v>5434</v>
      </c>
      <c r="B35" s="286" t="str">
        <f>'A) Base RI'!B33</f>
        <v>Saint-George</v>
      </c>
      <c r="C35" s="10">
        <f>'A) Base RI'!V33</f>
        <v>1072</v>
      </c>
      <c r="D35" s="10">
        <f t="shared" si="1"/>
        <v>1000</v>
      </c>
      <c r="E35" s="404">
        <f t="shared" si="1"/>
        <v>72</v>
      </c>
      <c r="F35" s="10">
        <f t="shared" si="1"/>
        <v>0</v>
      </c>
      <c r="G35" s="404">
        <f t="shared" si="1"/>
        <v>0</v>
      </c>
      <c r="H35" s="41">
        <f t="shared" si="1"/>
        <v>0</v>
      </c>
      <c r="I35" s="10">
        <f t="shared" si="1"/>
        <v>0</v>
      </c>
      <c r="J35" s="10">
        <f t="shared" si="2"/>
        <v>0</v>
      </c>
      <c r="K35" s="112">
        <f t="shared" si="3"/>
        <v>149897.78672032192</v>
      </c>
    </row>
    <row r="36" spans="1:11" x14ac:dyDescent="0.25">
      <c r="A36" s="49">
        <f>'A) Base RI'!A34</f>
        <v>5435</v>
      </c>
      <c r="B36" s="286" t="str">
        <f>'A) Base RI'!B34</f>
        <v>Saint-Livres</v>
      </c>
      <c r="C36" s="10">
        <f>'A) Base RI'!V34</f>
        <v>674</v>
      </c>
      <c r="D36" s="10">
        <f t="shared" si="1"/>
        <v>674</v>
      </c>
      <c r="E36" s="404">
        <f t="shared" si="1"/>
        <v>0</v>
      </c>
      <c r="F36" s="10">
        <f t="shared" si="1"/>
        <v>0</v>
      </c>
      <c r="G36" s="404">
        <f t="shared" si="1"/>
        <v>0</v>
      </c>
      <c r="H36" s="41">
        <f t="shared" si="1"/>
        <v>0</v>
      </c>
      <c r="I36" s="10">
        <f t="shared" si="1"/>
        <v>0</v>
      </c>
      <c r="J36" s="10">
        <f t="shared" si="2"/>
        <v>0</v>
      </c>
      <c r="K36" s="112">
        <f t="shared" si="3"/>
        <v>84080.482897384296</v>
      </c>
    </row>
    <row r="37" spans="1:11" x14ac:dyDescent="0.25">
      <c r="A37" s="49">
        <f>'A) Base RI'!A35</f>
        <v>5436</v>
      </c>
      <c r="B37" s="286" t="str">
        <f>'A) Base RI'!B35</f>
        <v>Saint-Oyens</v>
      </c>
      <c r="C37" s="10">
        <f>'A) Base RI'!V35</f>
        <v>458</v>
      </c>
      <c r="D37" s="10">
        <f t="shared" si="1"/>
        <v>458</v>
      </c>
      <c r="E37" s="404">
        <f t="shared" si="1"/>
        <v>0</v>
      </c>
      <c r="F37" s="10">
        <f t="shared" si="1"/>
        <v>0</v>
      </c>
      <c r="G37" s="404">
        <f t="shared" si="1"/>
        <v>0</v>
      </c>
      <c r="H37" s="41">
        <f t="shared" si="1"/>
        <v>0</v>
      </c>
      <c r="I37" s="10">
        <f t="shared" si="1"/>
        <v>0</v>
      </c>
      <c r="J37" s="10">
        <f t="shared" si="2"/>
        <v>0</v>
      </c>
      <c r="K37" s="112">
        <f t="shared" si="3"/>
        <v>57134.80885311871</v>
      </c>
    </row>
    <row r="38" spans="1:11" x14ac:dyDescent="0.25">
      <c r="A38" s="49">
        <f>'A) Base RI'!A36</f>
        <v>5437</v>
      </c>
      <c r="B38" s="286" t="str">
        <f>'A) Base RI'!B36</f>
        <v>Saubraz</v>
      </c>
      <c r="C38" s="10">
        <f>'A) Base RI'!V36</f>
        <v>444</v>
      </c>
      <c r="D38" s="10">
        <f t="shared" si="1"/>
        <v>444</v>
      </c>
      <c r="E38" s="404">
        <f t="shared" si="1"/>
        <v>0</v>
      </c>
      <c r="F38" s="10">
        <f t="shared" si="1"/>
        <v>0</v>
      </c>
      <c r="G38" s="404">
        <f t="shared" si="1"/>
        <v>0</v>
      </c>
      <c r="H38" s="41">
        <f t="shared" si="1"/>
        <v>0</v>
      </c>
      <c r="I38" s="10">
        <f t="shared" si="1"/>
        <v>0</v>
      </c>
      <c r="J38" s="10">
        <f t="shared" si="2"/>
        <v>0</v>
      </c>
      <c r="K38" s="112">
        <f t="shared" si="3"/>
        <v>55388.329979879272</v>
      </c>
    </row>
    <row r="39" spans="1:11" x14ac:dyDescent="0.25">
      <c r="A39" s="49">
        <f>'A) Base RI'!A37</f>
        <v>5451</v>
      </c>
      <c r="B39" s="286" t="str">
        <f>'A) Base RI'!B37</f>
        <v>Avenches</v>
      </c>
      <c r="C39" s="10">
        <f>'A) Base RI'!V37</f>
        <v>4616</v>
      </c>
      <c r="D39" s="10">
        <f t="shared" si="1"/>
        <v>1000</v>
      </c>
      <c r="E39" s="404">
        <f t="shared" si="1"/>
        <v>2000</v>
      </c>
      <c r="F39" s="10">
        <f t="shared" si="1"/>
        <v>1616</v>
      </c>
      <c r="G39" s="404">
        <f t="shared" si="1"/>
        <v>0</v>
      </c>
      <c r="H39" s="41">
        <f t="shared" si="1"/>
        <v>0</v>
      </c>
      <c r="I39" s="10">
        <f t="shared" si="1"/>
        <v>0</v>
      </c>
      <c r="J39" s="10">
        <f t="shared" si="2"/>
        <v>0</v>
      </c>
      <c r="K39" s="112">
        <f t="shared" si="3"/>
        <v>1629714.2857142854</v>
      </c>
    </row>
    <row r="40" spans="1:11" x14ac:dyDescent="0.25">
      <c r="A40" s="49">
        <f>'A) Base RI'!A38</f>
        <v>5456</v>
      </c>
      <c r="B40" s="286" t="str">
        <f>'A) Base RI'!B38</f>
        <v>Cudrefin</v>
      </c>
      <c r="C40" s="10">
        <f>'A) Base RI'!V38</f>
        <v>1836</v>
      </c>
      <c r="D40" s="10">
        <f t="shared" si="1"/>
        <v>1000</v>
      </c>
      <c r="E40" s="404">
        <f t="shared" si="1"/>
        <v>836</v>
      </c>
      <c r="F40" s="10">
        <f t="shared" si="1"/>
        <v>0</v>
      </c>
      <c r="G40" s="404">
        <f t="shared" si="1"/>
        <v>0</v>
      </c>
      <c r="H40" s="41">
        <f t="shared" si="1"/>
        <v>0</v>
      </c>
      <c r="I40" s="10">
        <f t="shared" si="1"/>
        <v>0</v>
      </c>
      <c r="J40" s="10">
        <f t="shared" si="2"/>
        <v>0</v>
      </c>
      <c r="K40" s="112">
        <f t="shared" si="3"/>
        <v>416759.75855130784</v>
      </c>
    </row>
    <row r="41" spans="1:11" x14ac:dyDescent="0.25">
      <c r="A41" s="49">
        <f>'A) Base RI'!A39</f>
        <v>5458</v>
      </c>
      <c r="B41" s="286" t="str">
        <f>'A) Base RI'!B39</f>
        <v>Faoug</v>
      </c>
      <c r="C41" s="10">
        <f>'A) Base RI'!V39</f>
        <v>866</v>
      </c>
      <c r="D41" s="10">
        <f t="shared" si="1"/>
        <v>866</v>
      </c>
      <c r="E41" s="404">
        <f t="shared" si="1"/>
        <v>0</v>
      </c>
      <c r="F41" s="10">
        <f t="shared" si="1"/>
        <v>0</v>
      </c>
      <c r="G41" s="404">
        <f t="shared" si="1"/>
        <v>0</v>
      </c>
      <c r="H41" s="41">
        <f t="shared" si="1"/>
        <v>0</v>
      </c>
      <c r="I41" s="10">
        <f t="shared" si="1"/>
        <v>0</v>
      </c>
      <c r="J41" s="10">
        <f t="shared" si="2"/>
        <v>0</v>
      </c>
      <c r="K41" s="112">
        <f t="shared" si="3"/>
        <v>108032.19315895371</v>
      </c>
    </row>
    <row r="42" spans="1:11" x14ac:dyDescent="0.25">
      <c r="A42" s="49">
        <f>'A) Base RI'!A40</f>
        <v>5464</v>
      </c>
      <c r="B42" s="286" t="str">
        <f>'A) Base RI'!B40</f>
        <v>Vully-les-Lacs</v>
      </c>
      <c r="C42" s="10">
        <f>'A) Base RI'!V40</f>
        <v>3465</v>
      </c>
      <c r="D42" s="10">
        <f t="shared" si="1"/>
        <v>1000</v>
      </c>
      <c r="E42" s="404">
        <f t="shared" si="1"/>
        <v>2000</v>
      </c>
      <c r="F42" s="10">
        <f t="shared" si="1"/>
        <v>465</v>
      </c>
      <c r="G42" s="404">
        <f t="shared" si="1"/>
        <v>0</v>
      </c>
      <c r="H42" s="41">
        <f t="shared" si="1"/>
        <v>0</v>
      </c>
      <c r="I42" s="10">
        <f t="shared" si="1"/>
        <v>0</v>
      </c>
      <c r="J42" s="10">
        <f t="shared" si="2"/>
        <v>0</v>
      </c>
      <c r="K42" s="112">
        <f t="shared" si="3"/>
        <v>1055372.2334004024</v>
      </c>
    </row>
    <row r="43" spans="1:11" x14ac:dyDescent="0.25">
      <c r="A43" s="49">
        <f>'A) Base RI'!A41</f>
        <v>5471</v>
      </c>
      <c r="B43" s="286" t="str">
        <f>'A) Base RI'!B41</f>
        <v>Bettens</v>
      </c>
      <c r="C43" s="10">
        <f>'A) Base RI'!V41</f>
        <v>626</v>
      </c>
      <c r="D43" s="10">
        <f t="shared" si="1"/>
        <v>626</v>
      </c>
      <c r="E43" s="404">
        <f t="shared" si="1"/>
        <v>0</v>
      </c>
      <c r="F43" s="10">
        <f t="shared" si="1"/>
        <v>0</v>
      </c>
      <c r="G43" s="404">
        <f t="shared" si="1"/>
        <v>0</v>
      </c>
      <c r="H43" s="41">
        <f t="shared" si="1"/>
        <v>0</v>
      </c>
      <c r="I43" s="10">
        <f t="shared" si="1"/>
        <v>0</v>
      </c>
      <c r="J43" s="10">
        <f t="shared" si="2"/>
        <v>0</v>
      </c>
      <c r="K43" s="112">
        <f t="shared" si="3"/>
        <v>78092.555331991942</v>
      </c>
    </row>
    <row r="44" spans="1:11" x14ac:dyDescent="0.25">
      <c r="A44" s="49">
        <f>'A) Base RI'!A42</f>
        <v>5472</v>
      </c>
      <c r="B44" s="286" t="str">
        <f>'A) Base RI'!B42</f>
        <v>Bournens</v>
      </c>
      <c r="C44" s="10">
        <f>'A) Base RI'!V42</f>
        <v>507</v>
      </c>
      <c r="D44" s="10">
        <f t="shared" si="1"/>
        <v>507</v>
      </c>
      <c r="E44" s="404">
        <f t="shared" si="1"/>
        <v>0</v>
      </c>
      <c r="F44" s="10">
        <f t="shared" si="1"/>
        <v>0</v>
      </c>
      <c r="G44" s="404">
        <f t="shared" si="1"/>
        <v>0</v>
      </c>
      <c r="H44" s="41">
        <f t="shared" si="1"/>
        <v>0</v>
      </c>
      <c r="I44" s="10">
        <f t="shared" si="1"/>
        <v>0</v>
      </c>
      <c r="J44" s="10">
        <f t="shared" si="2"/>
        <v>0</v>
      </c>
      <c r="K44" s="112">
        <f t="shared" si="3"/>
        <v>63247.484909456733</v>
      </c>
    </row>
    <row r="45" spans="1:11" x14ac:dyDescent="0.25">
      <c r="A45" s="49">
        <f>'A) Base RI'!A43</f>
        <v>5473</v>
      </c>
      <c r="B45" s="286" t="str">
        <f>'A) Base RI'!B43</f>
        <v>Boussens</v>
      </c>
      <c r="C45" s="10">
        <f>'A) Base RI'!V43</f>
        <v>1001</v>
      </c>
      <c r="D45" s="10">
        <f t="shared" si="1"/>
        <v>1000</v>
      </c>
      <c r="E45" s="404">
        <f t="shared" si="1"/>
        <v>1</v>
      </c>
      <c r="F45" s="10">
        <f t="shared" si="1"/>
        <v>0</v>
      </c>
      <c r="G45" s="404">
        <f t="shared" si="1"/>
        <v>0</v>
      </c>
      <c r="H45" s="41">
        <f t="shared" si="1"/>
        <v>0</v>
      </c>
      <c r="I45" s="10">
        <f t="shared" si="1"/>
        <v>0</v>
      </c>
      <c r="J45" s="10">
        <f t="shared" si="2"/>
        <v>0</v>
      </c>
      <c r="K45" s="112">
        <f t="shared" si="3"/>
        <v>125097.78672032194</v>
      </c>
    </row>
    <row r="46" spans="1:11" x14ac:dyDescent="0.25">
      <c r="A46" s="49">
        <f>'A) Base RI'!A44</f>
        <v>5474</v>
      </c>
      <c r="B46" s="286" t="str">
        <f>'A) Base RI'!B44</f>
        <v>La Chaux (Cossonay)</v>
      </c>
      <c r="C46" s="10">
        <f>'A) Base RI'!V44</f>
        <v>398</v>
      </c>
      <c r="D46" s="10">
        <f t="shared" si="1"/>
        <v>398</v>
      </c>
      <c r="E46" s="404">
        <f t="shared" si="1"/>
        <v>0</v>
      </c>
      <c r="F46" s="10">
        <f t="shared" si="1"/>
        <v>0</v>
      </c>
      <c r="G46" s="404">
        <f t="shared" si="1"/>
        <v>0</v>
      </c>
      <c r="H46" s="41">
        <f t="shared" si="1"/>
        <v>0</v>
      </c>
      <c r="I46" s="10">
        <f t="shared" si="1"/>
        <v>0</v>
      </c>
      <c r="J46" s="10">
        <f t="shared" si="2"/>
        <v>0</v>
      </c>
      <c r="K46" s="112">
        <f t="shared" si="3"/>
        <v>49649.899396378263</v>
      </c>
    </row>
    <row r="47" spans="1:11" x14ac:dyDescent="0.25">
      <c r="A47" s="49">
        <f>'A) Base RI'!A45</f>
        <v>5475</v>
      </c>
      <c r="B47" s="286" t="str">
        <f>'A) Base RI'!B45</f>
        <v>Chavannes-le-Veyron</v>
      </c>
      <c r="C47" s="10">
        <f>'A) Base RI'!V45</f>
        <v>155</v>
      </c>
      <c r="D47" s="10">
        <f t="shared" si="1"/>
        <v>155</v>
      </c>
      <c r="E47" s="404">
        <f t="shared" si="1"/>
        <v>0</v>
      </c>
      <c r="F47" s="10">
        <f t="shared" si="1"/>
        <v>0</v>
      </c>
      <c r="G47" s="404">
        <f t="shared" si="1"/>
        <v>0</v>
      </c>
      <c r="H47" s="41">
        <f t="shared" si="1"/>
        <v>0</v>
      </c>
      <c r="I47" s="10">
        <f t="shared" si="1"/>
        <v>0</v>
      </c>
      <c r="J47" s="10">
        <f t="shared" si="2"/>
        <v>0</v>
      </c>
      <c r="K47" s="112">
        <f t="shared" si="3"/>
        <v>19336.016096579475</v>
      </c>
    </row>
    <row r="48" spans="1:11" x14ac:dyDescent="0.25">
      <c r="A48" s="49">
        <f>'A) Base RI'!A46</f>
        <v>5476</v>
      </c>
      <c r="B48" s="286" t="str">
        <f>'A) Base RI'!B46</f>
        <v>Chevilly</v>
      </c>
      <c r="C48" s="10">
        <f>'A) Base RI'!V46</f>
        <v>322</v>
      </c>
      <c r="D48" s="10">
        <f t="shared" si="1"/>
        <v>322</v>
      </c>
      <c r="E48" s="404">
        <f t="shared" si="1"/>
        <v>0</v>
      </c>
      <c r="F48" s="10">
        <f t="shared" si="1"/>
        <v>0</v>
      </c>
      <c r="G48" s="404">
        <f t="shared" si="1"/>
        <v>0</v>
      </c>
      <c r="H48" s="41">
        <f t="shared" si="1"/>
        <v>0</v>
      </c>
      <c r="I48" s="10">
        <f t="shared" si="1"/>
        <v>0</v>
      </c>
      <c r="J48" s="10">
        <f t="shared" si="2"/>
        <v>0</v>
      </c>
      <c r="K48" s="112">
        <f t="shared" si="3"/>
        <v>40169.014084507042</v>
      </c>
    </row>
    <row r="49" spans="1:11" x14ac:dyDescent="0.25">
      <c r="A49" s="49">
        <f>'A) Base RI'!A47</f>
        <v>5477</v>
      </c>
      <c r="B49" s="286" t="str">
        <f>'A) Base RI'!B47</f>
        <v>Cossonay</v>
      </c>
      <c r="C49" s="10">
        <f>'A) Base RI'!V47</f>
        <v>4326</v>
      </c>
      <c r="D49" s="10">
        <f t="shared" si="1"/>
        <v>1000</v>
      </c>
      <c r="E49" s="404">
        <f t="shared" si="1"/>
        <v>2000</v>
      </c>
      <c r="F49" s="10">
        <f t="shared" si="1"/>
        <v>1326</v>
      </c>
      <c r="G49" s="404">
        <f t="shared" si="1"/>
        <v>0</v>
      </c>
      <c r="H49" s="41">
        <f t="shared" si="1"/>
        <v>0</v>
      </c>
      <c r="I49" s="10">
        <f t="shared" si="1"/>
        <v>0</v>
      </c>
      <c r="J49" s="10">
        <f t="shared" si="2"/>
        <v>0</v>
      </c>
      <c r="K49" s="112">
        <f t="shared" si="3"/>
        <v>1485006.0362173035</v>
      </c>
    </row>
    <row r="50" spans="1:11" x14ac:dyDescent="0.25">
      <c r="A50" s="49">
        <f>'A) Base RI'!A48</f>
        <v>5478</v>
      </c>
      <c r="B50" s="286" t="str">
        <f>'A) Base RI'!B48</f>
        <v>Cottens</v>
      </c>
      <c r="C50" s="10">
        <f>'A) Base RI'!V48</f>
        <v>484</v>
      </c>
      <c r="D50" s="10">
        <f t="shared" si="1"/>
        <v>484</v>
      </c>
      <c r="E50" s="404">
        <f t="shared" si="1"/>
        <v>0</v>
      </c>
      <c r="F50" s="10">
        <f t="shared" si="1"/>
        <v>0</v>
      </c>
      <c r="G50" s="404">
        <f t="shared" si="1"/>
        <v>0</v>
      </c>
      <c r="H50" s="41">
        <f t="shared" si="1"/>
        <v>0</v>
      </c>
      <c r="I50" s="10">
        <f t="shared" si="1"/>
        <v>0</v>
      </c>
      <c r="J50" s="10">
        <f t="shared" si="2"/>
        <v>0</v>
      </c>
      <c r="K50" s="112">
        <f t="shared" si="3"/>
        <v>60378.269617706232</v>
      </c>
    </row>
    <row r="51" spans="1:11" x14ac:dyDescent="0.25">
      <c r="A51" s="49">
        <f>'A) Base RI'!A49</f>
        <v>5479</v>
      </c>
      <c r="B51" s="286" t="str">
        <f>'A) Base RI'!B49</f>
        <v>Cuarnens</v>
      </c>
      <c r="C51" s="10">
        <f>'A) Base RI'!V49</f>
        <v>531</v>
      </c>
      <c r="D51" s="10">
        <f t="shared" si="1"/>
        <v>531</v>
      </c>
      <c r="E51" s="404">
        <f t="shared" si="1"/>
        <v>0</v>
      </c>
      <c r="F51" s="10">
        <f t="shared" si="1"/>
        <v>0</v>
      </c>
      <c r="G51" s="404">
        <f t="shared" si="1"/>
        <v>0</v>
      </c>
      <c r="H51" s="41">
        <f t="shared" si="1"/>
        <v>0</v>
      </c>
      <c r="I51" s="10">
        <f t="shared" si="1"/>
        <v>0</v>
      </c>
      <c r="J51" s="10">
        <f t="shared" si="2"/>
        <v>0</v>
      </c>
      <c r="K51" s="112">
        <f t="shared" si="3"/>
        <v>66241.448692152917</v>
      </c>
    </row>
    <row r="52" spans="1:11" x14ac:dyDescent="0.25">
      <c r="A52" s="49">
        <f>'A) Base RI'!A50</f>
        <v>5480</v>
      </c>
      <c r="B52" s="286" t="str">
        <f>'A) Base RI'!B50</f>
        <v>Daillens</v>
      </c>
      <c r="C52" s="10">
        <f>'A) Base RI'!V50</f>
        <v>1051</v>
      </c>
      <c r="D52" s="10">
        <f t="shared" si="1"/>
        <v>1000</v>
      </c>
      <c r="E52" s="404">
        <f t="shared" si="1"/>
        <v>51</v>
      </c>
      <c r="F52" s="10">
        <f t="shared" si="1"/>
        <v>0</v>
      </c>
      <c r="G52" s="404">
        <f t="shared" si="1"/>
        <v>0</v>
      </c>
      <c r="H52" s="41">
        <f t="shared" si="1"/>
        <v>0</v>
      </c>
      <c r="I52" s="10">
        <f t="shared" si="1"/>
        <v>0</v>
      </c>
      <c r="J52" s="10">
        <f t="shared" si="2"/>
        <v>0</v>
      </c>
      <c r="K52" s="112">
        <f t="shared" si="3"/>
        <v>142562.57545271629</v>
      </c>
    </row>
    <row r="53" spans="1:11" x14ac:dyDescent="0.25">
      <c r="A53" s="49">
        <f>'A) Base RI'!A51</f>
        <v>5481</v>
      </c>
      <c r="B53" s="286" t="str">
        <f>'A) Base RI'!B51</f>
        <v>Dizy</v>
      </c>
      <c r="C53" s="10">
        <f>'A) Base RI'!V51</f>
        <v>225</v>
      </c>
      <c r="D53" s="10">
        <f t="shared" si="1"/>
        <v>225</v>
      </c>
      <c r="E53" s="404">
        <f t="shared" si="1"/>
        <v>0</v>
      </c>
      <c r="F53" s="10">
        <f t="shared" si="1"/>
        <v>0</v>
      </c>
      <c r="G53" s="404">
        <f t="shared" si="1"/>
        <v>0</v>
      </c>
      <c r="H53" s="41">
        <f t="shared" si="1"/>
        <v>0</v>
      </c>
      <c r="I53" s="10">
        <f t="shared" si="1"/>
        <v>0</v>
      </c>
      <c r="J53" s="10">
        <f t="shared" si="2"/>
        <v>0</v>
      </c>
      <c r="K53" s="112">
        <f t="shared" si="3"/>
        <v>28068.410462776657</v>
      </c>
    </row>
    <row r="54" spans="1:11" x14ac:dyDescent="0.25">
      <c r="A54" s="49">
        <f>'A) Base RI'!A52</f>
        <v>5482</v>
      </c>
      <c r="B54" s="286" t="str">
        <f>'A) Base RI'!B52</f>
        <v>Eclépens</v>
      </c>
      <c r="C54" s="10">
        <f>'A) Base RI'!V52</f>
        <v>1198</v>
      </c>
      <c r="D54" s="10">
        <f t="shared" si="1"/>
        <v>1000</v>
      </c>
      <c r="E54" s="404">
        <f t="shared" si="1"/>
        <v>198</v>
      </c>
      <c r="F54" s="10">
        <f t="shared" si="1"/>
        <v>0</v>
      </c>
      <c r="G54" s="404">
        <f t="shared" si="1"/>
        <v>0</v>
      </c>
      <c r="H54" s="41">
        <f t="shared" si="1"/>
        <v>0</v>
      </c>
      <c r="I54" s="10">
        <f t="shared" si="1"/>
        <v>0</v>
      </c>
      <c r="J54" s="10">
        <f t="shared" si="2"/>
        <v>0</v>
      </c>
      <c r="K54" s="112">
        <f t="shared" si="3"/>
        <v>193909.05432595575</v>
      </c>
    </row>
    <row r="55" spans="1:11" x14ac:dyDescent="0.25">
      <c r="A55" s="49">
        <f>'A) Base RI'!A53</f>
        <v>5483</v>
      </c>
      <c r="B55" s="286" t="str">
        <f>'A) Base RI'!B53</f>
        <v>Ferreyres</v>
      </c>
      <c r="C55" s="10">
        <f>'A) Base RI'!V53</f>
        <v>319</v>
      </c>
      <c r="D55" s="10">
        <f t="shared" si="1"/>
        <v>319</v>
      </c>
      <c r="E55" s="404">
        <f t="shared" si="1"/>
        <v>0</v>
      </c>
      <c r="F55" s="10">
        <f t="shared" si="1"/>
        <v>0</v>
      </c>
      <c r="G55" s="404">
        <f t="shared" si="1"/>
        <v>0</v>
      </c>
      <c r="H55" s="41">
        <f t="shared" si="1"/>
        <v>0</v>
      </c>
      <c r="I55" s="10">
        <f t="shared" si="1"/>
        <v>0</v>
      </c>
      <c r="J55" s="10">
        <f t="shared" si="2"/>
        <v>0</v>
      </c>
      <c r="K55" s="112">
        <f t="shared" si="3"/>
        <v>39794.768611670021</v>
      </c>
    </row>
    <row r="56" spans="1:11" x14ac:dyDescent="0.25">
      <c r="A56" s="49">
        <f>'A) Base RI'!A54</f>
        <v>5484</v>
      </c>
      <c r="B56" s="286" t="str">
        <f>'A) Base RI'!B54</f>
        <v>Gollion</v>
      </c>
      <c r="C56" s="10">
        <f>'A) Base RI'!V54</f>
        <v>1018</v>
      </c>
      <c r="D56" s="10">
        <f t="shared" si="1"/>
        <v>1000</v>
      </c>
      <c r="E56" s="404">
        <f t="shared" si="1"/>
        <v>18</v>
      </c>
      <c r="F56" s="10">
        <f t="shared" si="1"/>
        <v>0</v>
      </c>
      <c r="G56" s="404">
        <f t="shared" si="1"/>
        <v>0</v>
      </c>
      <c r="H56" s="41">
        <f t="shared" si="1"/>
        <v>0</v>
      </c>
      <c r="I56" s="10">
        <f t="shared" si="1"/>
        <v>0</v>
      </c>
      <c r="J56" s="10">
        <f t="shared" si="2"/>
        <v>0</v>
      </c>
      <c r="K56" s="112">
        <f t="shared" si="3"/>
        <v>131035.81488933602</v>
      </c>
    </row>
    <row r="57" spans="1:11" x14ac:dyDescent="0.25">
      <c r="A57" s="49">
        <f>'A) Base RI'!A55</f>
        <v>5485</v>
      </c>
      <c r="B57" s="286" t="str">
        <f>'A) Base RI'!B55</f>
        <v>Grancy</v>
      </c>
      <c r="C57" s="10">
        <f>'A) Base RI'!V55</f>
        <v>445</v>
      </c>
      <c r="D57" s="10">
        <f t="shared" si="1"/>
        <v>445</v>
      </c>
      <c r="E57" s="404">
        <f t="shared" si="1"/>
        <v>0</v>
      </c>
      <c r="F57" s="10">
        <f t="shared" si="1"/>
        <v>0</v>
      </c>
      <c r="G57" s="404">
        <f t="shared" si="1"/>
        <v>0</v>
      </c>
      <c r="H57" s="41">
        <f t="shared" si="1"/>
        <v>0</v>
      </c>
      <c r="I57" s="10">
        <f t="shared" si="1"/>
        <v>0</v>
      </c>
      <c r="J57" s="10">
        <f t="shared" si="2"/>
        <v>0</v>
      </c>
      <c r="K57" s="112">
        <f t="shared" si="3"/>
        <v>55513.078470824948</v>
      </c>
    </row>
    <row r="58" spans="1:11" x14ac:dyDescent="0.25">
      <c r="A58" s="49">
        <f>'A) Base RI'!A56</f>
        <v>5486</v>
      </c>
      <c r="B58" s="286" t="str">
        <f>'A) Base RI'!B56</f>
        <v>L'Isle</v>
      </c>
      <c r="C58" s="10">
        <f>'A) Base RI'!V56</f>
        <v>1079</v>
      </c>
      <c r="D58" s="10">
        <f t="shared" si="1"/>
        <v>1000</v>
      </c>
      <c r="E58" s="404">
        <f t="shared" si="1"/>
        <v>79</v>
      </c>
      <c r="F58" s="10">
        <f t="shared" si="1"/>
        <v>0</v>
      </c>
      <c r="G58" s="404">
        <f t="shared" si="1"/>
        <v>0</v>
      </c>
      <c r="H58" s="41">
        <f t="shared" si="1"/>
        <v>0</v>
      </c>
      <c r="I58" s="10">
        <f t="shared" si="1"/>
        <v>0</v>
      </c>
      <c r="J58" s="10">
        <f t="shared" si="2"/>
        <v>0</v>
      </c>
      <c r="K58" s="112">
        <f t="shared" si="3"/>
        <v>152342.85714285713</v>
      </c>
    </row>
    <row r="59" spans="1:11" x14ac:dyDescent="0.25">
      <c r="A59" s="49">
        <f>'A) Base RI'!A57</f>
        <v>5487</v>
      </c>
      <c r="B59" s="286" t="str">
        <f>'A) Base RI'!B57</f>
        <v>Lussery-Villars</v>
      </c>
      <c r="C59" s="10">
        <f>'A) Base RI'!V57</f>
        <v>475</v>
      </c>
      <c r="D59" s="10">
        <f t="shared" si="1"/>
        <v>475</v>
      </c>
      <c r="E59" s="404">
        <f t="shared" si="1"/>
        <v>0</v>
      </c>
      <c r="F59" s="10">
        <f t="shared" si="1"/>
        <v>0</v>
      </c>
      <c r="G59" s="404">
        <f t="shared" si="1"/>
        <v>0</v>
      </c>
      <c r="H59" s="41">
        <f t="shared" si="1"/>
        <v>0</v>
      </c>
      <c r="I59" s="10">
        <f t="shared" si="1"/>
        <v>0</v>
      </c>
      <c r="J59" s="10">
        <f t="shared" si="2"/>
        <v>0</v>
      </c>
      <c r="K59" s="112">
        <f t="shared" si="3"/>
        <v>59255.533199195168</v>
      </c>
    </row>
    <row r="60" spans="1:11" x14ac:dyDescent="0.25">
      <c r="A60" s="49">
        <f>'A) Base RI'!A58</f>
        <v>5488</v>
      </c>
      <c r="B60" s="286" t="str">
        <f>'A) Base RI'!B58</f>
        <v>Mauraz</v>
      </c>
      <c r="C60" s="10">
        <f>'A) Base RI'!V58</f>
        <v>60</v>
      </c>
      <c r="D60" s="10">
        <f t="shared" si="1"/>
        <v>60</v>
      </c>
      <c r="E60" s="404">
        <f t="shared" si="1"/>
        <v>0</v>
      </c>
      <c r="F60" s="10">
        <f t="shared" si="1"/>
        <v>0</v>
      </c>
      <c r="G60" s="404">
        <f t="shared" si="1"/>
        <v>0</v>
      </c>
      <c r="H60" s="41">
        <f t="shared" si="1"/>
        <v>0</v>
      </c>
      <c r="I60" s="10">
        <f t="shared" si="1"/>
        <v>0</v>
      </c>
      <c r="J60" s="10">
        <f t="shared" si="2"/>
        <v>0</v>
      </c>
      <c r="K60" s="112">
        <f t="shared" si="3"/>
        <v>7484.9094567404418</v>
      </c>
    </row>
    <row r="61" spans="1:11" x14ac:dyDescent="0.25">
      <c r="A61" s="49">
        <f>'A) Base RI'!A59</f>
        <v>5489</v>
      </c>
      <c r="B61" s="286" t="str">
        <f>'A) Base RI'!B59</f>
        <v>Mex</v>
      </c>
      <c r="C61" s="10">
        <f>'A) Base RI'!V59</f>
        <v>795</v>
      </c>
      <c r="D61" s="10">
        <f t="shared" si="1"/>
        <v>795</v>
      </c>
      <c r="E61" s="404">
        <f t="shared" si="1"/>
        <v>0</v>
      </c>
      <c r="F61" s="10">
        <f t="shared" si="1"/>
        <v>0</v>
      </c>
      <c r="G61" s="404">
        <f t="shared" si="1"/>
        <v>0</v>
      </c>
      <c r="H61" s="41">
        <f t="shared" si="1"/>
        <v>0</v>
      </c>
      <c r="I61" s="10">
        <f t="shared" si="1"/>
        <v>0</v>
      </c>
      <c r="J61" s="10">
        <f t="shared" si="2"/>
        <v>0</v>
      </c>
      <c r="K61" s="112">
        <f t="shared" si="3"/>
        <v>99175.050301810857</v>
      </c>
    </row>
    <row r="62" spans="1:11" x14ac:dyDescent="0.25">
      <c r="A62" s="49">
        <f>'A) Base RI'!A60</f>
        <v>5490</v>
      </c>
      <c r="B62" s="286" t="str">
        <f>'A) Base RI'!B60</f>
        <v>Moiry</v>
      </c>
      <c r="C62" s="10">
        <f>'A) Base RI'!V60</f>
        <v>301</v>
      </c>
      <c r="D62" s="10">
        <f t="shared" si="1"/>
        <v>301</v>
      </c>
      <c r="E62" s="404">
        <f t="shared" si="1"/>
        <v>0</v>
      </c>
      <c r="F62" s="10">
        <f t="shared" si="1"/>
        <v>0</v>
      </c>
      <c r="G62" s="404">
        <f t="shared" si="1"/>
        <v>0</v>
      </c>
      <c r="H62" s="41">
        <f t="shared" si="1"/>
        <v>0</v>
      </c>
      <c r="I62" s="10">
        <f t="shared" si="1"/>
        <v>0</v>
      </c>
      <c r="J62" s="10">
        <f t="shared" si="2"/>
        <v>0</v>
      </c>
      <c r="K62" s="112">
        <f t="shared" si="3"/>
        <v>37549.295774647886</v>
      </c>
    </row>
    <row r="63" spans="1:11" x14ac:dyDescent="0.25">
      <c r="A63" s="49">
        <f>'A) Base RI'!A61</f>
        <v>5491</v>
      </c>
      <c r="B63" s="286" t="str">
        <f>'A) Base RI'!B61</f>
        <v>Mont-la-Ville</v>
      </c>
      <c r="C63" s="10">
        <f>'A) Base RI'!V61</f>
        <v>508</v>
      </c>
      <c r="D63" s="10">
        <f t="shared" si="1"/>
        <v>508</v>
      </c>
      <c r="E63" s="404">
        <f t="shared" si="1"/>
        <v>0</v>
      </c>
      <c r="F63" s="10">
        <f t="shared" si="1"/>
        <v>0</v>
      </c>
      <c r="G63" s="404">
        <f t="shared" si="1"/>
        <v>0</v>
      </c>
      <c r="H63" s="41">
        <f t="shared" si="1"/>
        <v>0</v>
      </c>
      <c r="I63" s="10">
        <f t="shared" si="1"/>
        <v>0</v>
      </c>
      <c r="J63" s="10">
        <f t="shared" si="2"/>
        <v>0</v>
      </c>
      <c r="K63" s="112">
        <f t="shared" si="3"/>
        <v>63372.233400402409</v>
      </c>
    </row>
    <row r="64" spans="1:11" x14ac:dyDescent="0.25">
      <c r="A64" s="49">
        <f>'A) Base RI'!A62</f>
        <v>5492</v>
      </c>
      <c r="B64" s="286" t="str">
        <f>'A) Base RI'!B62</f>
        <v>Montricher</v>
      </c>
      <c r="C64" s="10">
        <f>'A) Base RI'!V62</f>
        <v>981</v>
      </c>
      <c r="D64" s="10">
        <f t="shared" si="1"/>
        <v>981</v>
      </c>
      <c r="E64" s="404">
        <f t="shared" si="1"/>
        <v>0</v>
      </c>
      <c r="F64" s="10">
        <f t="shared" si="1"/>
        <v>0</v>
      </c>
      <c r="G64" s="404">
        <f t="shared" si="1"/>
        <v>0</v>
      </c>
      <c r="H64" s="41">
        <f t="shared" si="1"/>
        <v>0</v>
      </c>
      <c r="I64" s="10">
        <f t="shared" si="1"/>
        <v>0</v>
      </c>
      <c r="J64" s="10">
        <f t="shared" si="2"/>
        <v>0</v>
      </c>
      <c r="K64" s="112">
        <f t="shared" si="3"/>
        <v>122378.26961770623</v>
      </c>
    </row>
    <row r="65" spans="1:11" x14ac:dyDescent="0.25">
      <c r="A65" s="49">
        <f>'A) Base RI'!A63</f>
        <v>5493</v>
      </c>
      <c r="B65" s="286" t="str">
        <f>'A) Base RI'!B63</f>
        <v>Orny</v>
      </c>
      <c r="C65" s="10">
        <f>'A) Base RI'!V63</f>
        <v>480</v>
      </c>
      <c r="D65" s="10">
        <f t="shared" ref="D65:I107" si="4">IF($C65&gt;D$5,IF($C65&lt;D$6,$C65-D$5,D$6-D$5),0)</f>
        <v>480</v>
      </c>
      <c r="E65" s="404">
        <f t="shared" si="4"/>
        <v>0</v>
      </c>
      <c r="F65" s="10">
        <f t="shared" si="4"/>
        <v>0</v>
      </c>
      <c r="G65" s="404">
        <f t="shared" si="4"/>
        <v>0</v>
      </c>
      <c r="H65" s="41">
        <f t="shared" si="4"/>
        <v>0</v>
      </c>
      <c r="I65" s="10">
        <f t="shared" si="4"/>
        <v>0</v>
      </c>
      <c r="J65" s="10">
        <f t="shared" si="2"/>
        <v>0</v>
      </c>
      <c r="K65" s="112">
        <f t="shared" si="3"/>
        <v>59879.275653923534</v>
      </c>
    </row>
    <row r="66" spans="1:11" x14ac:dyDescent="0.25">
      <c r="A66" s="49">
        <f>'A) Base RI'!A64</f>
        <v>5494</v>
      </c>
      <c r="B66" s="286" t="str">
        <f>'A) Base RI'!B64</f>
        <v>Pampigny</v>
      </c>
      <c r="C66" s="10">
        <f>'A) Base RI'!V64</f>
        <v>1185</v>
      </c>
      <c r="D66" s="10">
        <f t="shared" si="4"/>
        <v>1000</v>
      </c>
      <c r="E66" s="404">
        <f t="shared" si="4"/>
        <v>185</v>
      </c>
      <c r="F66" s="10">
        <f t="shared" si="4"/>
        <v>0</v>
      </c>
      <c r="G66" s="404">
        <f t="shared" si="4"/>
        <v>0</v>
      </c>
      <c r="H66" s="41">
        <f t="shared" si="4"/>
        <v>0</v>
      </c>
      <c r="I66" s="10">
        <f t="shared" si="4"/>
        <v>0</v>
      </c>
      <c r="J66" s="10">
        <f t="shared" si="2"/>
        <v>0</v>
      </c>
      <c r="K66" s="112">
        <f t="shared" si="3"/>
        <v>189368.20925553318</v>
      </c>
    </row>
    <row r="67" spans="1:11" x14ac:dyDescent="0.25">
      <c r="A67" s="49">
        <f>'A) Base RI'!A65</f>
        <v>5495</v>
      </c>
      <c r="B67" s="286" t="str">
        <f>'A) Base RI'!B65</f>
        <v>Penthalaz</v>
      </c>
      <c r="C67" s="10">
        <f>'A) Base RI'!V65</f>
        <v>3210</v>
      </c>
      <c r="D67" s="10">
        <f t="shared" si="4"/>
        <v>1000</v>
      </c>
      <c r="E67" s="404">
        <f t="shared" si="4"/>
        <v>2000</v>
      </c>
      <c r="F67" s="10">
        <f t="shared" si="4"/>
        <v>210</v>
      </c>
      <c r="G67" s="404">
        <f t="shared" si="4"/>
        <v>0</v>
      </c>
      <c r="H67" s="41">
        <f t="shared" si="4"/>
        <v>0</v>
      </c>
      <c r="I67" s="10">
        <f t="shared" si="4"/>
        <v>0</v>
      </c>
      <c r="J67" s="10">
        <f t="shared" si="2"/>
        <v>0</v>
      </c>
      <c r="K67" s="112">
        <f t="shared" si="3"/>
        <v>928128.77263581473</v>
      </c>
    </row>
    <row r="68" spans="1:11" x14ac:dyDescent="0.25">
      <c r="A68" s="49">
        <f>'A) Base RI'!A66</f>
        <v>5496</v>
      </c>
      <c r="B68" s="286" t="str">
        <f>'A) Base RI'!B66</f>
        <v>Penthaz</v>
      </c>
      <c r="C68" s="10">
        <f>'A) Base RI'!V66</f>
        <v>1890</v>
      </c>
      <c r="D68" s="10">
        <f t="shared" si="4"/>
        <v>1000</v>
      </c>
      <c r="E68" s="404">
        <f t="shared" si="4"/>
        <v>890</v>
      </c>
      <c r="F68" s="10">
        <f t="shared" si="4"/>
        <v>0</v>
      </c>
      <c r="G68" s="404">
        <f t="shared" si="4"/>
        <v>0</v>
      </c>
      <c r="H68" s="41">
        <f t="shared" si="4"/>
        <v>0</v>
      </c>
      <c r="I68" s="10">
        <f t="shared" si="4"/>
        <v>0</v>
      </c>
      <c r="J68" s="10">
        <f t="shared" si="2"/>
        <v>0</v>
      </c>
      <c r="K68" s="112">
        <f t="shared" si="3"/>
        <v>435621.7303822937</v>
      </c>
    </row>
    <row r="69" spans="1:11" x14ac:dyDescent="0.25">
      <c r="A69" s="49">
        <f>'A) Base RI'!A67</f>
        <v>5497</v>
      </c>
      <c r="B69" s="286" t="str">
        <f>'A) Base RI'!B67</f>
        <v>Pompaples</v>
      </c>
      <c r="C69" s="10">
        <f>'A) Base RI'!V67</f>
        <v>849</v>
      </c>
      <c r="D69" s="10">
        <f t="shared" si="4"/>
        <v>849</v>
      </c>
      <c r="E69" s="404">
        <f t="shared" si="4"/>
        <v>0</v>
      </c>
      <c r="F69" s="10">
        <f t="shared" si="4"/>
        <v>0</v>
      </c>
      <c r="G69" s="404">
        <f t="shared" si="4"/>
        <v>0</v>
      </c>
      <c r="H69" s="41">
        <f t="shared" si="4"/>
        <v>0</v>
      </c>
      <c r="I69" s="10">
        <f t="shared" si="4"/>
        <v>0</v>
      </c>
      <c r="J69" s="10">
        <f t="shared" si="2"/>
        <v>0</v>
      </c>
      <c r="K69" s="112">
        <f t="shared" si="3"/>
        <v>105911.46881287725</v>
      </c>
    </row>
    <row r="70" spans="1:11" x14ac:dyDescent="0.25">
      <c r="A70" s="49">
        <f>'A) Base RI'!A68</f>
        <v>5498</v>
      </c>
      <c r="B70" s="286" t="str">
        <f>'A) Base RI'!B68</f>
        <v>La Sarraz</v>
      </c>
      <c r="C70" s="10">
        <f>'A) Base RI'!V68</f>
        <v>2620</v>
      </c>
      <c r="D70" s="10">
        <f t="shared" si="4"/>
        <v>1000</v>
      </c>
      <c r="E70" s="404">
        <f t="shared" si="4"/>
        <v>1620</v>
      </c>
      <c r="F70" s="10">
        <f t="shared" si="4"/>
        <v>0</v>
      </c>
      <c r="G70" s="404">
        <f t="shared" si="4"/>
        <v>0</v>
      </c>
      <c r="H70" s="41">
        <f t="shared" si="4"/>
        <v>0</v>
      </c>
      <c r="I70" s="10">
        <f t="shared" si="4"/>
        <v>0</v>
      </c>
      <c r="J70" s="10">
        <f t="shared" si="2"/>
        <v>0</v>
      </c>
      <c r="K70" s="112">
        <f t="shared" si="3"/>
        <v>690607.64587525139</v>
      </c>
    </row>
    <row r="71" spans="1:11" x14ac:dyDescent="0.25">
      <c r="A71" s="49">
        <f>'A) Base RI'!A69</f>
        <v>5499</v>
      </c>
      <c r="B71" s="286" t="str">
        <f>'A) Base RI'!B69</f>
        <v>Senarclens</v>
      </c>
      <c r="C71" s="10">
        <f>'A) Base RI'!V69</f>
        <v>491</v>
      </c>
      <c r="D71" s="10">
        <f t="shared" si="4"/>
        <v>491</v>
      </c>
      <c r="E71" s="404">
        <f t="shared" si="4"/>
        <v>0</v>
      </c>
      <c r="F71" s="10">
        <f t="shared" si="4"/>
        <v>0</v>
      </c>
      <c r="G71" s="404">
        <f t="shared" si="4"/>
        <v>0</v>
      </c>
      <c r="H71" s="41">
        <f t="shared" si="4"/>
        <v>0</v>
      </c>
      <c r="I71" s="10">
        <f t="shared" si="4"/>
        <v>0</v>
      </c>
      <c r="J71" s="10">
        <f t="shared" si="2"/>
        <v>0</v>
      </c>
      <c r="K71" s="112">
        <f t="shared" si="3"/>
        <v>61251.50905432595</v>
      </c>
    </row>
    <row r="72" spans="1:11" x14ac:dyDescent="0.25">
      <c r="A72" s="49">
        <f>'A) Base RI'!A70</f>
        <v>5500</v>
      </c>
      <c r="B72" s="286" t="str">
        <f>'A) Base RI'!B70</f>
        <v>Sévery</v>
      </c>
      <c r="C72" s="10">
        <f>'A) Base RI'!V70</f>
        <v>220</v>
      </c>
      <c r="D72" s="10">
        <f t="shared" si="4"/>
        <v>220</v>
      </c>
      <c r="E72" s="404">
        <f t="shared" si="4"/>
        <v>0</v>
      </c>
      <c r="F72" s="10">
        <f t="shared" si="4"/>
        <v>0</v>
      </c>
      <c r="G72" s="404">
        <f t="shared" si="4"/>
        <v>0</v>
      </c>
      <c r="H72" s="41">
        <f t="shared" si="4"/>
        <v>0</v>
      </c>
      <c r="I72" s="10">
        <f t="shared" si="4"/>
        <v>0</v>
      </c>
      <c r="J72" s="10">
        <f t="shared" si="2"/>
        <v>0</v>
      </c>
      <c r="K72" s="112">
        <f t="shared" si="3"/>
        <v>27444.668008048287</v>
      </c>
    </row>
    <row r="73" spans="1:11" x14ac:dyDescent="0.25">
      <c r="A73" s="49">
        <f>'A) Base RI'!A71</f>
        <v>5501</v>
      </c>
      <c r="B73" s="286" t="str">
        <f>'A) Base RI'!B71</f>
        <v>Sullens</v>
      </c>
      <c r="C73" s="10">
        <f>'A) Base RI'!V71</f>
        <v>1143</v>
      </c>
      <c r="D73" s="10">
        <f t="shared" si="4"/>
        <v>1000</v>
      </c>
      <c r="E73" s="404">
        <f t="shared" si="4"/>
        <v>143</v>
      </c>
      <c r="F73" s="10">
        <f t="shared" si="4"/>
        <v>0</v>
      </c>
      <c r="G73" s="404">
        <f t="shared" si="4"/>
        <v>0</v>
      </c>
      <c r="H73" s="41">
        <f t="shared" si="4"/>
        <v>0</v>
      </c>
      <c r="I73" s="10">
        <f t="shared" si="4"/>
        <v>0</v>
      </c>
      <c r="J73" s="10">
        <f t="shared" si="2"/>
        <v>0</v>
      </c>
      <c r="K73" s="112">
        <f t="shared" si="3"/>
        <v>174697.78672032192</v>
      </c>
    </row>
    <row r="74" spans="1:11" x14ac:dyDescent="0.25">
      <c r="A74" s="49">
        <f>'A) Base RI'!A72</f>
        <v>5503</v>
      </c>
      <c r="B74" s="286" t="str">
        <f>'A) Base RI'!B72</f>
        <v>Vufflens-la-Ville</v>
      </c>
      <c r="C74" s="10">
        <f>'A) Base RI'!V72</f>
        <v>1346</v>
      </c>
      <c r="D74" s="10">
        <f t="shared" si="4"/>
        <v>1000</v>
      </c>
      <c r="E74" s="404">
        <f t="shared" si="4"/>
        <v>346</v>
      </c>
      <c r="F74" s="10">
        <f t="shared" si="4"/>
        <v>0</v>
      </c>
      <c r="G74" s="404">
        <f t="shared" si="4"/>
        <v>0</v>
      </c>
      <c r="H74" s="41">
        <f t="shared" si="4"/>
        <v>0</v>
      </c>
      <c r="I74" s="10">
        <f t="shared" si="4"/>
        <v>0</v>
      </c>
      <c r="J74" s="10">
        <f t="shared" ref="J74:J137" si="5">IF(C74&gt;$J$5,C74-$J$5,0)</f>
        <v>0</v>
      </c>
      <c r="K74" s="112">
        <f t="shared" ref="K74:K137" si="6">(D74*D$8)+(E74*E$8)+(F74*F$8)+(G74*G$8)+(H74*H$8)+(I74*I$8)+(J74*J$8)</f>
        <v>245604.82897384305</v>
      </c>
    </row>
    <row r="75" spans="1:11" x14ac:dyDescent="0.25">
      <c r="A75" s="49">
        <f>'A) Base RI'!A73</f>
        <v>5511</v>
      </c>
      <c r="B75" s="286" t="str">
        <f>'A) Base RI'!B73</f>
        <v>Assens</v>
      </c>
      <c r="C75" s="10">
        <f>'A) Base RI'!V73</f>
        <v>1151</v>
      </c>
      <c r="D75" s="10">
        <f t="shared" si="4"/>
        <v>1000</v>
      </c>
      <c r="E75" s="404">
        <f t="shared" si="4"/>
        <v>151</v>
      </c>
      <c r="F75" s="10">
        <f t="shared" si="4"/>
        <v>0</v>
      </c>
      <c r="G75" s="404">
        <f t="shared" si="4"/>
        <v>0</v>
      </c>
      <c r="H75" s="41">
        <f t="shared" si="4"/>
        <v>0</v>
      </c>
      <c r="I75" s="10">
        <f t="shared" si="4"/>
        <v>0</v>
      </c>
      <c r="J75" s="10">
        <f t="shared" si="5"/>
        <v>0</v>
      </c>
      <c r="K75" s="112">
        <f t="shared" si="6"/>
        <v>177492.15291750501</v>
      </c>
    </row>
    <row r="76" spans="1:11" x14ac:dyDescent="0.25">
      <c r="A76" s="49">
        <f>'A) Base RI'!A74</f>
        <v>5512</v>
      </c>
      <c r="B76" s="286" t="str">
        <f>'A) Base RI'!B74</f>
        <v>Bercher</v>
      </c>
      <c r="C76" s="10">
        <f>'A) Base RI'!V74</f>
        <v>1320</v>
      </c>
      <c r="D76" s="10">
        <f t="shared" si="4"/>
        <v>1000</v>
      </c>
      <c r="E76" s="404">
        <f t="shared" si="4"/>
        <v>320</v>
      </c>
      <c r="F76" s="10">
        <f t="shared" si="4"/>
        <v>0</v>
      </c>
      <c r="G76" s="404">
        <f t="shared" si="4"/>
        <v>0</v>
      </c>
      <c r="H76" s="41">
        <f t="shared" si="4"/>
        <v>0</v>
      </c>
      <c r="I76" s="10">
        <f t="shared" si="4"/>
        <v>0</v>
      </c>
      <c r="J76" s="10">
        <f t="shared" si="5"/>
        <v>0</v>
      </c>
      <c r="K76" s="112">
        <f t="shared" si="6"/>
        <v>236523.138832998</v>
      </c>
    </row>
    <row r="77" spans="1:11" x14ac:dyDescent="0.25">
      <c r="A77" s="49">
        <f>'A) Base RI'!A75</f>
        <v>5513</v>
      </c>
      <c r="B77" s="286" t="str">
        <f>'A) Base RI'!B75</f>
        <v>Bioley-Orjulaz</v>
      </c>
      <c r="C77" s="10">
        <f>'A) Base RI'!V75</f>
        <v>518</v>
      </c>
      <c r="D77" s="10">
        <f t="shared" si="4"/>
        <v>518</v>
      </c>
      <c r="E77" s="404">
        <f t="shared" si="4"/>
        <v>0</v>
      </c>
      <c r="F77" s="10">
        <f t="shared" si="4"/>
        <v>0</v>
      </c>
      <c r="G77" s="404">
        <f t="shared" si="4"/>
        <v>0</v>
      </c>
      <c r="H77" s="41">
        <f t="shared" si="4"/>
        <v>0</v>
      </c>
      <c r="I77" s="10">
        <f t="shared" si="4"/>
        <v>0</v>
      </c>
      <c r="J77" s="10">
        <f t="shared" si="5"/>
        <v>0</v>
      </c>
      <c r="K77" s="112">
        <f t="shared" si="6"/>
        <v>64619.718309859149</v>
      </c>
    </row>
    <row r="78" spans="1:11" x14ac:dyDescent="0.25">
      <c r="A78" s="49">
        <f>'A) Base RI'!A76</f>
        <v>5514</v>
      </c>
      <c r="B78" s="286" t="str">
        <f>'A) Base RI'!B76</f>
        <v>Bottens</v>
      </c>
      <c r="C78" s="10">
        <f>'A) Base RI'!V76</f>
        <v>1357</v>
      </c>
      <c r="D78" s="10">
        <f t="shared" si="4"/>
        <v>1000</v>
      </c>
      <c r="E78" s="404">
        <f t="shared" si="4"/>
        <v>357</v>
      </c>
      <c r="F78" s="10">
        <f t="shared" si="4"/>
        <v>0</v>
      </c>
      <c r="G78" s="404">
        <f t="shared" si="4"/>
        <v>0</v>
      </c>
      <c r="H78" s="41">
        <f t="shared" si="4"/>
        <v>0</v>
      </c>
      <c r="I78" s="10">
        <f t="shared" si="4"/>
        <v>0</v>
      </c>
      <c r="J78" s="10">
        <f t="shared" si="5"/>
        <v>0</v>
      </c>
      <c r="K78" s="112">
        <f t="shared" si="6"/>
        <v>249447.08249496983</v>
      </c>
    </row>
    <row r="79" spans="1:11" x14ac:dyDescent="0.25">
      <c r="A79" s="49">
        <f>'A) Base RI'!A77</f>
        <v>5515</v>
      </c>
      <c r="B79" s="286" t="str">
        <f>'A) Base RI'!B77</f>
        <v>Bretigny-sur-Morrens</v>
      </c>
      <c r="C79" s="10">
        <f>'A) Base RI'!V77</f>
        <v>882</v>
      </c>
      <c r="D79" s="10">
        <f t="shared" si="4"/>
        <v>882</v>
      </c>
      <c r="E79" s="404">
        <f t="shared" si="4"/>
        <v>0</v>
      </c>
      <c r="F79" s="10">
        <f t="shared" si="4"/>
        <v>0</v>
      </c>
      <c r="G79" s="404">
        <f t="shared" si="4"/>
        <v>0</v>
      </c>
      <c r="H79" s="41">
        <f t="shared" si="4"/>
        <v>0</v>
      </c>
      <c r="I79" s="10">
        <f t="shared" si="4"/>
        <v>0</v>
      </c>
      <c r="J79" s="10">
        <f t="shared" si="5"/>
        <v>0</v>
      </c>
      <c r="K79" s="112">
        <f t="shared" si="6"/>
        <v>110028.1690140845</v>
      </c>
    </row>
    <row r="80" spans="1:11" x14ac:dyDescent="0.25">
      <c r="A80" s="49">
        <f>'A) Base RI'!A78</f>
        <v>5516</v>
      </c>
      <c r="B80" s="286" t="str">
        <f>'A) Base RI'!B78</f>
        <v>Cugy</v>
      </c>
      <c r="C80" s="10">
        <f>'A) Base RI'!V78</f>
        <v>2733</v>
      </c>
      <c r="D80" s="10">
        <f t="shared" si="4"/>
        <v>1000</v>
      </c>
      <c r="E80" s="404">
        <f t="shared" si="4"/>
        <v>1733</v>
      </c>
      <c r="F80" s="10">
        <f t="shared" si="4"/>
        <v>0</v>
      </c>
      <c r="G80" s="404">
        <f t="shared" si="4"/>
        <v>0</v>
      </c>
      <c r="H80" s="41">
        <f t="shared" si="4"/>
        <v>0</v>
      </c>
      <c r="I80" s="10">
        <f t="shared" si="4"/>
        <v>0</v>
      </c>
      <c r="J80" s="10">
        <f t="shared" si="5"/>
        <v>0</v>
      </c>
      <c r="K80" s="112">
        <f t="shared" si="6"/>
        <v>730078.0684104627</v>
      </c>
    </row>
    <row r="81" spans="1:11" x14ac:dyDescent="0.25">
      <c r="A81" s="49">
        <f>'A) Base RI'!A79</f>
        <v>5518</v>
      </c>
      <c r="B81" s="286" t="str">
        <f>'A) Base RI'!B79</f>
        <v>Echallens</v>
      </c>
      <c r="C81" s="10">
        <f>'A) Base RI'!V79</f>
        <v>5739</v>
      </c>
      <c r="D81" s="10">
        <f t="shared" si="4"/>
        <v>1000</v>
      </c>
      <c r="E81" s="404">
        <f t="shared" si="4"/>
        <v>2000</v>
      </c>
      <c r="F81" s="10">
        <f t="shared" si="4"/>
        <v>2000</v>
      </c>
      <c r="G81" s="404">
        <f t="shared" si="4"/>
        <v>739</v>
      </c>
      <c r="H81" s="41">
        <f t="shared" si="4"/>
        <v>0</v>
      </c>
      <c r="I81" s="10">
        <f t="shared" si="4"/>
        <v>0</v>
      </c>
      <c r="J81" s="10">
        <f t="shared" si="5"/>
        <v>0</v>
      </c>
      <c r="K81" s="112">
        <f t="shared" si="6"/>
        <v>2263835.8148893355</v>
      </c>
    </row>
    <row r="82" spans="1:11" x14ac:dyDescent="0.25">
      <c r="A82" s="49">
        <f>'A) Base RI'!A80</f>
        <v>5520</v>
      </c>
      <c r="B82" s="286" t="str">
        <f>'A) Base RI'!B80</f>
        <v>Essertines-sur-Yverdon</v>
      </c>
      <c r="C82" s="10">
        <f>'A) Base RI'!V80</f>
        <v>1059</v>
      </c>
      <c r="D82" s="10">
        <f t="shared" si="4"/>
        <v>1000</v>
      </c>
      <c r="E82" s="404">
        <f t="shared" si="4"/>
        <v>59</v>
      </c>
      <c r="F82" s="10">
        <f t="shared" si="4"/>
        <v>0</v>
      </c>
      <c r="G82" s="404">
        <f t="shared" si="4"/>
        <v>0</v>
      </c>
      <c r="H82" s="41">
        <f t="shared" si="4"/>
        <v>0</v>
      </c>
      <c r="I82" s="10">
        <f t="shared" si="4"/>
        <v>0</v>
      </c>
      <c r="J82" s="10">
        <f t="shared" si="5"/>
        <v>0</v>
      </c>
      <c r="K82" s="112">
        <f t="shared" si="6"/>
        <v>145356.94164989938</v>
      </c>
    </row>
    <row r="83" spans="1:11" x14ac:dyDescent="0.25">
      <c r="A83" s="49">
        <f>'A) Base RI'!A81</f>
        <v>5521</v>
      </c>
      <c r="B83" s="286" t="str">
        <f>'A) Base RI'!B81</f>
        <v>Etagnières</v>
      </c>
      <c r="C83" s="10">
        <f>'A) Base RI'!V81</f>
        <v>1148</v>
      </c>
      <c r="D83" s="10">
        <f t="shared" si="4"/>
        <v>1000</v>
      </c>
      <c r="E83" s="404">
        <f t="shared" si="4"/>
        <v>148</v>
      </c>
      <c r="F83" s="10">
        <f t="shared" si="4"/>
        <v>0</v>
      </c>
      <c r="G83" s="404">
        <f t="shared" si="4"/>
        <v>0</v>
      </c>
      <c r="H83" s="41">
        <f t="shared" si="4"/>
        <v>0</v>
      </c>
      <c r="I83" s="10">
        <f t="shared" si="4"/>
        <v>0</v>
      </c>
      <c r="J83" s="10">
        <f t="shared" si="5"/>
        <v>0</v>
      </c>
      <c r="K83" s="112">
        <f t="shared" si="6"/>
        <v>176444.26559356137</v>
      </c>
    </row>
    <row r="84" spans="1:11" x14ac:dyDescent="0.25">
      <c r="A84" s="49">
        <f>'A) Base RI'!A82</f>
        <v>5522</v>
      </c>
      <c r="B84" s="286" t="str">
        <f>'A) Base RI'!B82</f>
        <v>Fey</v>
      </c>
      <c r="C84" s="10">
        <f>'A) Base RI'!V82</f>
        <v>754</v>
      </c>
      <c r="D84" s="10">
        <f t="shared" si="4"/>
        <v>754</v>
      </c>
      <c r="E84" s="404">
        <f t="shared" si="4"/>
        <v>0</v>
      </c>
      <c r="F84" s="10">
        <f t="shared" si="4"/>
        <v>0</v>
      </c>
      <c r="G84" s="404">
        <f t="shared" si="4"/>
        <v>0</v>
      </c>
      <c r="H84" s="41">
        <f t="shared" si="4"/>
        <v>0</v>
      </c>
      <c r="I84" s="10">
        <f t="shared" si="4"/>
        <v>0</v>
      </c>
      <c r="J84" s="10">
        <f t="shared" si="5"/>
        <v>0</v>
      </c>
      <c r="K84" s="112">
        <f t="shared" si="6"/>
        <v>94060.362173038229</v>
      </c>
    </row>
    <row r="85" spans="1:11" x14ac:dyDescent="0.25">
      <c r="A85" s="49">
        <f>'A) Base RI'!A83</f>
        <v>5523</v>
      </c>
      <c r="B85" s="286" t="str">
        <f>'A) Base RI'!B83</f>
        <v>Froideville</v>
      </c>
      <c r="C85" s="10">
        <f>'A) Base RI'!V83</f>
        <v>2673</v>
      </c>
      <c r="D85" s="10">
        <f t="shared" si="4"/>
        <v>1000</v>
      </c>
      <c r="E85" s="404">
        <f t="shared" si="4"/>
        <v>1673</v>
      </c>
      <c r="F85" s="10">
        <f t="shared" si="4"/>
        <v>0</v>
      </c>
      <c r="G85" s="404">
        <f t="shared" si="4"/>
        <v>0</v>
      </c>
      <c r="H85" s="41">
        <f t="shared" si="4"/>
        <v>0</v>
      </c>
      <c r="I85" s="10">
        <f t="shared" si="4"/>
        <v>0</v>
      </c>
      <c r="J85" s="10">
        <f t="shared" si="5"/>
        <v>0</v>
      </c>
      <c r="K85" s="112">
        <f t="shared" si="6"/>
        <v>709120.32193158951</v>
      </c>
    </row>
    <row r="86" spans="1:11" x14ac:dyDescent="0.25">
      <c r="A86" s="49">
        <f>'A) Base RI'!A84</f>
        <v>5527</v>
      </c>
      <c r="B86" s="286" t="str">
        <f>'A) Base RI'!B84</f>
        <v>Morrens</v>
      </c>
      <c r="C86" s="10">
        <f>'A) Base RI'!V84</f>
        <v>1156</v>
      </c>
      <c r="D86" s="10">
        <f t="shared" si="4"/>
        <v>1000</v>
      </c>
      <c r="E86" s="404">
        <f t="shared" si="4"/>
        <v>156</v>
      </c>
      <c r="F86" s="10">
        <f t="shared" si="4"/>
        <v>0</v>
      </c>
      <c r="G86" s="404">
        <f t="shared" si="4"/>
        <v>0</v>
      </c>
      <c r="H86" s="41">
        <f t="shared" si="4"/>
        <v>0</v>
      </c>
      <c r="I86" s="10">
        <f t="shared" si="4"/>
        <v>0</v>
      </c>
      <c r="J86" s="10">
        <f t="shared" si="5"/>
        <v>0</v>
      </c>
      <c r="K86" s="112">
        <f t="shared" si="6"/>
        <v>179238.63179074446</v>
      </c>
    </row>
    <row r="87" spans="1:11" x14ac:dyDescent="0.25">
      <c r="A87" s="49">
        <f>'A) Base RI'!A85</f>
        <v>5529</v>
      </c>
      <c r="B87" s="286" t="str">
        <f>'A) Base RI'!B85</f>
        <v>Oulens-sous-Echallens</v>
      </c>
      <c r="C87" s="10">
        <f>'A) Base RI'!V85</f>
        <v>619</v>
      </c>
      <c r="D87" s="10">
        <f t="shared" si="4"/>
        <v>619</v>
      </c>
      <c r="E87" s="404">
        <f t="shared" si="4"/>
        <v>0</v>
      </c>
      <c r="F87" s="10">
        <f t="shared" si="4"/>
        <v>0</v>
      </c>
      <c r="G87" s="404">
        <f t="shared" si="4"/>
        <v>0</v>
      </c>
      <c r="H87" s="41">
        <f t="shared" si="4"/>
        <v>0</v>
      </c>
      <c r="I87" s="10">
        <f t="shared" si="4"/>
        <v>0</v>
      </c>
      <c r="J87" s="10">
        <f t="shared" si="5"/>
        <v>0</v>
      </c>
      <c r="K87" s="112">
        <f t="shared" si="6"/>
        <v>77219.31589537223</v>
      </c>
    </row>
    <row r="88" spans="1:11" x14ac:dyDescent="0.25">
      <c r="A88" s="49">
        <f>'A) Base RI'!A86</f>
        <v>5530</v>
      </c>
      <c r="B88" s="286" t="str">
        <f>'A) Base RI'!B86</f>
        <v>Pailly</v>
      </c>
      <c r="C88" s="10">
        <f>'A) Base RI'!V86</f>
        <v>575</v>
      </c>
      <c r="D88" s="10">
        <f t="shared" si="4"/>
        <v>575</v>
      </c>
      <c r="E88" s="404">
        <f t="shared" si="4"/>
        <v>0</v>
      </c>
      <c r="F88" s="10">
        <f t="shared" si="4"/>
        <v>0</v>
      </c>
      <c r="G88" s="404">
        <f t="shared" si="4"/>
        <v>0</v>
      </c>
      <c r="H88" s="41">
        <f t="shared" si="4"/>
        <v>0</v>
      </c>
      <c r="I88" s="10">
        <f t="shared" si="4"/>
        <v>0</v>
      </c>
      <c r="J88" s="10">
        <f t="shared" si="5"/>
        <v>0</v>
      </c>
      <c r="K88" s="112">
        <f t="shared" si="6"/>
        <v>71730.382293762566</v>
      </c>
    </row>
    <row r="89" spans="1:11" x14ac:dyDescent="0.25">
      <c r="A89" s="49">
        <f>'A) Base RI'!A87</f>
        <v>5531</v>
      </c>
      <c r="B89" s="286" t="str">
        <f>'A) Base RI'!B87</f>
        <v>Penthéréaz</v>
      </c>
      <c r="C89" s="10">
        <f>'A) Base RI'!V87</f>
        <v>417</v>
      </c>
      <c r="D89" s="10">
        <f t="shared" si="4"/>
        <v>417</v>
      </c>
      <c r="E89" s="404">
        <f t="shared" si="4"/>
        <v>0</v>
      </c>
      <c r="F89" s="10">
        <f t="shared" si="4"/>
        <v>0</v>
      </c>
      <c r="G89" s="404">
        <f t="shared" si="4"/>
        <v>0</v>
      </c>
      <c r="H89" s="41">
        <f t="shared" si="4"/>
        <v>0</v>
      </c>
      <c r="I89" s="10">
        <f t="shared" si="4"/>
        <v>0</v>
      </c>
      <c r="J89" s="10">
        <f t="shared" si="5"/>
        <v>0</v>
      </c>
      <c r="K89" s="112">
        <f t="shared" si="6"/>
        <v>52020.120724346074</v>
      </c>
    </row>
    <row r="90" spans="1:11" x14ac:dyDescent="0.25">
      <c r="A90" s="49">
        <f>'A) Base RI'!A88</f>
        <v>5533</v>
      </c>
      <c r="B90" s="286" t="str">
        <f>'A) Base RI'!B88</f>
        <v>Poliez-Pittet</v>
      </c>
      <c r="C90" s="10">
        <f>'A) Base RI'!V88</f>
        <v>833</v>
      </c>
      <c r="D90" s="10">
        <f t="shared" si="4"/>
        <v>833</v>
      </c>
      <c r="E90" s="404">
        <f t="shared" si="4"/>
        <v>0</v>
      </c>
      <c r="F90" s="10">
        <f t="shared" si="4"/>
        <v>0</v>
      </c>
      <c r="G90" s="404">
        <f t="shared" si="4"/>
        <v>0</v>
      </c>
      <c r="H90" s="41">
        <f t="shared" si="4"/>
        <v>0</v>
      </c>
      <c r="I90" s="10">
        <f t="shared" si="4"/>
        <v>0</v>
      </c>
      <c r="J90" s="10">
        <f t="shared" si="5"/>
        <v>0</v>
      </c>
      <c r="K90" s="112">
        <f t="shared" si="6"/>
        <v>103915.49295774646</v>
      </c>
    </row>
    <row r="91" spans="1:11" x14ac:dyDescent="0.25">
      <c r="A91" s="49">
        <f>'A) Base RI'!A89</f>
        <v>5534</v>
      </c>
      <c r="B91" s="286" t="str">
        <f>'A) Base RI'!B89</f>
        <v>Rueyres</v>
      </c>
      <c r="C91" s="10">
        <f>'A) Base RI'!V89</f>
        <v>304</v>
      </c>
      <c r="D91" s="10">
        <f t="shared" si="4"/>
        <v>304</v>
      </c>
      <c r="E91" s="404">
        <f t="shared" si="4"/>
        <v>0</v>
      </c>
      <c r="F91" s="10">
        <f t="shared" si="4"/>
        <v>0</v>
      </c>
      <c r="G91" s="404">
        <f t="shared" si="4"/>
        <v>0</v>
      </c>
      <c r="H91" s="41">
        <f t="shared" si="4"/>
        <v>0</v>
      </c>
      <c r="I91" s="10">
        <f t="shared" si="4"/>
        <v>0</v>
      </c>
      <c r="J91" s="10">
        <f t="shared" si="5"/>
        <v>0</v>
      </c>
      <c r="K91" s="112">
        <f t="shared" si="6"/>
        <v>37923.541247484907</v>
      </c>
    </row>
    <row r="92" spans="1:11" x14ac:dyDescent="0.25">
      <c r="A92" s="49">
        <f>'A) Base RI'!A90</f>
        <v>5535</v>
      </c>
      <c r="B92" s="286" t="str">
        <f>'A) Base RI'!B90</f>
        <v>Saint-Barthélemy</v>
      </c>
      <c r="C92" s="10">
        <f>'A) Base RI'!V90</f>
        <v>809</v>
      </c>
      <c r="D92" s="10">
        <f t="shared" si="4"/>
        <v>809</v>
      </c>
      <c r="E92" s="404">
        <f t="shared" si="4"/>
        <v>0</v>
      </c>
      <c r="F92" s="10">
        <f t="shared" si="4"/>
        <v>0</v>
      </c>
      <c r="G92" s="404">
        <f t="shared" si="4"/>
        <v>0</v>
      </c>
      <c r="H92" s="41">
        <f t="shared" si="4"/>
        <v>0</v>
      </c>
      <c r="I92" s="10">
        <f t="shared" si="4"/>
        <v>0</v>
      </c>
      <c r="J92" s="10">
        <f t="shared" si="5"/>
        <v>0</v>
      </c>
      <c r="K92" s="112">
        <f t="shared" si="6"/>
        <v>100921.52917505029</v>
      </c>
    </row>
    <row r="93" spans="1:11" x14ac:dyDescent="0.25">
      <c r="A93" s="49">
        <f>'A) Base RI'!A91</f>
        <v>5537</v>
      </c>
      <c r="B93" s="286" t="str">
        <f>'A) Base RI'!B91</f>
        <v>Villars-le-Terroir</v>
      </c>
      <c r="C93" s="10">
        <f>'A) Base RI'!V91</f>
        <v>1316</v>
      </c>
      <c r="D93" s="10">
        <f t="shared" si="4"/>
        <v>1000</v>
      </c>
      <c r="E93" s="404">
        <f t="shared" si="4"/>
        <v>316</v>
      </c>
      <c r="F93" s="10">
        <f t="shared" si="4"/>
        <v>0</v>
      </c>
      <c r="G93" s="404">
        <f t="shared" si="4"/>
        <v>0</v>
      </c>
      <c r="H93" s="41">
        <f t="shared" si="4"/>
        <v>0</v>
      </c>
      <c r="I93" s="10">
        <f t="shared" si="4"/>
        <v>0</v>
      </c>
      <c r="J93" s="10">
        <f t="shared" si="5"/>
        <v>0</v>
      </c>
      <c r="K93" s="112">
        <f t="shared" si="6"/>
        <v>235125.95573440642</v>
      </c>
    </row>
    <row r="94" spans="1:11" x14ac:dyDescent="0.25">
      <c r="A94" s="49">
        <f>'A) Base RI'!A92</f>
        <v>5539</v>
      </c>
      <c r="B94" s="286" t="str">
        <f>'A) Base RI'!B92</f>
        <v>Vuarrens</v>
      </c>
      <c r="C94" s="10">
        <f>'A) Base RI'!V92</f>
        <v>1097</v>
      </c>
      <c r="D94" s="10">
        <f t="shared" si="4"/>
        <v>1000</v>
      </c>
      <c r="E94" s="404">
        <f t="shared" si="4"/>
        <v>97</v>
      </c>
      <c r="F94" s="10">
        <f t="shared" si="4"/>
        <v>0</v>
      </c>
      <c r="G94" s="404">
        <f t="shared" si="4"/>
        <v>0</v>
      </c>
      <c r="H94" s="41">
        <f t="shared" si="4"/>
        <v>0</v>
      </c>
      <c r="I94" s="10">
        <f t="shared" si="4"/>
        <v>0</v>
      </c>
      <c r="J94" s="10">
        <f t="shared" si="5"/>
        <v>0</v>
      </c>
      <c r="K94" s="112">
        <f t="shared" si="6"/>
        <v>158630.18108651909</v>
      </c>
    </row>
    <row r="95" spans="1:11" x14ac:dyDescent="0.25">
      <c r="A95" s="49">
        <f>'A) Base RI'!A93</f>
        <v>5540</v>
      </c>
      <c r="B95" s="286" t="str">
        <f>'A) Base RI'!B93</f>
        <v>Montilliez</v>
      </c>
      <c r="C95" s="10">
        <f>'A) Base RI'!V93</f>
        <v>1883</v>
      </c>
      <c r="D95" s="10">
        <f t="shared" si="4"/>
        <v>1000</v>
      </c>
      <c r="E95" s="404">
        <f t="shared" si="4"/>
        <v>883</v>
      </c>
      <c r="F95" s="10">
        <f t="shared" si="4"/>
        <v>0</v>
      </c>
      <c r="G95" s="404">
        <f t="shared" si="4"/>
        <v>0</v>
      </c>
      <c r="H95" s="41">
        <f t="shared" si="4"/>
        <v>0</v>
      </c>
      <c r="I95" s="10">
        <f t="shared" si="4"/>
        <v>0</v>
      </c>
      <c r="J95" s="10">
        <f t="shared" si="5"/>
        <v>0</v>
      </c>
      <c r="K95" s="112">
        <f t="shared" si="6"/>
        <v>433176.65995975852</v>
      </c>
    </row>
    <row r="96" spans="1:11" x14ac:dyDescent="0.25">
      <c r="A96" s="49">
        <f>'A) Base RI'!A94</f>
        <v>5541</v>
      </c>
      <c r="B96" s="286" t="str">
        <f>'A) Base RI'!B94</f>
        <v>Goumoëns</v>
      </c>
      <c r="C96" s="10">
        <f>'A) Base RI'!V94</f>
        <v>1166</v>
      </c>
      <c r="D96" s="10">
        <f t="shared" si="4"/>
        <v>1000</v>
      </c>
      <c r="E96" s="404">
        <f t="shared" si="4"/>
        <v>166</v>
      </c>
      <c r="F96" s="10">
        <f t="shared" si="4"/>
        <v>0</v>
      </c>
      <c r="G96" s="404">
        <f t="shared" si="4"/>
        <v>0</v>
      </c>
      <c r="H96" s="41">
        <f t="shared" si="4"/>
        <v>0</v>
      </c>
      <c r="I96" s="10">
        <f t="shared" si="4"/>
        <v>0</v>
      </c>
      <c r="J96" s="10">
        <f t="shared" si="5"/>
        <v>0</v>
      </c>
      <c r="K96" s="112">
        <f t="shared" si="6"/>
        <v>182731.58953722334</v>
      </c>
    </row>
    <row r="97" spans="1:11" x14ac:dyDescent="0.25">
      <c r="A97" s="49">
        <f>'A) Base RI'!A95</f>
        <v>5551</v>
      </c>
      <c r="B97" s="286" t="str">
        <f>'A) Base RI'!B95</f>
        <v>Bonvillars</v>
      </c>
      <c r="C97" s="10">
        <f>'A) Base RI'!V95</f>
        <v>481</v>
      </c>
      <c r="D97" s="10">
        <f t="shared" si="4"/>
        <v>481</v>
      </c>
      <c r="E97" s="404">
        <f t="shared" si="4"/>
        <v>0</v>
      </c>
      <c r="F97" s="10">
        <f t="shared" si="4"/>
        <v>0</v>
      </c>
      <c r="G97" s="404">
        <f t="shared" si="4"/>
        <v>0</v>
      </c>
      <c r="H97" s="41">
        <f t="shared" si="4"/>
        <v>0</v>
      </c>
      <c r="I97" s="10">
        <f t="shared" si="4"/>
        <v>0</v>
      </c>
      <c r="J97" s="10">
        <f t="shared" si="5"/>
        <v>0</v>
      </c>
      <c r="K97" s="112">
        <f t="shared" si="6"/>
        <v>60004.02414486921</v>
      </c>
    </row>
    <row r="98" spans="1:11" x14ac:dyDescent="0.25">
      <c r="A98" s="49">
        <f>'A) Base RI'!A96</f>
        <v>5552</v>
      </c>
      <c r="B98" s="286" t="str">
        <f>'A) Base RI'!B96</f>
        <v>Bullet</v>
      </c>
      <c r="C98" s="10">
        <f>'A) Base RI'!V96</f>
        <v>657</v>
      </c>
      <c r="D98" s="10">
        <f t="shared" si="4"/>
        <v>657</v>
      </c>
      <c r="E98" s="404">
        <f t="shared" si="4"/>
        <v>0</v>
      </c>
      <c r="F98" s="10">
        <f t="shared" si="4"/>
        <v>0</v>
      </c>
      <c r="G98" s="404">
        <f t="shared" si="4"/>
        <v>0</v>
      </c>
      <c r="H98" s="41">
        <f t="shared" si="4"/>
        <v>0</v>
      </c>
      <c r="I98" s="10">
        <f t="shared" si="4"/>
        <v>0</v>
      </c>
      <c r="J98" s="10">
        <f t="shared" si="5"/>
        <v>0</v>
      </c>
      <c r="K98" s="112">
        <f t="shared" si="6"/>
        <v>81959.758551307837</v>
      </c>
    </row>
    <row r="99" spans="1:11" x14ac:dyDescent="0.25">
      <c r="A99" s="49">
        <f>'A) Base RI'!A97</f>
        <v>5553</v>
      </c>
      <c r="B99" s="286" t="str">
        <f>'A) Base RI'!B97</f>
        <v>Champagne</v>
      </c>
      <c r="C99" s="10">
        <f>'A) Base RI'!V97</f>
        <v>1085</v>
      </c>
      <c r="D99" s="10">
        <f t="shared" si="4"/>
        <v>1000</v>
      </c>
      <c r="E99" s="404">
        <f t="shared" si="4"/>
        <v>85</v>
      </c>
      <c r="F99" s="10">
        <f t="shared" si="4"/>
        <v>0</v>
      </c>
      <c r="G99" s="404">
        <f t="shared" si="4"/>
        <v>0</v>
      </c>
      <c r="H99" s="41">
        <f t="shared" si="4"/>
        <v>0</v>
      </c>
      <c r="I99" s="10">
        <f t="shared" si="4"/>
        <v>0</v>
      </c>
      <c r="J99" s="10">
        <f t="shared" si="5"/>
        <v>0</v>
      </c>
      <c r="K99" s="112">
        <f t="shared" si="6"/>
        <v>154438.63179074446</v>
      </c>
    </row>
    <row r="100" spans="1:11" x14ac:dyDescent="0.25">
      <c r="A100" s="49">
        <f>'A) Base RI'!A98</f>
        <v>5554</v>
      </c>
      <c r="B100" s="286" t="str">
        <f>'A) Base RI'!B98</f>
        <v>Concise</v>
      </c>
      <c r="C100" s="10">
        <f>'A) Base RI'!V98</f>
        <v>1004</v>
      </c>
      <c r="D100" s="10">
        <f t="shared" si="4"/>
        <v>1000</v>
      </c>
      <c r="E100" s="404">
        <f t="shared" si="4"/>
        <v>4</v>
      </c>
      <c r="F100" s="10">
        <f t="shared" si="4"/>
        <v>0</v>
      </c>
      <c r="G100" s="404">
        <f t="shared" si="4"/>
        <v>0</v>
      </c>
      <c r="H100" s="41">
        <f t="shared" si="4"/>
        <v>0</v>
      </c>
      <c r="I100" s="10">
        <f t="shared" si="4"/>
        <v>0</v>
      </c>
      <c r="J100" s="10">
        <f t="shared" si="5"/>
        <v>0</v>
      </c>
      <c r="K100" s="112">
        <f t="shared" si="6"/>
        <v>126145.67404426559</v>
      </c>
    </row>
    <row r="101" spans="1:11" x14ac:dyDescent="0.25">
      <c r="A101" s="49">
        <f>'A) Base RI'!A99</f>
        <v>5555</v>
      </c>
      <c r="B101" s="286" t="str">
        <f>'A) Base RI'!B99</f>
        <v>Corcelles-près-Concise</v>
      </c>
      <c r="C101" s="10">
        <f>'A) Base RI'!V99</f>
        <v>417</v>
      </c>
      <c r="D101" s="10">
        <f t="shared" si="4"/>
        <v>417</v>
      </c>
      <c r="E101" s="404">
        <f t="shared" si="4"/>
        <v>0</v>
      </c>
      <c r="F101" s="10">
        <f t="shared" si="4"/>
        <v>0</v>
      </c>
      <c r="G101" s="404">
        <f t="shared" si="4"/>
        <v>0</v>
      </c>
      <c r="H101" s="41">
        <f t="shared" si="4"/>
        <v>0</v>
      </c>
      <c r="I101" s="10">
        <f t="shared" si="4"/>
        <v>0</v>
      </c>
      <c r="J101" s="10">
        <f t="shared" si="5"/>
        <v>0</v>
      </c>
      <c r="K101" s="112">
        <f t="shared" si="6"/>
        <v>52020.120724346074</v>
      </c>
    </row>
    <row r="102" spans="1:11" x14ac:dyDescent="0.25">
      <c r="A102" s="49">
        <f>'A) Base RI'!A100</f>
        <v>5556</v>
      </c>
      <c r="B102" s="286" t="str">
        <f>'A) Base RI'!B100</f>
        <v>Fiez</v>
      </c>
      <c r="C102" s="10">
        <f>'A) Base RI'!V100</f>
        <v>442</v>
      </c>
      <c r="D102" s="10">
        <f t="shared" si="4"/>
        <v>442</v>
      </c>
      <c r="E102" s="404">
        <f t="shared" si="4"/>
        <v>0</v>
      </c>
      <c r="F102" s="10">
        <f t="shared" si="4"/>
        <v>0</v>
      </c>
      <c r="G102" s="404">
        <f t="shared" si="4"/>
        <v>0</v>
      </c>
      <c r="H102" s="41">
        <f t="shared" si="4"/>
        <v>0</v>
      </c>
      <c r="I102" s="10">
        <f t="shared" si="4"/>
        <v>0</v>
      </c>
      <c r="J102" s="10">
        <f t="shared" si="5"/>
        <v>0</v>
      </c>
      <c r="K102" s="112">
        <f t="shared" si="6"/>
        <v>55138.832997987927</v>
      </c>
    </row>
    <row r="103" spans="1:11" x14ac:dyDescent="0.25">
      <c r="A103" s="49">
        <f>'A) Base RI'!A101</f>
        <v>5557</v>
      </c>
      <c r="B103" s="286" t="str">
        <f>'A) Base RI'!B101</f>
        <v>Fontaines-sur-Grandson</v>
      </c>
      <c r="C103" s="10">
        <f>'A) Base RI'!V101</f>
        <v>220</v>
      </c>
      <c r="D103" s="10">
        <f t="shared" si="4"/>
        <v>220</v>
      </c>
      <c r="E103" s="404">
        <f t="shared" si="4"/>
        <v>0</v>
      </c>
      <c r="F103" s="10">
        <f t="shared" si="4"/>
        <v>0</v>
      </c>
      <c r="G103" s="404">
        <f t="shared" si="4"/>
        <v>0</v>
      </c>
      <c r="H103" s="41">
        <f t="shared" si="4"/>
        <v>0</v>
      </c>
      <c r="I103" s="10">
        <f t="shared" si="4"/>
        <v>0</v>
      </c>
      <c r="J103" s="10">
        <f t="shared" si="5"/>
        <v>0</v>
      </c>
      <c r="K103" s="112">
        <f t="shared" si="6"/>
        <v>27444.668008048287</v>
      </c>
    </row>
    <row r="104" spans="1:11" x14ac:dyDescent="0.25">
      <c r="A104" s="49">
        <f>'A) Base RI'!A102</f>
        <v>5559</v>
      </c>
      <c r="B104" s="286" t="str">
        <f>'A) Base RI'!B102</f>
        <v>Giez</v>
      </c>
      <c r="C104" s="10">
        <f>'A) Base RI'!V102</f>
        <v>443</v>
      </c>
      <c r="D104" s="10">
        <f t="shared" si="4"/>
        <v>443</v>
      </c>
      <c r="E104" s="404">
        <f t="shared" si="4"/>
        <v>0</v>
      </c>
      <c r="F104" s="10">
        <f t="shared" si="4"/>
        <v>0</v>
      </c>
      <c r="G104" s="404">
        <f t="shared" si="4"/>
        <v>0</v>
      </c>
      <c r="H104" s="41">
        <f t="shared" si="4"/>
        <v>0</v>
      </c>
      <c r="I104" s="10">
        <f t="shared" si="4"/>
        <v>0</v>
      </c>
      <c r="J104" s="10">
        <f t="shared" si="5"/>
        <v>0</v>
      </c>
      <c r="K104" s="112">
        <f t="shared" si="6"/>
        <v>55263.581488933596</v>
      </c>
    </row>
    <row r="105" spans="1:11" x14ac:dyDescent="0.25">
      <c r="A105" s="49">
        <f>'A) Base RI'!A103</f>
        <v>5560</v>
      </c>
      <c r="B105" s="286" t="str">
        <f>'A) Base RI'!B103</f>
        <v>Grandevent</v>
      </c>
      <c r="C105" s="10">
        <f>'A) Base RI'!V103</f>
        <v>238</v>
      </c>
      <c r="D105" s="10">
        <f t="shared" si="4"/>
        <v>238</v>
      </c>
      <c r="E105" s="404">
        <f t="shared" si="4"/>
        <v>0</v>
      </c>
      <c r="F105" s="10">
        <f t="shared" si="4"/>
        <v>0</v>
      </c>
      <c r="G105" s="404">
        <f t="shared" si="4"/>
        <v>0</v>
      </c>
      <c r="H105" s="41">
        <f t="shared" si="4"/>
        <v>0</v>
      </c>
      <c r="I105" s="10">
        <f t="shared" si="4"/>
        <v>0</v>
      </c>
      <c r="J105" s="10">
        <f t="shared" si="5"/>
        <v>0</v>
      </c>
      <c r="K105" s="112">
        <f t="shared" si="6"/>
        <v>29690.140845070422</v>
      </c>
    </row>
    <row r="106" spans="1:11" x14ac:dyDescent="0.25">
      <c r="A106" s="49">
        <f>'A) Base RI'!A104</f>
        <v>5561</v>
      </c>
      <c r="B106" s="286" t="str">
        <f>'A) Base RI'!B104</f>
        <v>Grandson</v>
      </c>
      <c r="C106" s="10">
        <f>'A) Base RI'!V104</f>
        <v>3366</v>
      </c>
      <c r="D106" s="10">
        <f t="shared" si="4"/>
        <v>1000</v>
      </c>
      <c r="E106" s="404">
        <f t="shared" si="4"/>
        <v>2000</v>
      </c>
      <c r="F106" s="10">
        <f t="shared" si="4"/>
        <v>366</v>
      </c>
      <c r="G106" s="404">
        <f t="shared" si="4"/>
        <v>0</v>
      </c>
      <c r="H106" s="41">
        <f t="shared" si="4"/>
        <v>0</v>
      </c>
      <c r="I106" s="10">
        <f t="shared" si="4"/>
        <v>0</v>
      </c>
      <c r="J106" s="10">
        <f t="shared" si="5"/>
        <v>0</v>
      </c>
      <c r="K106" s="112">
        <f t="shared" si="6"/>
        <v>1005971.8309859154</v>
      </c>
    </row>
    <row r="107" spans="1:11" x14ac:dyDescent="0.25">
      <c r="A107" s="49">
        <f>'A) Base RI'!A105</f>
        <v>5562</v>
      </c>
      <c r="B107" s="286" t="str">
        <f>'A) Base RI'!B105</f>
        <v>Mauborget</v>
      </c>
      <c r="C107" s="10">
        <f>'A) Base RI'!V105</f>
        <v>137</v>
      </c>
      <c r="D107" s="10">
        <f t="shared" si="4"/>
        <v>137</v>
      </c>
      <c r="E107" s="404">
        <f t="shared" si="4"/>
        <v>0</v>
      </c>
      <c r="F107" s="10">
        <f t="shared" si="4"/>
        <v>0</v>
      </c>
      <c r="G107" s="404">
        <f t="shared" ref="E107:I158" si="7">IF($C107&gt;G$5,IF($C107&lt;G$6,$C107-G$5,G$6-G$5),0)</f>
        <v>0</v>
      </c>
      <c r="H107" s="41">
        <f t="shared" si="7"/>
        <v>0</v>
      </c>
      <c r="I107" s="10">
        <f t="shared" si="7"/>
        <v>0</v>
      </c>
      <c r="J107" s="10">
        <f t="shared" si="5"/>
        <v>0</v>
      </c>
      <c r="K107" s="112">
        <f t="shared" si="6"/>
        <v>17090.543259557344</v>
      </c>
    </row>
    <row r="108" spans="1:11" x14ac:dyDescent="0.25">
      <c r="A108" s="49">
        <f>'A) Base RI'!A106</f>
        <v>5563</v>
      </c>
      <c r="B108" s="286" t="str">
        <f>'A) Base RI'!B106</f>
        <v>Mutrux</v>
      </c>
      <c r="C108" s="10">
        <f>'A) Base RI'!V106</f>
        <v>151</v>
      </c>
      <c r="D108" s="10">
        <f t="shared" ref="D108:D171" si="8">IF($C108&gt;D$5,IF($C108&lt;D$6,$C108-D$5,D$6-D$5),0)</f>
        <v>151</v>
      </c>
      <c r="E108" s="404">
        <f t="shared" si="7"/>
        <v>0</v>
      </c>
      <c r="F108" s="10">
        <f t="shared" si="7"/>
        <v>0</v>
      </c>
      <c r="G108" s="404">
        <f t="shared" si="7"/>
        <v>0</v>
      </c>
      <c r="H108" s="41">
        <f t="shared" si="7"/>
        <v>0</v>
      </c>
      <c r="I108" s="10">
        <f t="shared" si="7"/>
        <v>0</v>
      </c>
      <c r="J108" s="10">
        <f t="shared" si="5"/>
        <v>0</v>
      </c>
      <c r="K108" s="112">
        <f t="shared" si="6"/>
        <v>18837.022132796781</v>
      </c>
    </row>
    <row r="109" spans="1:11" x14ac:dyDescent="0.25">
      <c r="A109" s="49">
        <f>'A) Base RI'!A107</f>
        <v>5564</v>
      </c>
      <c r="B109" s="286" t="str">
        <f>'A) Base RI'!B107</f>
        <v>Novalles</v>
      </c>
      <c r="C109" s="10">
        <f>'A) Base RI'!V107</f>
        <v>103</v>
      </c>
      <c r="D109" s="10">
        <f t="shared" si="8"/>
        <v>103</v>
      </c>
      <c r="E109" s="404">
        <f t="shared" si="7"/>
        <v>0</v>
      </c>
      <c r="F109" s="10">
        <f t="shared" si="7"/>
        <v>0</v>
      </c>
      <c r="G109" s="404">
        <f t="shared" si="7"/>
        <v>0</v>
      </c>
      <c r="H109" s="41">
        <f t="shared" si="7"/>
        <v>0</v>
      </c>
      <c r="I109" s="10">
        <f t="shared" si="7"/>
        <v>0</v>
      </c>
      <c r="J109" s="10">
        <f t="shared" si="5"/>
        <v>0</v>
      </c>
      <c r="K109" s="112">
        <f t="shared" si="6"/>
        <v>12849.094567404425</v>
      </c>
    </row>
    <row r="110" spans="1:11" x14ac:dyDescent="0.25">
      <c r="A110" s="49">
        <f>'A) Base RI'!A108</f>
        <v>5565</v>
      </c>
      <c r="B110" s="286" t="str">
        <f>'A) Base RI'!B108</f>
        <v>Onnens</v>
      </c>
      <c r="C110" s="10">
        <f>'A) Base RI'!V108</f>
        <v>495</v>
      </c>
      <c r="D110" s="10">
        <f t="shared" si="8"/>
        <v>495</v>
      </c>
      <c r="E110" s="404">
        <f t="shared" si="7"/>
        <v>0</v>
      </c>
      <c r="F110" s="10">
        <f t="shared" si="7"/>
        <v>0</v>
      </c>
      <c r="G110" s="404">
        <f t="shared" si="7"/>
        <v>0</v>
      </c>
      <c r="H110" s="41">
        <f t="shared" si="7"/>
        <v>0</v>
      </c>
      <c r="I110" s="10">
        <f t="shared" si="7"/>
        <v>0</v>
      </c>
      <c r="J110" s="10">
        <f t="shared" si="5"/>
        <v>0</v>
      </c>
      <c r="K110" s="112">
        <f t="shared" si="6"/>
        <v>61750.503018108648</v>
      </c>
    </row>
    <row r="111" spans="1:11" x14ac:dyDescent="0.25">
      <c r="A111" s="49">
        <f>'A) Base RI'!A109</f>
        <v>5566</v>
      </c>
      <c r="B111" s="286" t="str">
        <f>'A) Base RI'!B109</f>
        <v>Provence</v>
      </c>
      <c r="C111" s="10">
        <f>'A) Base RI'!V109</f>
        <v>403</v>
      </c>
      <c r="D111" s="10">
        <f t="shared" si="8"/>
        <v>403</v>
      </c>
      <c r="E111" s="404">
        <f t="shared" si="7"/>
        <v>0</v>
      </c>
      <c r="F111" s="10">
        <f t="shared" si="7"/>
        <v>0</v>
      </c>
      <c r="G111" s="404">
        <f t="shared" si="7"/>
        <v>0</v>
      </c>
      <c r="H111" s="41">
        <f t="shared" si="7"/>
        <v>0</v>
      </c>
      <c r="I111" s="10">
        <f t="shared" si="7"/>
        <v>0</v>
      </c>
      <c r="J111" s="10">
        <f t="shared" si="5"/>
        <v>0</v>
      </c>
      <c r="K111" s="112">
        <f t="shared" si="6"/>
        <v>50273.641851106637</v>
      </c>
    </row>
    <row r="112" spans="1:11" x14ac:dyDescent="0.25">
      <c r="A112" s="49">
        <f>'A) Base RI'!A110</f>
        <v>5568</v>
      </c>
      <c r="B112" s="286" t="str">
        <f>'A) Base RI'!B110</f>
        <v>Sainte-Croix</v>
      </c>
      <c r="C112" s="10">
        <f>'A) Base RI'!V110</f>
        <v>4948</v>
      </c>
      <c r="D112" s="10">
        <f t="shared" si="8"/>
        <v>1000</v>
      </c>
      <c r="E112" s="404">
        <f t="shared" si="7"/>
        <v>2000</v>
      </c>
      <c r="F112" s="10">
        <f t="shared" si="7"/>
        <v>1948</v>
      </c>
      <c r="G112" s="404">
        <f t="shared" si="7"/>
        <v>0</v>
      </c>
      <c r="H112" s="41">
        <f t="shared" si="7"/>
        <v>0</v>
      </c>
      <c r="I112" s="10">
        <f t="shared" si="7"/>
        <v>0</v>
      </c>
      <c r="J112" s="10">
        <f t="shared" si="5"/>
        <v>0</v>
      </c>
      <c r="K112" s="112">
        <f t="shared" si="6"/>
        <v>1795380.2816901407</v>
      </c>
    </row>
    <row r="113" spans="1:11" x14ac:dyDescent="0.25">
      <c r="A113" s="49">
        <f>'A) Base RI'!A111</f>
        <v>5571</v>
      </c>
      <c r="B113" s="286" t="str">
        <f>'A) Base RI'!B111</f>
        <v>Tévenon</v>
      </c>
      <c r="C113" s="10">
        <f>'A) Base RI'!V111</f>
        <v>883</v>
      </c>
      <c r="D113" s="10">
        <f t="shared" si="8"/>
        <v>883</v>
      </c>
      <c r="E113" s="404">
        <f t="shared" si="7"/>
        <v>0</v>
      </c>
      <c r="F113" s="10">
        <f t="shared" si="7"/>
        <v>0</v>
      </c>
      <c r="G113" s="404">
        <f t="shared" si="7"/>
        <v>0</v>
      </c>
      <c r="H113" s="41">
        <f t="shared" si="7"/>
        <v>0</v>
      </c>
      <c r="I113" s="10">
        <f t="shared" si="7"/>
        <v>0</v>
      </c>
      <c r="J113" s="10">
        <f t="shared" si="5"/>
        <v>0</v>
      </c>
      <c r="K113" s="112">
        <f t="shared" si="6"/>
        <v>110152.91750503017</v>
      </c>
    </row>
    <row r="114" spans="1:11" x14ac:dyDescent="0.25">
      <c r="A114" s="49">
        <f>'A) Base RI'!A112</f>
        <v>5581</v>
      </c>
      <c r="B114" s="286" t="str">
        <f>'A) Base RI'!B112</f>
        <v>Belmont-sur-Lausanne</v>
      </c>
      <c r="C114" s="10">
        <f>'A) Base RI'!V112</f>
        <v>3871</v>
      </c>
      <c r="D114" s="10">
        <f t="shared" si="8"/>
        <v>1000</v>
      </c>
      <c r="E114" s="404">
        <f t="shared" si="7"/>
        <v>2000</v>
      </c>
      <c r="F114" s="10">
        <f t="shared" si="7"/>
        <v>871</v>
      </c>
      <c r="G114" s="404">
        <f t="shared" si="7"/>
        <v>0</v>
      </c>
      <c r="H114" s="41">
        <f t="shared" si="7"/>
        <v>0</v>
      </c>
      <c r="I114" s="10">
        <f t="shared" si="7"/>
        <v>0</v>
      </c>
      <c r="J114" s="10">
        <f t="shared" si="5"/>
        <v>0</v>
      </c>
      <c r="K114" s="112">
        <f t="shared" si="6"/>
        <v>1257963.7826961768</v>
      </c>
    </row>
    <row r="115" spans="1:11" x14ac:dyDescent="0.25">
      <c r="A115" s="49">
        <f>'A) Base RI'!A113</f>
        <v>5582</v>
      </c>
      <c r="B115" s="286" t="str">
        <f>'A) Base RI'!B113</f>
        <v>Cheseaux-sur-Lausanne</v>
      </c>
      <c r="C115" s="10">
        <f>'A) Base RI'!V113</f>
        <v>4449</v>
      </c>
      <c r="D115" s="10">
        <f t="shared" si="8"/>
        <v>1000</v>
      </c>
      <c r="E115" s="404">
        <f t="shared" si="7"/>
        <v>2000</v>
      </c>
      <c r="F115" s="10">
        <f t="shared" si="7"/>
        <v>1449</v>
      </c>
      <c r="G115" s="404">
        <f t="shared" si="7"/>
        <v>0</v>
      </c>
      <c r="H115" s="41">
        <f t="shared" si="7"/>
        <v>0</v>
      </c>
      <c r="I115" s="10">
        <f t="shared" si="7"/>
        <v>0</v>
      </c>
      <c r="J115" s="10">
        <f t="shared" si="5"/>
        <v>0</v>
      </c>
      <c r="K115" s="112">
        <f t="shared" si="6"/>
        <v>1546382.2937625754</v>
      </c>
    </row>
    <row r="116" spans="1:11" x14ac:dyDescent="0.25">
      <c r="A116" s="49">
        <f>'A) Base RI'!A114</f>
        <v>5583</v>
      </c>
      <c r="B116" s="286" t="str">
        <f>'A) Base RI'!B114</f>
        <v>Crissier</v>
      </c>
      <c r="C116" s="10">
        <f>'A) Base RI'!V114</f>
        <v>8974</v>
      </c>
      <c r="D116" s="10">
        <f t="shared" si="8"/>
        <v>1000</v>
      </c>
      <c r="E116" s="404">
        <f t="shared" si="7"/>
        <v>2000</v>
      </c>
      <c r="F116" s="10">
        <f t="shared" si="7"/>
        <v>2000</v>
      </c>
      <c r="G116" s="404">
        <f t="shared" si="7"/>
        <v>3974</v>
      </c>
      <c r="H116" s="41">
        <f t="shared" si="7"/>
        <v>0</v>
      </c>
      <c r="I116" s="10">
        <f t="shared" si="7"/>
        <v>0</v>
      </c>
      <c r="J116" s="10">
        <f t="shared" si="5"/>
        <v>0</v>
      </c>
      <c r="K116" s="112">
        <f t="shared" si="6"/>
        <v>4200930.3822937626</v>
      </c>
    </row>
    <row r="117" spans="1:11" x14ac:dyDescent="0.25">
      <c r="A117" s="49">
        <f>'A) Base RI'!A115</f>
        <v>5584</v>
      </c>
      <c r="B117" s="286" t="str">
        <f>'A) Base RI'!B115</f>
        <v>Epalinges</v>
      </c>
      <c r="C117" s="10">
        <f>'A) Base RI'!V115</f>
        <v>9813</v>
      </c>
      <c r="D117" s="10">
        <f t="shared" si="8"/>
        <v>1000</v>
      </c>
      <c r="E117" s="404">
        <f t="shared" si="7"/>
        <v>2000</v>
      </c>
      <c r="F117" s="10">
        <f t="shared" si="7"/>
        <v>2000</v>
      </c>
      <c r="G117" s="404">
        <f t="shared" si="7"/>
        <v>4000</v>
      </c>
      <c r="H117" s="41">
        <f t="shared" si="7"/>
        <v>813</v>
      </c>
      <c r="I117" s="10">
        <f t="shared" si="7"/>
        <v>0</v>
      </c>
      <c r="J117" s="10">
        <f t="shared" si="5"/>
        <v>0</v>
      </c>
      <c r="K117" s="112">
        <f t="shared" si="6"/>
        <v>4906158.5513078459</v>
      </c>
    </row>
    <row r="118" spans="1:11" x14ac:dyDescent="0.25">
      <c r="A118" s="49">
        <f>'A) Base RI'!A116</f>
        <v>5585</v>
      </c>
      <c r="B118" s="286" t="str">
        <f>'A) Base RI'!B116</f>
        <v>Jouxtens-Mézery</v>
      </c>
      <c r="C118" s="10">
        <f>'A) Base RI'!V116</f>
        <v>1460</v>
      </c>
      <c r="D118" s="10">
        <f t="shared" si="8"/>
        <v>1000</v>
      </c>
      <c r="E118" s="404">
        <f t="shared" si="7"/>
        <v>460</v>
      </c>
      <c r="F118" s="10">
        <f t="shared" si="7"/>
        <v>0</v>
      </c>
      <c r="G118" s="404">
        <f t="shared" si="7"/>
        <v>0</v>
      </c>
      <c r="H118" s="41">
        <f t="shared" si="7"/>
        <v>0</v>
      </c>
      <c r="I118" s="10">
        <f t="shared" si="7"/>
        <v>0</v>
      </c>
      <c r="J118" s="10">
        <f t="shared" si="5"/>
        <v>0</v>
      </c>
      <c r="K118" s="112">
        <f t="shared" si="6"/>
        <v>285424.54728370218</v>
      </c>
    </row>
    <row r="119" spans="1:11" x14ac:dyDescent="0.25">
      <c r="A119" s="49">
        <f>'A) Base RI'!A117</f>
        <v>5586</v>
      </c>
      <c r="B119" s="286" t="str">
        <f>'A) Base RI'!B117</f>
        <v>Lausanne</v>
      </c>
      <c r="C119" s="10">
        <f>'A) Base RI'!V117</f>
        <v>140824</v>
      </c>
      <c r="D119" s="10">
        <f t="shared" si="8"/>
        <v>1000</v>
      </c>
      <c r="E119" s="404">
        <f t="shared" si="7"/>
        <v>2000</v>
      </c>
      <c r="F119" s="10">
        <f t="shared" si="7"/>
        <v>2000</v>
      </c>
      <c r="G119" s="404">
        <f t="shared" si="7"/>
        <v>4000</v>
      </c>
      <c r="H119" s="41">
        <f t="shared" si="7"/>
        <v>3000</v>
      </c>
      <c r="I119" s="10">
        <f t="shared" si="7"/>
        <v>3000</v>
      </c>
      <c r="J119" s="10">
        <f t="shared" si="5"/>
        <v>125824</v>
      </c>
      <c r="K119" s="112">
        <f t="shared" si="6"/>
        <v>141604706.63983902</v>
      </c>
    </row>
    <row r="120" spans="1:11" x14ac:dyDescent="0.25">
      <c r="A120" s="49">
        <f>'A) Base RI'!A118</f>
        <v>5587</v>
      </c>
      <c r="B120" s="286" t="str">
        <f>'A) Base RI'!B118</f>
        <v>Le Mont-sur-Lausanne</v>
      </c>
      <c r="C120" s="10">
        <f>'A) Base RI'!V118</f>
        <v>9217</v>
      </c>
      <c r="D120" s="10">
        <f t="shared" si="8"/>
        <v>1000</v>
      </c>
      <c r="E120" s="404">
        <f t="shared" si="7"/>
        <v>2000</v>
      </c>
      <c r="F120" s="10">
        <f t="shared" si="7"/>
        <v>2000</v>
      </c>
      <c r="G120" s="404">
        <f t="shared" si="7"/>
        <v>4000</v>
      </c>
      <c r="H120" s="41">
        <f t="shared" si="7"/>
        <v>217</v>
      </c>
      <c r="I120" s="10">
        <f t="shared" si="7"/>
        <v>0</v>
      </c>
      <c r="J120" s="10">
        <f t="shared" si="5"/>
        <v>0</v>
      </c>
      <c r="K120" s="112">
        <f t="shared" si="6"/>
        <v>4400577.8672032179</v>
      </c>
    </row>
    <row r="121" spans="1:11" x14ac:dyDescent="0.25">
      <c r="A121" s="49">
        <f>'A) Base RI'!A119</f>
        <v>5588</v>
      </c>
      <c r="B121" s="286" t="str">
        <f>'A) Base RI'!B119</f>
        <v>Paudex</v>
      </c>
      <c r="C121" s="10">
        <f>'A) Base RI'!V119</f>
        <v>1545</v>
      </c>
      <c r="D121" s="10">
        <f t="shared" si="8"/>
        <v>1000</v>
      </c>
      <c r="E121" s="404">
        <f t="shared" si="7"/>
        <v>545</v>
      </c>
      <c r="F121" s="10">
        <f t="shared" si="7"/>
        <v>0</v>
      </c>
      <c r="G121" s="404">
        <f t="shared" si="7"/>
        <v>0</v>
      </c>
      <c r="H121" s="41">
        <f t="shared" si="7"/>
        <v>0</v>
      </c>
      <c r="I121" s="10">
        <f t="shared" si="7"/>
        <v>0</v>
      </c>
      <c r="J121" s="10">
        <f t="shared" si="5"/>
        <v>0</v>
      </c>
      <c r="K121" s="112">
        <f t="shared" si="6"/>
        <v>315114.68812877266</v>
      </c>
    </row>
    <row r="122" spans="1:11" x14ac:dyDescent="0.25">
      <c r="A122" s="49">
        <f>'A) Base RI'!A120</f>
        <v>5589</v>
      </c>
      <c r="B122" s="286" t="str">
        <f>'A) Base RI'!B120</f>
        <v>Prilly</v>
      </c>
      <c r="C122" s="10">
        <f>'A) Base RI'!V120</f>
        <v>12341</v>
      </c>
      <c r="D122" s="10">
        <f t="shared" si="8"/>
        <v>1000</v>
      </c>
      <c r="E122" s="404">
        <f t="shared" si="7"/>
        <v>2000</v>
      </c>
      <c r="F122" s="10">
        <f t="shared" si="7"/>
        <v>2000</v>
      </c>
      <c r="G122" s="404">
        <f t="shared" si="7"/>
        <v>4000</v>
      </c>
      <c r="H122" s="41">
        <f t="shared" si="7"/>
        <v>3000</v>
      </c>
      <c r="I122" s="10">
        <f t="shared" si="7"/>
        <v>341</v>
      </c>
      <c r="J122" s="10">
        <f t="shared" si="5"/>
        <v>0</v>
      </c>
      <c r="K122" s="112">
        <f t="shared" si="6"/>
        <v>7101682.0925553311</v>
      </c>
    </row>
    <row r="123" spans="1:11" x14ac:dyDescent="0.25">
      <c r="A123" s="49">
        <f>'A) Base RI'!A121</f>
        <v>5590</v>
      </c>
      <c r="B123" s="286" t="str">
        <f>'A) Base RI'!B121</f>
        <v>Pully</v>
      </c>
      <c r="C123" s="10">
        <f>'A) Base RI'!V121</f>
        <v>18946</v>
      </c>
      <c r="D123" s="10">
        <f t="shared" si="8"/>
        <v>1000</v>
      </c>
      <c r="E123" s="404">
        <f t="shared" si="7"/>
        <v>2000</v>
      </c>
      <c r="F123" s="10">
        <f t="shared" si="7"/>
        <v>2000</v>
      </c>
      <c r="G123" s="404">
        <f t="shared" si="7"/>
        <v>4000</v>
      </c>
      <c r="H123" s="41">
        <f t="shared" si="7"/>
        <v>3000</v>
      </c>
      <c r="I123" s="10">
        <f t="shared" si="7"/>
        <v>3000</v>
      </c>
      <c r="J123" s="10">
        <f t="shared" si="5"/>
        <v>3946</v>
      </c>
      <c r="K123" s="112">
        <f t="shared" si="6"/>
        <v>13890295.372233398</v>
      </c>
    </row>
    <row r="124" spans="1:11" x14ac:dyDescent="0.25">
      <c r="A124" s="49">
        <f>'A) Base RI'!A122</f>
        <v>5591</v>
      </c>
      <c r="B124" s="286" t="str">
        <f>'A) Base RI'!B122</f>
        <v>Renens</v>
      </c>
      <c r="C124" s="10">
        <f>'A) Base RI'!V122</f>
        <v>20917</v>
      </c>
      <c r="D124" s="10">
        <f t="shared" si="8"/>
        <v>1000</v>
      </c>
      <c r="E124" s="404">
        <f t="shared" si="7"/>
        <v>2000</v>
      </c>
      <c r="F124" s="10">
        <f t="shared" si="7"/>
        <v>2000</v>
      </c>
      <c r="G124" s="404">
        <f t="shared" si="7"/>
        <v>4000</v>
      </c>
      <c r="H124" s="41">
        <f t="shared" si="7"/>
        <v>3000</v>
      </c>
      <c r="I124" s="10">
        <f t="shared" si="7"/>
        <v>3000</v>
      </c>
      <c r="J124" s="10">
        <f t="shared" si="5"/>
        <v>5917</v>
      </c>
      <c r="K124" s="112">
        <f t="shared" si="6"/>
        <v>15955681.287726358</v>
      </c>
    </row>
    <row r="125" spans="1:11" x14ac:dyDescent="0.25">
      <c r="A125" s="49">
        <f>'A) Base RI'!A123</f>
        <v>5592</v>
      </c>
      <c r="B125" s="286" t="str">
        <f>'A) Base RI'!B123</f>
        <v>Romanel-sur-Lausanne</v>
      </c>
      <c r="C125" s="10">
        <f>'A) Base RI'!V123</f>
        <v>3482</v>
      </c>
      <c r="D125" s="10">
        <f t="shared" si="8"/>
        <v>1000</v>
      </c>
      <c r="E125" s="404">
        <f t="shared" si="7"/>
        <v>2000</v>
      </c>
      <c r="F125" s="10">
        <f t="shared" si="7"/>
        <v>482</v>
      </c>
      <c r="G125" s="404">
        <f t="shared" si="7"/>
        <v>0</v>
      </c>
      <c r="H125" s="41">
        <f t="shared" si="7"/>
        <v>0</v>
      </c>
      <c r="I125" s="10">
        <f t="shared" si="7"/>
        <v>0</v>
      </c>
      <c r="J125" s="10">
        <f t="shared" si="5"/>
        <v>0</v>
      </c>
      <c r="K125" s="112">
        <f t="shared" si="6"/>
        <v>1063855.1307847081</v>
      </c>
    </row>
    <row r="126" spans="1:11" x14ac:dyDescent="0.25">
      <c r="A126" s="49">
        <f>'A) Base RI'!A124</f>
        <v>5601</v>
      </c>
      <c r="B126" s="286" t="str">
        <f>'A) Base RI'!B124</f>
        <v>Chexbres</v>
      </c>
      <c r="C126" s="10">
        <f>'A) Base RI'!V124</f>
        <v>2229</v>
      </c>
      <c r="D126" s="10">
        <f t="shared" si="8"/>
        <v>1000</v>
      </c>
      <c r="E126" s="404">
        <f t="shared" si="7"/>
        <v>1229</v>
      </c>
      <c r="F126" s="10">
        <f t="shared" si="7"/>
        <v>0</v>
      </c>
      <c r="G126" s="404">
        <f t="shared" si="7"/>
        <v>0</v>
      </c>
      <c r="H126" s="41">
        <f t="shared" si="7"/>
        <v>0</v>
      </c>
      <c r="I126" s="10">
        <f t="shared" si="7"/>
        <v>0</v>
      </c>
      <c r="J126" s="10">
        <f t="shared" si="5"/>
        <v>0</v>
      </c>
      <c r="K126" s="112">
        <f t="shared" si="6"/>
        <v>554032.99798792752</v>
      </c>
    </row>
    <row r="127" spans="1:11" x14ac:dyDescent="0.25">
      <c r="A127" s="49">
        <f>'A) Base RI'!A125</f>
        <v>5604</v>
      </c>
      <c r="B127" s="286" t="str">
        <f>'A) Base RI'!B125</f>
        <v>Forel (Lavaux)</v>
      </c>
      <c r="C127" s="10">
        <f>'A) Base RI'!V125</f>
        <v>2110</v>
      </c>
      <c r="D127" s="10">
        <f t="shared" si="8"/>
        <v>1000</v>
      </c>
      <c r="E127" s="404">
        <f t="shared" si="7"/>
        <v>1110</v>
      </c>
      <c r="F127" s="10">
        <f t="shared" si="7"/>
        <v>0</v>
      </c>
      <c r="G127" s="404">
        <f t="shared" si="7"/>
        <v>0</v>
      </c>
      <c r="H127" s="41">
        <f t="shared" si="7"/>
        <v>0</v>
      </c>
      <c r="I127" s="10">
        <f t="shared" si="7"/>
        <v>0</v>
      </c>
      <c r="J127" s="10">
        <f t="shared" si="5"/>
        <v>0</v>
      </c>
      <c r="K127" s="112">
        <f t="shared" si="6"/>
        <v>512466.80080482899</v>
      </c>
    </row>
    <row r="128" spans="1:11" x14ac:dyDescent="0.25">
      <c r="A128" s="49">
        <f>'A) Base RI'!A126</f>
        <v>5606</v>
      </c>
      <c r="B128" s="286" t="str">
        <f>'A) Base RI'!B126</f>
        <v>Lutry</v>
      </c>
      <c r="C128" s="10">
        <f>'A) Base RI'!V126</f>
        <v>10704</v>
      </c>
      <c r="D128" s="10">
        <f t="shared" si="8"/>
        <v>1000</v>
      </c>
      <c r="E128" s="404">
        <f t="shared" si="7"/>
        <v>2000</v>
      </c>
      <c r="F128" s="10">
        <f t="shared" si="7"/>
        <v>2000</v>
      </c>
      <c r="G128" s="404">
        <f t="shared" si="7"/>
        <v>4000</v>
      </c>
      <c r="H128" s="41">
        <f t="shared" si="7"/>
        <v>1704</v>
      </c>
      <c r="I128" s="10">
        <f t="shared" si="7"/>
        <v>0</v>
      </c>
      <c r="J128" s="10">
        <f t="shared" si="5"/>
        <v>0</v>
      </c>
      <c r="K128" s="112">
        <f t="shared" si="6"/>
        <v>5661984.7082494963</v>
      </c>
    </row>
    <row r="129" spans="1:11" x14ac:dyDescent="0.25">
      <c r="A129" s="49">
        <f>'A) Base RI'!A127</f>
        <v>5607</v>
      </c>
      <c r="B129" s="286" t="str">
        <f>'A) Base RI'!B127</f>
        <v>Puidoux</v>
      </c>
      <c r="C129" s="10">
        <f>'A) Base RI'!V127</f>
        <v>2924</v>
      </c>
      <c r="D129" s="10">
        <f t="shared" si="8"/>
        <v>1000</v>
      </c>
      <c r="E129" s="404">
        <f t="shared" si="7"/>
        <v>1924</v>
      </c>
      <c r="F129" s="10">
        <f t="shared" si="7"/>
        <v>0</v>
      </c>
      <c r="G129" s="404">
        <f t="shared" si="7"/>
        <v>0</v>
      </c>
      <c r="H129" s="41">
        <f t="shared" si="7"/>
        <v>0</v>
      </c>
      <c r="I129" s="10">
        <f t="shared" si="7"/>
        <v>0</v>
      </c>
      <c r="J129" s="10">
        <f t="shared" si="5"/>
        <v>0</v>
      </c>
      <c r="K129" s="112">
        <f t="shared" si="6"/>
        <v>796793.56136820919</v>
      </c>
    </row>
    <row r="130" spans="1:11" x14ac:dyDescent="0.25">
      <c r="A130" s="49">
        <f>'A) Base RI'!A128</f>
        <v>5609</v>
      </c>
      <c r="B130" s="286" t="str">
        <f>'A) Base RI'!B128</f>
        <v>Rivaz</v>
      </c>
      <c r="C130" s="10">
        <f>'A) Base RI'!V128</f>
        <v>331</v>
      </c>
      <c r="D130" s="10">
        <f t="shared" si="8"/>
        <v>331</v>
      </c>
      <c r="E130" s="404">
        <f t="shared" si="7"/>
        <v>0</v>
      </c>
      <c r="F130" s="10">
        <f t="shared" si="7"/>
        <v>0</v>
      </c>
      <c r="G130" s="404">
        <f t="shared" si="7"/>
        <v>0</v>
      </c>
      <c r="H130" s="41">
        <f t="shared" si="7"/>
        <v>0</v>
      </c>
      <c r="I130" s="10">
        <f t="shared" si="7"/>
        <v>0</v>
      </c>
      <c r="J130" s="10">
        <f t="shared" si="5"/>
        <v>0</v>
      </c>
      <c r="K130" s="112">
        <f t="shared" si="6"/>
        <v>41291.750503018106</v>
      </c>
    </row>
    <row r="131" spans="1:11" x14ac:dyDescent="0.25">
      <c r="A131" s="49">
        <f>'A) Base RI'!A129</f>
        <v>5610</v>
      </c>
      <c r="B131" s="286" t="str">
        <f>'A) Base RI'!B129</f>
        <v>St-Saphorin (Lavaux)</v>
      </c>
      <c r="C131" s="10">
        <f>'A) Base RI'!V129</f>
        <v>396</v>
      </c>
      <c r="D131" s="10">
        <f t="shared" si="8"/>
        <v>396</v>
      </c>
      <c r="E131" s="404">
        <f t="shared" si="7"/>
        <v>0</v>
      </c>
      <c r="F131" s="10">
        <f t="shared" si="7"/>
        <v>0</v>
      </c>
      <c r="G131" s="404">
        <f t="shared" si="7"/>
        <v>0</v>
      </c>
      <c r="H131" s="41">
        <f t="shared" si="7"/>
        <v>0</v>
      </c>
      <c r="I131" s="10">
        <f t="shared" si="7"/>
        <v>0</v>
      </c>
      <c r="J131" s="10">
        <f t="shared" si="5"/>
        <v>0</v>
      </c>
      <c r="K131" s="112">
        <f t="shared" si="6"/>
        <v>49400.402414486918</v>
      </c>
    </row>
    <row r="132" spans="1:11" x14ac:dyDescent="0.25">
      <c r="A132" s="49">
        <f>'A) Base RI'!A130</f>
        <v>5611</v>
      </c>
      <c r="B132" s="286" t="str">
        <f>'A) Base RI'!B130</f>
        <v>Savigny</v>
      </c>
      <c r="C132" s="10">
        <f>'A) Base RI'!V130</f>
        <v>3370</v>
      </c>
      <c r="D132" s="10">
        <f t="shared" si="8"/>
        <v>1000</v>
      </c>
      <c r="E132" s="404">
        <f t="shared" si="7"/>
        <v>2000</v>
      </c>
      <c r="F132" s="10">
        <f t="shared" si="7"/>
        <v>370</v>
      </c>
      <c r="G132" s="404">
        <f t="shared" si="7"/>
        <v>0</v>
      </c>
      <c r="H132" s="41">
        <f t="shared" si="7"/>
        <v>0</v>
      </c>
      <c r="I132" s="10">
        <f t="shared" si="7"/>
        <v>0</v>
      </c>
      <c r="J132" s="10">
        <f t="shared" si="5"/>
        <v>0</v>
      </c>
      <c r="K132" s="112">
        <f t="shared" si="6"/>
        <v>1007967.8068410461</v>
      </c>
    </row>
    <row r="133" spans="1:11" x14ac:dyDescent="0.25">
      <c r="A133" s="49">
        <f>'A) Base RI'!A131</f>
        <v>5613</v>
      </c>
      <c r="B133" s="286" t="str">
        <f>'A) Base RI'!B131</f>
        <v>Bourg-en-Lavaux</v>
      </c>
      <c r="C133" s="10">
        <f>'A) Base RI'!V131</f>
        <v>5367</v>
      </c>
      <c r="D133" s="10">
        <f t="shared" si="8"/>
        <v>1000</v>
      </c>
      <c r="E133" s="404">
        <f t="shared" si="7"/>
        <v>2000</v>
      </c>
      <c r="F133" s="10">
        <f t="shared" si="7"/>
        <v>2000</v>
      </c>
      <c r="G133" s="404">
        <f t="shared" si="7"/>
        <v>367</v>
      </c>
      <c r="H133" s="41">
        <f t="shared" si="7"/>
        <v>0</v>
      </c>
      <c r="I133" s="10">
        <f t="shared" si="7"/>
        <v>0</v>
      </c>
      <c r="J133" s="10">
        <f t="shared" si="5"/>
        <v>0</v>
      </c>
      <c r="K133" s="112">
        <f t="shared" si="6"/>
        <v>2041084.9094567401</v>
      </c>
    </row>
    <row r="134" spans="1:11" x14ac:dyDescent="0.25">
      <c r="A134" s="49">
        <f>'A) Base RI'!A132</f>
        <v>5621</v>
      </c>
      <c r="B134" s="286" t="str">
        <f>'A) Base RI'!B132</f>
        <v>Aclens</v>
      </c>
      <c r="C134" s="10">
        <f>'A) Base RI'!V132</f>
        <v>517</v>
      </c>
      <c r="D134" s="10">
        <f t="shared" si="8"/>
        <v>517</v>
      </c>
      <c r="E134" s="404">
        <f t="shared" si="7"/>
        <v>0</v>
      </c>
      <c r="F134" s="10">
        <f t="shared" si="7"/>
        <v>0</v>
      </c>
      <c r="G134" s="404">
        <f t="shared" si="7"/>
        <v>0</v>
      </c>
      <c r="H134" s="41">
        <f t="shared" si="7"/>
        <v>0</v>
      </c>
      <c r="I134" s="10">
        <f t="shared" si="7"/>
        <v>0</v>
      </c>
      <c r="J134" s="10">
        <f t="shared" si="5"/>
        <v>0</v>
      </c>
      <c r="K134" s="112">
        <f t="shared" si="6"/>
        <v>64494.96981891348</v>
      </c>
    </row>
    <row r="135" spans="1:11" x14ac:dyDescent="0.25">
      <c r="A135" s="49">
        <f>'A) Base RI'!A133</f>
        <v>5622</v>
      </c>
      <c r="B135" s="286" t="str">
        <f>'A) Base RI'!B133</f>
        <v>Bremblens</v>
      </c>
      <c r="C135" s="10">
        <f>'A) Base RI'!V133</f>
        <v>607</v>
      </c>
      <c r="D135" s="10">
        <f t="shared" si="8"/>
        <v>607</v>
      </c>
      <c r="E135" s="404">
        <f t="shared" si="7"/>
        <v>0</v>
      </c>
      <c r="F135" s="10">
        <f t="shared" si="7"/>
        <v>0</v>
      </c>
      <c r="G135" s="404">
        <f t="shared" si="7"/>
        <v>0</v>
      </c>
      <c r="H135" s="41">
        <f t="shared" si="7"/>
        <v>0</v>
      </c>
      <c r="I135" s="10">
        <f t="shared" si="7"/>
        <v>0</v>
      </c>
      <c r="J135" s="10">
        <f t="shared" si="5"/>
        <v>0</v>
      </c>
      <c r="K135" s="112">
        <f t="shared" si="6"/>
        <v>75722.334004024146</v>
      </c>
    </row>
    <row r="136" spans="1:11" x14ac:dyDescent="0.25">
      <c r="A136" s="49">
        <f>'A) Base RI'!A134</f>
        <v>5623</v>
      </c>
      <c r="B136" s="286" t="str">
        <f>'A) Base RI'!B134</f>
        <v>Buchillon</v>
      </c>
      <c r="C136" s="10">
        <f>'A) Base RI'!V134</f>
        <v>669</v>
      </c>
      <c r="D136" s="10">
        <f t="shared" si="8"/>
        <v>669</v>
      </c>
      <c r="E136" s="404">
        <f t="shared" si="7"/>
        <v>0</v>
      </c>
      <c r="F136" s="10">
        <f t="shared" si="7"/>
        <v>0</v>
      </c>
      <c r="G136" s="404">
        <f t="shared" si="7"/>
        <v>0</v>
      </c>
      <c r="H136" s="41">
        <f t="shared" si="7"/>
        <v>0</v>
      </c>
      <c r="I136" s="10">
        <f t="shared" si="7"/>
        <v>0</v>
      </c>
      <c r="J136" s="10">
        <f t="shared" si="5"/>
        <v>0</v>
      </c>
      <c r="K136" s="112">
        <f t="shared" si="6"/>
        <v>83456.740442655937</v>
      </c>
    </row>
    <row r="137" spans="1:11" x14ac:dyDescent="0.25">
      <c r="A137" s="49">
        <f>'A) Base RI'!A135</f>
        <v>5624</v>
      </c>
      <c r="B137" s="286" t="str">
        <f>'A) Base RI'!B135</f>
        <v>Bussigny</v>
      </c>
      <c r="C137" s="10">
        <f>'A) Base RI'!V135</f>
        <v>10253</v>
      </c>
      <c r="D137" s="10">
        <f t="shared" si="8"/>
        <v>1000</v>
      </c>
      <c r="E137" s="404">
        <f t="shared" si="7"/>
        <v>2000</v>
      </c>
      <c r="F137" s="10">
        <f t="shared" si="7"/>
        <v>2000</v>
      </c>
      <c r="G137" s="404">
        <f t="shared" si="7"/>
        <v>4000</v>
      </c>
      <c r="H137" s="41">
        <f t="shared" si="7"/>
        <v>1253</v>
      </c>
      <c r="I137" s="10">
        <f t="shared" si="7"/>
        <v>0</v>
      </c>
      <c r="J137" s="10">
        <f t="shared" si="5"/>
        <v>0</v>
      </c>
      <c r="K137" s="112">
        <f t="shared" si="6"/>
        <v>5279406.036217303</v>
      </c>
    </row>
    <row r="138" spans="1:11" x14ac:dyDescent="0.25">
      <c r="A138" s="49">
        <f>'A) Base RI'!A136</f>
        <v>5625</v>
      </c>
      <c r="B138" s="286" t="str">
        <f>'A) Base RI'!B136</f>
        <v>Bussy-Chardonney</v>
      </c>
      <c r="C138" s="10">
        <f>'A) Base RI'!V136</f>
        <v>412</v>
      </c>
      <c r="D138" s="10">
        <f t="shared" si="8"/>
        <v>412</v>
      </c>
      <c r="E138" s="404">
        <f t="shared" si="7"/>
        <v>0</v>
      </c>
      <c r="F138" s="10">
        <f t="shared" si="7"/>
        <v>0</v>
      </c>
      <c r="G138" s="404">
        <f t="shared" si="7"/>
        <v>0</v>
      </c>
      <c r="H138" s="41">
        <f t="shared" si="7"/>
        <v>0</v>
      </c>
      <c r="I138" s="10">
        <f t="shared" si="7"/>
        <v>0</v>
      </c>
      <c r="J138" s="10">
        <f t="shared" ref="J138:J201" si="9">IF(C138&gt;$J$5,C138-$J$5,0)</f>
        <v>0</v>
      </c>
      <c r="K138" s="112">
        <f t="shared" ref="K138:K201" si="10">(D138*D$8)+(E138*E$8)+(F138*F$8)+(G138*G$8)+(H138*H$8)+(I138*I$8)+(J138*J$8)</f>
        <v>51396.3782696177</v>
      </c>
    </row>
    <row r="139" spans="1:11" x14ac:dyDescent="0.25">
      <c r="A139" s="49">
        <f>'A) Base RI'!A137</f>
        <v>5627</v>
      </c>
      <c r="B139" s="286" t="str">
        <f>'A) Base RI'!B137</f>
        <v>Chavannes-près-Renens</v>
      </c>
      <c r="C139" s="10">
        <f>'A) Base RI'!V137</f>
        <v>8767</v>
      </c>
      <c r="D139" s="10">
        <f t="shared" si="8"/>
        <v>1000</v>
      </c>
      <c r="E139" s="404">
        <f t="shared" si="7"/>
        <v>2000</v>
      </c>
      <c r="F139" s="10">
        <f t="shared" si="7"/>
        <v>2000</v>
      </c>
      <c r="G139" s="404">
        <f t="shared" si="7"/>
        <v>3767</v>
      </c>
      <c r="H139" s="41">
        <f t="shared" si="7"/>
        <v>0</v>
      </c>
      <c r="I139" s="10">
        <f t="shared" si="7"/>
        <v>0</v>
      </c>
      <c r="J139" s="10">
        <f t="shared" si="9"/>
        <v>0</v>
      </c>
      <c r="K139" s="112">
        <f t="shared" si="10"/>
        <v>4076980.2816901403</v>
      </c>
    </row>
    <row r="140" spans="1:11" x14ac:dyDescent="0.25">
      <c r="A140" s="49">
        <f>'A) Base RI'!A138</f>
        <v>5628</v>
      </c>
      <c r="B140" s="286" t="str">
        <f>'A) Base RI'!B138</f>
        <v>Chigny</v>
      </c>
      <c r="C140" s="10">
        <f>'A) Base RI'!V138</f>
        <v>405</v>
      </c>
      <c r="D140" s="10">
        <f t="shared" si="8"/>
        <v>405</v>
      </c>
      <c r="E140" s="404">
        <f t="shared" si="7"/>
        <v>0</v>
      </c>
      <c r="F140" s="10">
        <f t="shared" si="7"/>
        <v>0</v>
      </c>
      <c r="G140" s="404">
        <f t="shared" si="7"/>
        <v>0</v>
      </c>
      <c r="H140" s="41">
        <f t="shared" si="7"/>
        <v>0</v>
      </c>
      <c r="I140" s="10">
        <f t="shared" si="7"/>
        <v>0</v>
      </c>
      <c r="J140" s="10">
        <f t="shared" si="9"/>
        <v>0</v>
      </c>
      <c r="K140" s="112">
        <f t="shared" si="10"/>
        <v>50523.138832997982</v>
      </c>
    </row>
    <row r="141" spans="1:11" x14ac:dyDescent="0.25">
      <c r="A141" s="49">
        <f>'A) Base RI'!A139</f>
        <v>5629</v>
      </c>
      <c r="B141" s="286" t="str">
        <f>'A) Base RI'!B139</f>
        <v>Clarmont</v>
      </c>
      <c r="C141" s="10">
        <f>'A) Base RI'!V139</f>
        <v>211</v>
      </c>
      <c r="D141" s="10">
        <f t="shared" si="8"/>
        <v>211</v>
      </c>
      <c r="E141" s="404">
        <f t="shared" si="7"/>
        <v>0</v>
      </c>
      <c r="F141" s="10">
        <f t="shared" si="7"/>
        <v>0</v>
      </c>
      <c r="G141" s="404">
        <f t="shared" si="7"/>
        <v>0</v>
      </c>
      <c r="H141" s="41">
        <f t="shared" si="7"/>
        <v>0</v>
      </c>
      <c r="I141" s="10">
        <f t="shared" si="7"/>
        <v>0</v>
      </c>
      <c r="J141" s="10">
        <f t="shared" si="9"/>
        <v>0</v>
      </c>
      <c r="K141" s="112">
        <f t="shared" si="10"/>
        <v>26321.93158953722</v>
      </c>
    </row>
    <row r="142" spans="1:11" x14ac:dyDescent="0.25">
      <c r="A142" s="49">
        <f>'A) Base RI'!A140</f>
        <v>5631</v>
      </c>
      <c r="B142" s="286" t="str">
        <f>'A) Base RI'!B140</f>
        <v>Denens</v>
      </c>
      <c r="C142" s="10">
        <f>'A) Base RI'!V140</f>
        <v>733</v>
      </c>
      <c r="D142" s="10">
        <f t="shared" si="8"/>
        <v>733</v>
      </c>
      <c r="E142" s="404">
        <f t="shared" si="7"/>
        <v>0</v>
      </c>
      <c r="F142" s="10">
        <f t="shared" si="7"/>
        <v>0</v>
      </c>
      <c r="G142" s="404">
        <f t="shared" si="7"/>
        <v>0</v>
      </c>
      <c r="H142" s="41">
        <f t="shared" si="7"/>
        <v>0</v>
      </c>
      <c r="I142" s="10">
        <f t="shared" si="7"/>
        <v>0</v>
      </c>
      <c r="J142" s="10">
        <f t="shared" si="9"/>
        <v>0</v>
      </c>
      <c r="K142" s="112">
        <f t="shared" si="10"/>
        <v>91440.643863179066</v>
      </c>
    </row>
    <row r="143" spans="1:11" x14ac:dyDescent="0.25">
      <c r="A143" s="49">
        <f>'A) Base RI'!A141</f>
        <v>5632</v>
      </c>
      <c r="B143" s="286" t="str">
        <f>'A) Base RI'!B141</f>
        <v>Denges</v>
      </c>
      <c r="C143" s="10">
        <f>'A) Base RI'!V141</f>
        <v>1744</v>
      </c>
      <c r="D143" s="10">
        <f t="shared" si="8"/>
        <v>1000</v>
      </c>
      <c r="E143" s="404">
        <f t="shared" si="7"/>
        <v>744</v>
      </c>
      <c r="F143" s="10">
        <f t="shared" si="7"/>
        <v>0</v>
      </c>
      <c r="G143" s="404">
        <f t="shared" si="7"/>
        <v>0</v>
      </c>
      <c r="H143" s="41">
        <f t="shared" si="7"/>
        <v>0</v>
      </c>
      <c r="I143" s="10">
        <f t="shared" si="7"/>
        <v>0</v>
      </c>
      <c r="J143" s="10">
        <f t="shared" si="9"/>
        <v>0</v>
      </c>
      <c r="K143" s="112">
        <f t="shared" si="10"/>
        <v>384624.54728370218</v>
      </c>
    </row>
    <row r="144" spans="1:11" x14ac:dyDescent="0.25">
      <c r="A144" s="49">
        <f>'A) Base RI'!A142</f>
        <v>5633</v>
      </c>
      <c r="B144" s="286" t="str">
        <f>'A) Base RI'!B142</f>
        <v>Echandens</v>
      </c>
      <c r="C144" s="10">
        <f>'A) Base RI'!V142</f>
        <v>2775</v>
      </c>
      <c r="D144" s="10">
        <f t="shared" si="8"/>
        <v>1000</v>
      </c>
      <c r="E144" s="404">
        <f t="shared" si="7"/>
        <v>1775</v>
      </c>
      <c r="F144" s="10">
        <f t="shared" si="7"/>
        <v>0</v>
      </c>
      <c r="G144" s="404">
        <f t="shared" si="7"/>
        <v>0</v>
      </c>
      <c r="H144" s="41">
        <f t="shared" si="7"/>
        <v>0</v>
      </c>
      <c r="I144" s="10">
        <f t="shared" si="7"/>
        <v>0</v>
      </c>
      <c r="J144" s="10">
        <f t="shared" si="9"/>
        <v>0</v>
      </c>
      <c r="K144" s="112">
        <f t="shared" si="10"/>
        <v>744748.49094567401</v>
      </c>
    </row>
    <row r="145" spans="1:11" x14ac:dyDescent="0.25">
      <c r="A145" s="49">
        <f>'A) Base RI'!A143</f>
        <v>5634</v>
      </c>
      <c r="B145" s="286" t="str">
        <f>'A) Base RI'!B143</f>
        <v>Echichens</v>
      </c>
      <c r="C145" s="10">
        <f>'A) Base RI'!V143</f>
        <v>3142</v>
      </c>
      <c r="D145" s="10">
        <f t="shared" si="8"/>
        <v>1000</v>
      </c>
      <c r="E145" s="404">
        <f t="shared" si="7"/>
        <v>2000</v>
      </c>
      <c r="F145" s="10">
        <f t="shared" si="7"/>
        <v>142</v>
      </c>
      <c r="G145" s="404">
        <f t="shared" si="7"/>
        <v>0</v>
      </c>
      <c r="H145" s="41">
        <f t="shared" si="7"/>
        <v>0</v>
      </c>
      <c r="I145" s="10">
        <f t="shared" si="7"/>
        <v>0</v>
      </c>
      <c r="J145" s="10">
        <f t="shared" si="9"/>
        <v>0</v>
      </c>
      <c r="K145" s="112">
        <f t="shared" si="10"/>
        <v>894197.1830985914</v>
      </c>
    </row>
    <row r="146" spans="1:11" x14ac:dyDescent="0.25">
      <c r="A146" s="49">
        <f>'A) Base RI'!A144</f>
        <v>5635</v>
      </c>
      <c r="B146" s="286" t="str">
        <f>'A) Base RI'!B144</f>
        <v>Ecublens</v>
      </c>
      <c r="C146" s="10">
        <f>'A) Base RI'!V144</f>
        <v>13214</v>
      </c>
      <c r="D146" s="10">
        <f t="shared" si="8"/>
        <v>1000</v>
      </c>
      <c r="E146" s="404">
        <f t="shared" si="7"/>
        <v>2000</v>
      </c>
      <c r="F146" s="10">
        <f t="shared" si="7"/>
        <v>2000</v>
      </c>
      <c r="G146" s="404">
        <f t="shared" si="7"/>
        <v>4000</v>
      </c>
      <c r="H146" s="41">
        <f t="shared" si="7"/>
        <v>3000</v>
      </c>
      <c r="I146" s="10">
        <f t="shared" si="7"/>
        <v>1214</v>
      </c>
      <c r="J146" s="10">
        <f t="shared" si="9"/>
        <v>0</v>
      </c>
      <c r="K146" s="112">
        <f t="shared" si="10"/>
        <v>7972925.5533199189</v>
      </c>
    </row>
    <row r="147" spans="1:11" x14ac:dyDescent="0.25">
      <c r="A147" s="49">
        <f>'A) Base RI'!A145</f>
        <v>5636</v>
      </c>
      <c r="B147" s="286" t="str">
        <f>'A) Base RI'!B145</f>
        <v>Etoy</v>
      </c>
      <c r="C147" s="10">
        <f>'A) Base RI'!V145</f>
        <v>2918</v>
      </c>
      <c r="D147" s="10">
        <f t="shared" si="8"/>
        <v>1000</v>
      </c>
      <c r="E147" s="404">
        <f t="shared" si="7"/>
        <v>1918</v>
      </c>
      <c r="F147" s="10">
        <f t="shared" si="7"/>
        <v>0</v>
      </c>
      <c r="G147" s="404">
        <f t="shared" si="7"/>
        <v>0</v>
      </c>
      <c r="H147" s="41">
        <f t="shared" si="7"/>
        <v>0</v>
      </c>
      <c r="I147" s="10">
        <f t="shared" si="7"/>
        <v>0</v>
      </c>
      <c r="J147" s="10">
        <f t="shared" si="9"/>
        <v>0</v>
      </c>
      <c r="K147" s="112">
        <f t="shared" si="10"/>
        <v>794697.78672032186</v>
      </c>
    </row>
    <row r="148" spans="1:11" x14ac:dyDescent="0.25">
      <c r="A148" s="49">
        <f>'A) Base RI'!A146</f>
        <v>5637</v>
      </c>
      <c r="B148" s="286" t="str">
        <f>'A) Base RI'!B146</f>
        <v>Lavigny</v>
      </c>
      <c r="C148" s="10">
        <f>'A) Base RI'!V146</f>
        <v>1026</v>
      </c>
      <c r="D148" s="10">
        <f t="shared" si="8"/>
        <v>1000</v>
      </c>
      <c r="E148" s="404">
        <f t="shared" si="7"/>
        <v>26</v>
      </c>
      <c r="F148" s="10">
        <f t="shared" si="7"/>
        <v>0</v>
      </c>
      <c r="G148" s="404">
        <f t="shared" si="7"/>
        <v>0</v>
      </c>
      <c r="H148" s="41">
        <f t="shared" si="7"/>
        <v>0</v>
      </c>
      <c r="I148" s="10">
        <f t="shared" si="7"/>
        <v>0</v>
      </c>
      <c r="J148" s="10">
        <f t="shared" si="9"/>
        <v>0</v>
      </c>
      <c r="K148" s="112">
        <f t="shared" si="10"/>
        <v>133830.18108651912</v>
      </c>
    </row>
    <row r="149" spans="1:11" x14ac:dyDescent="0.25">
      <c r="A149" s="49">
        <f>'A) Base RI'!A147</f>
        <v>5638</v>
      </c>
      <c r="B149" s="286" t="str">
        <f>'A) Base RI'!B147</f>
        <v>Lonay</v>
      </c>
      <c r="C149" s="10">
        <f>'A) Base RI'!V147</f>
        <v>2751</v>
      </c>
      <c r="D149" s="10">
        <f t="shared" si="8"/>
        <v>1000</v>
      </c>
      <c r="E149" s="404">
        <f t="shared" si="7"/>
        <v>1751</v>
      </c>
      <c r="F149" s="10">
        <f t="shared" si="7"/>
        <v>0</v>
      </c>
      <c r="G149" s="404">
        <f t="shared" si="7"/>
        <v>0</v>
      </c>
      <c r="H149" s="41">
        <f t="shared" si="7"/>
        <v>0</v>
      </c>
      <c r="I149" s="10">
        <f t="shared" si="7"/>
        <v>0</v>
      </c>
      <c r="J149" s="10">
        <f t="shared" si="9"/>
        <v>0</v>
      </c>
      <c r="K149" s="112">
        <f t="shared" si="10"/>
        <v>736365.39235412469</v>
      </c>
    </row>
    <row r="150" spans="1:11" x14ac:dyDescent="0.25">
      <c r="A150" s="49">
        <f>'A) Base RI'!A148</f>
        <v>5639</v>
      </c>
      <c r="B150" s="286" t="str">
        <f>'A) Base RI'!B148</f>
        <v>Lully</v>
      </c>
      <c r="C150" s="10">
        <f>'A) Base RI'!V148</f>
        <v>828</v>
      </c>
      <c r="D150" s="10">
        <f t="shared" si="8"/>
        <v>828</v>
      </c>
      <c r="E150" s="404">
        <f t="shared" si="7"/>
        <v>0</v>
      </c>
      <c r="F150" s="10">
        <f t="shared" si="7"/>
        <v>0</v>
      </c>
      <c r="G150" s="404">
        <f t="shared" si="7"/>
        <v>0</v>
      </c>
      <c r="H150" s="41">
        <f t="shared" si="7"/>
        <v>0</v>
      </c>
      <c r="I150" s="10">
        <f t="shared" si="7"/>
        <v>0</v>
      </c>
      <c r="J150" s="10">
        <f t="shared" si="9"/>
        <v>0</v>
      </c>
      <c r="K150" s="112">
        <f t="shared" si="10"/>
        <v>103291.75050301811</v>
      </c>
    </row>
    <row r="151" spans="1:11" x14ac:dyDescent="0.25">
      <c r="A151" s="49">
        <f>'A) Base RI'!A149</f>
        <v>5640</v>
      </c>
      <c r="B151" s="286" t="str">
        <f>'A) Base RI'!B149</f>
        <v>Lussy-sur-Morges</v>
      </c>
      <c r="C151" s="10">
        <f>'A) Base RI'!V149</f>
        <v>740</v>
      </c>
      <c r="D151" s="10">
        <f t="shared" si="8"/>
        <v>740</v>
      </c>
      <c r="E151" s="404">
        <f t="shared" si="7"/>
        <v>0</v>
      </c>
      <c r="F151" s="10">
        <f t="shared" si="7"/>
        <v>0</v>
      </c>
      <c r="G151" s="404">
        <f t="shared" si="7"/>
        <v>0</v>
      </c>
      <c r="H151" s="41">
        <f t="shared" si="7"/>
        <v>0</v>
      </c>
      <c r="I151" s="10">
        <f t="shared" si="7"/>
        <v>0</v>
      </c>
      <c r="J151" s="10">
        <f t="shared" si="9"/>
        <v>0</v>
      </c>
      <c r="K151" s="112">
        <f t="shared" si="10"/>
        <v>92313.883299798792</v>
      </c>
    </row>
    <row r="152" spans="1:11" x14ac:dyDescent="0.25">
      <c r="A152" s="49">
        <f>'A) Base RI'!A150</f>
        <v>5642</v>
      </c>
      <c r="B152" s="286" t="str">
        <f>'A) Base RI'!B150</f>
        <v>Morges</v>
      </c>
      <c r="C152" s="10">
        <f>'A) Base RI'!V150</f>
        <v>16885</v>
      </c>
      <c r="D152" s="10">
        <f t="shared" si="8"/>
        <v>1000</v>
      </c>
      <c r="E152" s="404">
        <f t="shared" si="7"/>
        <v>2000</v>
      </c>
      <c r="F152" s="10">
        <f t="shared" si="7"/>
        <v>2000</v>
      </c>
      <c r="G152" s="404">
        <f t="shared" si="7"/>
        <v>4000</v>
      </c>
      <c r="H152" s="41">
        <f t="shared" si="7"/>
        <v>3000</v>
      </c>
      <c r="I152" s="10">
        <f t="shared" si="7"/>
        <v>3000</v>
      </c>
      <c r="J152" s="10">
        <f t="shared" si="9"/>
        <v>1885</v>
      </c>
      <c r="K152" s="112">
        <f t="shared" si="10"/>
        <v>11730599.597585512</v>
      </c>
    </row>
    <row r="153" spans="1:11" x14ac:dyDescent="0.25">
      <c r="A153" s="49">
        <f>'A) Base RI'!A151</f>
        <v>5643</v>
      </c>
      <c r="B153" s="286" t="str">
        <f>'A) Base RI'!B151</f>
        <v>Préverenges</v>
      </c>
      <c r="C153" s="10">
        <f>'A) Base RI'!V151</f>
        <v>5208</v>
      </c>
      <c r="D153" s="10">
        <f t="shared" si="8"/>
        <v>1000</v>
      </c>
      <c r="E153" s="404">
        <f t="shared" si="7"/>
        <v>2000</v>
      </c>
      <c r="F153" s="10">
        <f t="shared" si="7"/>
        <v>2000</v>
      </c>
      <c r="G153" s="404">
        <f t="shared" si="7"/>
        <v>208</v>
      </c>
      <c r="H153" s="41">
        <f t="shared" si="7"/>
        <v>0</v>
      </c>
      <c r="I153" s="10">
        <f t="shared" si="7"/>
        <v>0</v>
      </c>
      <c r="J153" s="10">
        <f t="shared" si="9"/>
        <v>0</v>
      </c>
      <c r="K153" s="112">
        <f t="shared" si="10"/>
        <v>1945876.8611670018</v>
      </c>
    </row>
    <row r="154" spans="1:11" x14ac:dyDescent="0.25">
      <c r="A154" s="49">
        <f>'A) Base RI'!A152</f>
        <v>5644</v>
      </c>
      <c r="B154" s="286" t="str">
        <f>'A) Base RI'!B152</f>
        <v>Reverolle</v>
      </c>
      <c r="C154" s="10">
        <f>'A) Base RI'!V152</f>
        <v>403</v>
      </c>
      <c r="D154" s="10">
        <f t="shared" si="8"/>
        <v>403</v>
      </c>
      <c r="E154" s="404">
        <f t="shared" si="7"/>
        <v>0</v>
      </c>
      <c r="F154" s="10">
        <f t="shared" si="7"/>
        <v>0</v>
      </c>
      <c r="G154" s="404">
        <f t="shared" si="7"/>
        <v>0</v>
      </c>
      <c r="H154" s="41">
        <f t="shared" si="7"/>
        <v>0</v>
      </c>
      <c r="I154" s="10">
        <f t="shared" si="7"/>
        <v>0</v>
      </c>
      <c r="J154" s="10">
        <f t="shared" si="9"/>
        <v>0</v>
      </c>
      <c r="K154" s="112">
        <f t="shared" si="10"/>
        <v>50273.641851106637</v>
      </c>
    </row>
    <row r="155" spans="1:11" x14ac:dyDescent="0.25">
      <c r="A155" s="49">
        <f>'A) Base RI'!A153</f>
        <v>5645</v>
      </c>
      <c r="B155" s="286" t="str">
        <f>'A) Base RI'!B153</f>
        <v>Romanel-sur-Morges</v>
      </c>
      <c r="C155" s="10">
        <f>'A) Base RI'!V153</f>
        <v>466</v>
      </c>
      <c r="D155" s="10">
        <f t="shared" si="8"/>
        <v>466</v>
      </c>
      <c r="E155" s="404">
        <f t="shared" si="7"/>
        <v>0</v>
      </c>
      <c r="F155" s="10">
        <f t="shared" si="7"/>
        <v>0</v>
      </c>
      <c r="G155" s="404">
        <f t="shared" si="7"/>
        <v>0</v>
      </c>
      <c r="H155" s="41">
        <f t="shared" si="7"/>
        <v>0</v>
      </c>
      <c r="I155" s="10">
        <f t="shared" si="7"/>
        <v>0</v>
      </c>
      <c r="J155" s="10">
        <f t="shared" si="9"/>
        <v>0</v>
      </c>
      <c r="K155" s="112">
        <f t="shared" si="10"/>
        <v>58132.796780684097</v>
      </c>
    </row>
    <row r="156" spans="1:11" x14ac:dyDescent="0.25">
      <c r="A156" s="49">
        <f>'A) Base RI'!A154</f>
        <v>5646</v>
      </c>
      <c r="B156" s="286" t="str">
        <f>'A) Base RI'!B154</f>
        <v>Saint-Prex</v>
      </c>
      <c r="C156" s="10">
        <f>'A) Base RI'!V154</f>
        <v>5866</v>
      </c>
      <c r="D156" s="10">
        <f t="shared" si="8"/>
        <v>1000</v>
      </c>
      <c r="E156" s="404">
        <f t="shared" si="7"/>
        <v>2000</v>
      </c>
      <c r="F156" s="10">
        <f t="shared" si="7"/>
        <v>2000</v>
      </c>
      <c r="G156" s="404">
        <f t="shared" si="7"/>
        <v>866</v>
      </c>
      <c r="H156" s="41">
        <f t="shared" si="7"/>
        <v>0</v>
      </c>
      <c r="I156" s="10">
        <f t="shared" si="7"/>
        <v>0</v>
      </c>
      <c r="J156" s="10">
        <f t="shared" si="9"/>
        <v>0</v>
      </c>
      <c r="K156" s="112">
        <f t="shared" si="10"/>
        <v>2339882.4949698187</v>
      </c>
    </row>
    <row r="157" spans="1:11" x14ac:dyDescent="0.25">
      <c r="A157" s="49">
        <f>'A) Base RI'!A155</f>
        <v>5648</v>
      </c>
      <c r="B157" s="286" t="str">
        <f>'A) Base RI'!B155</f>
        <v>Saint-Sulpice</v>
      </c>
      <c r="C157" s="10">
        <f>'A) Base RI'!V155</f>
        <v>4932</v>
      </c>
      <c r="D157" s="10">
        <f t="shared" si="8"/>
        <v>1000</v>
      </c>
      <c r="E157" s="404">
        <f t="shared" si="7"/>
        <v>2000</v>
      </c>
      <c r="F157" s="10">
        <f t="shared" si="7"/>
        <v>1932</v>
      </c>
      <c r="G157" s="404">
        <f t="shared" si="7"/>
        <v>0</v>
      </c>
      <c r="H157" s="41">
        <f t="shared" si="7"/>
        <v>0</v>
      </c>
      <c r="I157" s="10">
        <f t="shared" si="7"/>
        <v>0</v>
      </c>
      <c r="J157" s="10">
        <f t="shared" si="9"/>
        <v>0</v>
      </c>
      <c r="K157" s="112">
        <f t="shared" si="10"/>
        <v>1787396.3782696174</v>
      </c>
    </row>
    <row r="158" spans="1:11" x14ac:dyDescent="0.25">
      <c r="A158" s="49">
        <f>'A) Base RI'!A156</f>
        <v>5649</v>
      </c>
      <c r="B158" s="286" t="str">
        <f>'A) Base RI'!B156</f>
        <v>Tolochenaz</v>
      </c>
      <c r="C158" s="10">
        <f>'A) Base RI'!V156</f>
        <v>1886</v>
      </c>
      <c r="D158" s="10">
        <f t="shared" si="8"/>
        <v>1000</v>
      </c>
      <c r="E158" s="404">
        <f t="shared" si="7"/>
        <v>886</v>
      </c>
      <c r="F158" s="10">
        <f t="shared" si="7"/>
        <v>0</v>
      </c>
      <c r="G158" s="404">
        <f t="shared" ref="E158:I209" si="11">IF($C158&gt;G$5,IF($C158&lt;G$6,$C158-G$5,G$6-G$5),0)</f>
        <v>0</v>
      </c>
      <c r="H158" s="41">
        <f t="shared" si="11"/>
        <v>0</v>
      </c>
      <c r="I158" s="10">
        <f t="shared" si="11"/>
        <v>0</v>
      </c>
      <c r="J158" s="10">
        <f t="shared" si="9"/>
        <v>0</v>
      </c>
      <c r="K158" s="112">
        <f t="shared" si="10"/>
        <v>434224.54728370218</v>
      </c>
    </row>
    <row r="159" spans="1:11" x14ac:dyDescent="0.25">
      <c r="A159" s="49">
        <f>'A) Base RI'!A157</f>
        <v>5650</v>
      </c>
      <c r="B159" s="286" t="str">
        <f>'A) Base RI'!B157</f>
        <v>Vaux-sur-Morges</v>
      </c>
      <c r="C159" s="10">
        <f>'A) Base RI'!V157</f>
        <v>196</v>
      </c>
      <c r="D159" s="10">
        <f t="shared" si="8"/>
        <v>196</v>
      </c>
      <c r="E159" s="404">
        <f t="shared" si="11"/>
        <v>0</v>
      </c>
      <c r="F159" s="10">
        <f t="shared" si="11"/>
        <v>0</v>
      </c>
      <c r="G159" s="404">
        <f t="shared" si="11"/>
        <v>0</v>
      </c>
      <c r="H159" s="41">
        <f t="shared" si="11"/>
        <v>0</v>
      </c>
      <c r="I159" s="10">
        <f t="shared" si="11"/>
        <v>0</v>
      </c>
      <c r="J159" s="10">
        <f t="shared" si="9"/>
        <v>0</v>
      </c>
      <c r="K159" s="112">
        <f t="shared" si="10"/>
        <v>24450.70422535211</v>
      </c>
    </row>
    <row r="160" spans="1:11" x14ac:dyDescent="0.25">
      <c r="A160" s="49">
        <f>'A) Base RI'!A158</f>
        <v>5651</v>
      </c>
      <c r="B160" s="286" t="str">
        <f>'A) Base RI'!B158</f>
        <v>Villars-Sainte-Croix</v>
      </c>
      <c r="C160" s="10">
        <f>'A) Base RI'!V158</f>
        <v>958</v>
      </c>
      <c r="D160" s="10">
        <f t="shared" si="8"/>
        <v>958</v>
      </c>
      <c r="E160" s="404">
        <f t="shared" si="11"/>
        <v>0</v>
      </c>
      <c r="F160" s="10">
        <f t="shared" si="11"/>
        <v>0</v>
      </c>
      <c r="G160" s="404">
        <f t="shared" si="11"/>
        <v>0</v>
      </c>
      <c r="H160" s="41">
        <f t="shared" si="11"/>
        <v>0</v>
      </c>
      <c r="I160" s="10">
        <f t="shared" si="11"/>
        <v>0</v>
      </c>
      <c r="J160" s="10">
        <f t="shared" si="9"/>
        <v>0</v>
      </c>
      <c r="K160" s="112">
        <f t="shared" si="10"/>
        <v>119509.05432595573</v>
      </c>
    </row>
    <row r="161" spans="1:11" x14ac:dyDescent="0.25">
      <c r="A161" s="49">
        <f>'A) Base RI'!A159</f>
        <v>5652</v>
      </c>
      <c r="B161" s="286" t="str">
        <f>'A) Base RI'!B159</f>
        <v>Villars-sous-Yens</v>
      </c>
      <c r="C161" s="10">
        <f>'A) Base RI'!V159</f>
        <v>626</v>
      </c>
      <c r="D161" s="10">
        <f t="shared" si="8"/>
        <v>626</v>
      </c>
      <c r="E161" s="404">
        <f t="shared" si="11"/>
        <v>0</v>
      </c>
      <c r="F161" s="10">
        <f t="shared" si="11"/>
        <v>0</v>
      </c>
      <c r="G161" s="404">
        <f t="shared" si="11"/>
        <v>0</v>
      </c>
      <c r="H161" s="41">
        <f t="shared" si="11"/>
        <v>0</v>
      </c>
      <c r="I161" s="10">
        <f t="shared" si="11"/>
        <v>0</v>
      </c>
      <c r="J161" s="10">
        <f t="shared" si="9"/>
        <v>0</v>
      </c>
      <c r="K161" s="112">
        <f t="shared" si="10"/>
        <v>78092.555331991942</v>
      </c>
    </row>
    <row r="162" spans="1:11" x14ac:dyDescent="0.25">
      <c r="A162" s="49">
        <f>'A) Base RI'!A160</f>
        <v>5653</v>
      </c>
      <c r="B162" s="286" t="str">
        <f>'A) Base RI'!B160</f>
        <v>Vufflens-le-Château</v>
      </c>
      <c r="C162" s="10">
        <f>'A) Base RI'!V160</f>
        <v>894</v>
      </c>
      <c r="D162" s="10">
        <f t="shared" si="8"/>
        <v>894</v>
      </c>
      <c r="E162" s="404">
        <f t="shared" si="11"/>
        <v>0</v>
      </c>
      <c r="F162" s="10">
        <f t="shared" si="11"/>
        <v>0</v>
      </c>
      <c r="G162" s="404">
        <f t="shared" si="11"/>
        <v>0</v>
      </c>
      <c r="H162" s="41">
        <f t="shared" si="11"/>
        <v>0</v>
      </c>
      <c r="I162" s="10">
        <f t="shared" si="11"/>
        <v>0</v>
      </c>
      <c r="J162" s="10">
        <f t="shared" si="9"/>
        <v>0</v>
      </c>
      <c r="K162" s="112">
        <f t="shared" si="10"/>
        <v>111525.15090543259</v>
      </c>
    </row>
    <row r="163" spans="1:11" x14ac:dyDescent="0.25">
      <c r="A163" s="49">
        <f>'A) Base RI'!A161</f>
        <v>5654</v>
      </c>
      <c r="B163" s="286" t="str">
        <f>'A) Base RI'!B161</f>
        <v>Vullierens</v>
      </c>
      <c r="C163" s="10">
        <f>'A) Base RI'!V161</f>
        <v>560</v>
      </c>
      <c r="D163" s="10">
        <f t="shared" si="8"/>
        <v>560</v>
      </c>
      <c r="E163" s="404">
        <f t="shared" si="11"/>
        <v>0</v>
      </c>
      <c r="F163" s="10">
        <f t="shared" si="11"/>
        <v>0</v>
      </c>
      <c r="G163" s="404">
        <f t="shared" si="11"/>
        <v>0</v>
      </c>
      <c r="H163" s="41">
        <f t="shared" si="11"/>
        <v>0</v>
      </c>
      <c r="I163" s="10">
        <f t="shared" si="11"/>
        <v>0</v>
      </c>
      <c r="J163" s="10">
        <f t="shared" si="9"/>
        <v>0</v>
      </c>
      <c r="K163" s="112">
        <f t="shared" si="10"/>
        <v>69859.15492957746</v>
      </c>
    </row>
    <row r="164" spans="1:11" x14ac:dyDescent="0.25">
      <c r="A164" s="49">
        <f>'A) Base RI'!A162</f>
        <v>5655</v>
      </c>
      <c r="B164" s="286" t="str">
        <f>'A) Base RI'!B162</f>
        <v>Yens</v>
      </c>
      <c r="C164" s="10">
        <f>'A) Base RI'!V162</f>
        <v>1499</v>
      </c>
      <c r="D164" s="10">
        <f t="shared" si="8"/>
        <v>1000</v>
      </c>
      <c r="E164" s="404">
        <f t="shared" si="11"/>
        <v>499</v>
      </c>
      <c r="F164" s="10">
        <f t="shared" si="11"/>
        <v>0</v>
      </c>
      <c r="G164" s="404">
        <f t="shared" si="11"/>
        <v>0</v>
      </c>
      <c r="H164" s="41">
        <f t="shared" si="11"/>
        <v>0</v>
      </c>
      <c r="I164" s="10">
        <f t="shared" si="11"/>
        <v>0</v>
      </c>
      <c r="J164" s="10">
        <f t="shared" si="9"/>
        <v>0</v>
      </c>
      <c r="K164" s="112">
        <f t="shared" si="10"/>
        <v>299047.08249496983</v>
      </c>
    </row>
    <row r="165" spans="1:11" x14ac:dyDescent="0.25">
      <c r="A165" s="49">
        <f>'A) Base RI'!A163</f>
        <v>5661</v>
      </c>
      <c r="B165" s="286" t="str">
        <f>'A) Base RI'!B163</f>
        <v>Boulens</v>
      </c>
      <c r="C165" s="10">
        <f>'A) Base RI'!V163</f>
        <v>371</v>
      </c>
      <c r="D165" s="10">
        <f t="shared" si="8"/>
        <v>371</v>
      </c>
      <c r="E165" s="404">
        <f t="shared" si="11"/>
        <v>0</v>
      </c>
      <c r="F165" s="10">
        <f t="shared" si="11"/>
        <v>0</v>
      </c>
      <c r="G165" s="404">
        <f t="shared" si="11"/>
        <v>0</v>
      </c>
      <c r="H165" s="41">
        <f t="shared" si="11"/>
        <v>0</v>
      </c>
      <c r="I165" s="10">
        <f t="shared" si="11"/>
        <v>0</v>
      </c>
      <c r="J165" s="10">
        <f t="shared" si="9"/>
        <v>0</v>
      </c>
      <c r="K165" s="112">
        <f t="shared" si="10"/>
        <v>46281.690140845065</v>
      </c>
    </row>
    <row r="166" spans="1:11" x14ac:dyDescent="0.25">
      <c r="A166" s="49">
        <f>'A) Base RI'!A164</f>
        <v>5663</v>
      </c>
      <c r="B166" s="286" t="str">
        <f>'A) Base RI'!B164</f>
        <v>Bussy-sur-Moudon</v>
      </c>
      <c r="C166" s="10">
        <f>'A) Base RI'!V164</f>
        <v>236</v>
      </c>
      <c r="D166" s="10">
        <f t="shared" si="8"/>
        <v>236</v>
      </c>
      <c r="E166" s="404">
        <f t="shared" si="11"/>
        <v>0</v>
      </c>
      <c r="F166" s="10">
        <f t="shared" si="11"/>
        <v>0</v>
      </c>
      <c r="G166" s="404">
        <f t="shared" si="11"/>
        <v>0</v>
      </c>
      <c r="H166" s="41">
        <f t="shared" si="11"/>
        <v>0</v>
      </c>
      <c r="I166" s="10">
        <f t="shared" si="11"/>
        <v>0</v>
      </c>
      <c r="J166" s="10">
        <f t="shared" si="9"/>
        <v>0</v>
      </c>
      <c r="K166" s="112">
        <f t="shared" si="10"/>
        <v>29440.643863179073</v>
      </c>
    </row>
    <row r="167" spans="1:11" x14ac:dyDescent="0.25">
      <c r="A167" s="49">
        <f>'A) Base RI'!A165</f>
        <v>5665</v>
      </c>
      <c r="B167" s="286" t="str">
        <f>'A) Base RI'!B165</f>
        <v>Chavannes-sur-Moudon</v>
      </c>
      <c r="C167" s="10">
        <f>'A) Base RI'!V165</f>
        <v>222</v>
      </c>
      <c r="D167" s="10">
        <f t="shared" si="8"/>
        <v>222</v>
      </c>
      <c r="E167" s="404">
        <f t="shared" si="11"/>
        <v>0</v>
      </c>
      <c r="F167" s="10">
        <f t="shared" si="11"/>
        <v>0</v>
      </c>
      <c r="G167" s="404">
        <f t="shared" si="11"/>
        <v>0</v>
      </c>
      <c r="H167" s="41">
        <f t="shared" si="11"/>
        <v>0</v>
      </c>
      <c r="I167" s="10">
        <f t="shared" si="11"/>
        <v>0</v>
      </c>
      <c r="J167" s="10">
        <f t="shared" si="9"/>
        <v>0</v>
      </c>
      <c r="K167" s="112">
        <f t="shared" si="10"/>
        <v>27694.164989939636</v>
      </c>
    </row>
    <row r="168" spans="1:11" x14ac:dyDescent="0.25">
      <c r="A168" s="49">
        <f>'A) Base RI'!A166</f>
        <v>5669</v>
      </c>
      <c r="B168" s="286" t="str">
        <f>'A) Base RI'!B166</f>
        <v>Curtilles</v>
      </c>
      <c r="C168" s="10">
        <f>'A) Base RI'!V166</f>
        <v>296</v>
      </c>
      <c r="D168" s="10">
        <f t="shared" si="8"/>
        <v>296</v>
      </c>
      <c r="E168" s="404">
        <f t="shared" si="11"/>
        <v>0</v>
      </c>
      <c r="F168" s="10">
        <f t="shared" si="11"/>
        <v>0</v>
      </c>
      <c r="G168" s="404">
        <f t="shared" si="11"/>
        <v>0</v>
      </c>
      <c r="H168" s="41">
        <f t="shared" si="11"/>
        <v>0</v>
      </c>
      <c r="I168" s="10">
        <f t="shared" si="11"/>
        <v>0</v>
      </c>
      <c r="J168" s="10">
        <f t="shared" si="9"/>
        <v>0</v>
      </c>
      <c r="K168" s="112">
        <f t="shared" si="10"/>
        <v>36925.553319919512</v>
      </c>
    </row>
    <row r="169" spans="1:11" x14ac:dyDescent="0.25">
      <c r="A169" s="49">
        <f>'A) Base RI'!A167</f>
        <v>5671</v>
      </c>
      <c r="B169" s="286" t="str">
        <f>'A) Base RI'!B167</f>
        <v>Dompierre</v>
      </c>
      <c r="C169" s="10">
        <f>'A) Base RI'!V167</f>
        <v>246</v>
      </c>
      <c r="D169" s="10">
        <f t="shared" si="8"/>
        <v>246</v>
      </c>
      <c r="E169" s="404">
        <f t="shared" si="11"/>
        <v>0</v>
      </c>
      <c r="F169" s="10">
        <f t="shared" si="11"/>
        <v>0</v>
      </c>
      <c r="G169" s="404">
        <f t="shared" si="11"/>
        <v>0</v>
      </c>
      <c r="H169" s="41">
        <f t="shared" si="11"/>
        <v>0</v>
      </c>
      <c r="I169" s="10">
        <f t="shared" si="11"/>
        <v>0</v>
      </c>
      <c r="J169" s="10">
        <f t="shared" si="9"/>
        <v>0</v>
      </c>
      <c r="K169" s="112">
        <f t="shared" si="10"/>
        <v>30688.128772635813</v>
      </c>
    </row>
    <row r="170" spans="1:11" x14ac:dyDescent="0.25">
      <c r="A170" s="49">
        <f>'A) Base RI'!A168</f>
        <v>5673</v>
      </c>
      <c r="B170" s="286" t="str">
        <f>'A) Base RI'!B168</f>
        <v>Hermenches</v>
      </c>
      <c r="C170" s="10">
        <f>'A) Base RI'!V168</f>
        <v>371</v>
      </c>
      <c r="D170" s="10">
        <f t="shared" si="8"/>
        <v>371</v>
      </c>
      <c r="E170" s="404">
        <f t="shared" si="11"/>
        <v>0</v>
      </c>
      <c r="F170" s="10">
        <f t="shared" si="11"/>
        <v>0</v>
      </c>
      <c r="G170" s="404">
        <f t="shared" si="11"/>
        <v>0</v>
      </c>
      <c r="H170" s="41">
        <f t="shared" si="11"/>
        <v>0</v>
      </c>
      <c r="I170" s="10">
        <f t="shared" si="11"/>
        <v>0</v>
      </c>
      <c r="J170" s="10">
        <f t="shared" si="9"/>
        <v>0</v>
      </c>
      <c r="K170" s="112">
        <f t="shared" si="10"/>
        <v>46281.690140845065</v>
      </c>
    </row>
    <row r="171" spans="1:11" x14ac:dyDescent="0.25">
      <c r="A171" s="49">
        <f>'A) Base RI'!A169</f>
        <v>5674</v>
      </c>
      <c r="B171" s="286" t="str">
        <f>'A) Base RI'!B169</f>
        <v>Lovatens</v>
      </c>
      <c r="C171" s="10">
        <f>'A) Base RI'!V169</f>
        <v>146</v>
      </c>
      <c r="D171" s="10">
        <f t="shared" si="8"/>
        <v>146</v>
      </c>
      <c r="E171" s="404">
        <f t="shared" si="11"/>
        <v>0</v>
      </c>
      <c r="F171" s="10">
        <f t="shared" si="11"/>
        <v>0</v>
      </c>
      <c r="G171" s="404">
        <f t="shared" si="11"/>
        <v>0</v>
      </c>
      <c r="H171" s="41">
        <f t="shared" si="11"/>
        <v>0</v>
      </c>
      <c r="I171" s="10">
        <f t="shared" si="11"/>
        <v>0</v>
      </c>
      <c r="J171" s="10">
        <f t="shared" si="9"/>
        <v>0</v>
      </c>
      <c r="K171" s="112">
        <f t="shared" si="10"/>
        <v>18213.279678068408</v>
      </c>
    </row>
    <row r="172" spans="1:11" x14ac:dyDescent="0.25">
      <c r="A172" s="49">
        <f>'A) Base RI'!A170</f>
        <v>5675</v>
      </c>
      <c r="B172" s="286" t="str">
        <f>'A) Base RI'!B170</f>
        <v>Lucens</v>
      </c>
      <c r="C172" s="10">
        <f>'A) Base RI'!V170</f>
        <v>4373</v>
      </c>
      <c r="D172" s="10">
        <f t="shared" ref="D172:D235" si="12">IF($C172&gt;D$5,IF($C172&lt;D$6,$C172-D$5,D$6-D$5),0)</f>
        <v>1000</v>
      </c>
      <c r="E172" s="404">
        <f t="shared" si="11"/>
        <v>2000</v>
      </c>
      <c r="F172" s="10">
        <f t="shared" si="11"/>
        <v>1373</v>
      </c>
      <c r="G172" s="404">
        <f t="shared" si="11"/>
        <v>0</v>
      </c>
      <c r="H172" s="41">
        <f t="shared" si="11"/>
        <v>0</v>
      </c>
      <c r="I172" s="10">
        <f t="shared" si="11"/>
        <v>0</v>
      </c>
      <c r="J172" s="10">
        <f t="shared" si="9"/>
        <v>0</v>
      </c>
      <c r="K172" s="112">
        <f t="shared" si="10"/>
        <v>1508458.7525150904</v>
      </c>
    </row>
    <row r="173" spans="1:11" x14ac:dyDescent="0.25">
      <c r="A173" s="49">
        <f>'A) Base RI'!A171</f>
        <v>5678</v>
      </c>
      <c r="B173" s="286" t="str">
        <f>'A) Base RI'!B171</f>
        <v>Moudon</v>
      </c>
      <c r="C173" s="10">
        <f>'A) Base RI'!V171</f>
        <v>6120</v>
      </c>
      <c r="D173" s="10">
        <f t="shared" si="12"/>
        <v>1000</v>
      </c>
      <c r="E173" s="404">
        <f t="shared" si="11"/>
        <v>2000</v>
      </c>
      <c r="F173" s="10">
        <f t="shared" si="11"/>
        <v>2000</v>
      </c>
      <c r="G173" s="404">
        <f t="shared" si="11"/>
        <v>1120</v>
      </c>
      <c r="H173" s="41">
        <f t="shared" si="11"/>
        <v>0</v>
      </c>
      <c r="I173" s="10">
        <f t="shared" si="11"/>
        <v>0</v>
      </c>
      <c r="J173" s="10">
        <f t="shared" si="9"/>
        <v>0</v>
      </c>
      <c r="K173" s="112">
        <f t="shared" si="10"/>
        <v>2491975.8551307842</v>
      </c>
    </row>
    <row r="174" spans="1:11" x14ac:dyDescent="0.25">
      <c r="A174" s="49">
        <f>'A) Base RI'!A172</f>
        <v>5680</v>
      </c>
      <c r="B174" s="286" t="str">
        <f>'A) Base RI'!B172</f>
        <v>Ogens</v>
      </c>
      <c r="C174" s="10">
        <f>'A) Base RI'!V172</f>
        <v>321</v>
      </c>
      <c r="D174" s="10">
        <f t="shared" si="12"/>
        <v>321</v>
      </c>
      <c r="E174" s="404">
        <f t="shared" si="11"/>
        <v>0</v>
      </c>
      <c r="F174" s="10">
        <f t="shared" si="11"/>
        <v>0</v>
      </c>
      <c r="G174" s="404">
        <f t="shared" si="11"/>
        <v>0</v>
      </c>
      <c r="H174" s="41">
        <f t="shared" si="11"/>
        <v>0</v>
      </c>
      <c r="I174" s="10">
        <f t="shared" si="11"/>
        <v>0</v>
      </c>
      <c r="J174" s="10">
        <f t="shared" si="9"/>
        <v>0</v>
      </c>
      <c r="K174" s="112">
        <f t="shared" si="10"/>
        <v>40044.265593561366</v>
      </c>
    </row>
    <row r="175" spans="1:11" x14ac:dyDescent="0.25">
      <c r="A175" s="49">
        <f>'A) Base RI'!A173</f>
        <v>5683</v>
      </c>
      <c r="B175" s="286" t="str">
        <f>'A) Base RI'!B173</f>
        <v>Prévonloup</v>
      </c>
      <c r="C175" s="10">
        <f>'A) Base RI'!V173</f>
        <v>215</v>
      </c>
      <c r="D175" s="10">
        <f t="shared" si="12"/>
        <v>215</v>
      </c>
      <c r="E175" s="404">
        <f t="shared" si="11"/>
        <v>0</v>
      </c>
      <c r="F175" s="10">
        <f t="shared" si="11"/>
        <v>0</v>
      </c>
      <c r="G175" s="404">
        <f t="shared" si="11"/>
        <v>0</v>
      </c>
      <c r="H175" s="41">
        <f t="shared" si="11"/>
        <v>0</v>
      </c>
      <c r="I175" s="10">
        <f t="shared" si="11"/>
        <v>0</v>
      </c>
      <c r="J175" s="10">
        <f t="shared" si="9"/>
        <v>0</v>
      </c>
      <c r="K175" s="112">
        <f t="shared" si="10"/>
        <v>26820.925553319918</v>
      </c>
    </row>
    <row r="176" spans="1:11" x14ac:dyDescent="0.25">
      <c r="A176" s="49">
        <f>'A) Base RI'!A174</f>
        <v>5684</v>
      </c>
      <c r="B176" s="286" t="str">
        <f>'A) Base RI'!B174</f>
        <v>Rossenges</v>
      </c>
      <c r="C176" s="10">
        <f>'A) Base RI'!V174</f>
        <v>93</v>
      </c>
      <c r="D176" s="10">
        <f t="shared" si="12"/>
        <v>93</v>
      </c>
      <c r="E176" s="404">
        <f t="shared" si="11"/>
        <v>0</v>
      </c>
      <c r="F176" s="10">
        <f t="shared" si="11"/>
        <v>0</v>
      </c>
      <c r="G176" s="404">
        <f t="shared" si="11"/>
        <v>0</v>
      </c>
      <c r="H176" s="41">
        <f t="shared" si="11"/>
        <v>0</v>
      </c>
      <c r="I176" s="10">
        <f t="shared" si="11"/>
        <v>0</v>
      </c>
      <c r="J176" s="10">
        <f t="shared" si="9"/>
        <v>0</v>
      </c>
      <c r="K176" s="112">
        <f t="shared" si="10"/>
        <v>11601.609657947685</v>
      </c>
    </row>
    <row r="177" spans="1:11" x14ac:dyDescent="0.25">
      <c r="A177" s="49">
        <f>'A) Base RI'!A175</f>
        <v>5688</v>
      </c>
      <c r="B177" s="286" t="str">
        <f>'A) Base RI'!B175</f>
        <v>Syens</v>
      </c>
      <c r="C177" s="10">
        <f>'A) Base RI'!V175</f>
        <v>161</v>
      </c>
      <c r="D177" s="10">
        <f t="shared" si="12"/>
        <v>161</v>
      </c>
      <c r="E177" s="404">
        <f t="shared" si="11"/>
        <v>0</v>
      </c>
      <c r="F177" s="10">
        <f t="shared" si="11"/>
        <v>0</v>
      </c>
      <c r="G177" s="404">
        <f t="shared" si="11"/>
        <v>0</v>
      </c>
      <c r="H177" s="41">
        <f t="shared" si="11"/>
        <v>0</v>
      </c>
      <c r="I177" s="10">
        <f t="shared" si="11"/>
        <v>0</v>
      </c>
      <c r="J177" s="10">
        <f t="shared" si="9"/>
        <v>0</v>
      </c>
      <c r="K177" s="112">
        <f t="shared" si="10"/>
        <v>20084.507042253521</v>
      </c>
    </row>
    <row r="178" spans="1:11" x14ac:dyDescent="0.25">
      <c r="A178" s="49">
        <f>'A) Base RI'!A176</f>
        <v>5690</v>
      </c>
      <c r="B178" s="286" t="str">
        <f>'A) Base RI'!B176</f>
        <v>Villars-le-Comte</v>
      </c>
      <c r="C178" s="10">
        <f>'A) Base RI'!V176</f>
        <v>133</v>
      </c>
      <c r="D178" s="10">
        <f t="shared" si="12"/>
        <v>133</v>
      </c>
      <c r="E178" s="404">
        <f t="shared" si="11"/>
        <v>0</v>
      </c>
      <c r="F178" s="10">
        <f t="shared" si="11"/>
        <v>0</v>
      </c>
      <c r="G178" s="404">
        <f t="shared" si="11"/>
        <v>0</v>
      </c>
      <c r="H178" s="41">
        <f t="shared" si="11"/>
        <v>0</v>
      </c>
      <c r="I178" s="10">
        <f t="shared" si="11"/>
        <v>0</v>
      </c>
      <c r="J178" s="10">
        <f t="shared" si="9"/>
        <v>0</v>
      </c>
      <c r="K178" s="112">
        <f t="shared" si="10"/>
        <v>16591.549295774646</v>
      </c>
    </row>
    <row r="179" spans="1:11" x14ac:dyDescent="0.25">
      <c r="A179" s="49">
        <f>'A) Base RI'!A177</f>
        <v>5692</v>
      </c>
      <c r="B179" s="286" t="str">
        <f>'A) Base RI'!B177</f>
        <v>Vucherens</v>
      </c>
      <c r="C179" s="10">
        <f>'A) Base RI'!V177</f>
        <v>623</v>
      </c>
      <c r="D179" s="10">
        <f t="shared" si="12"/>
        <v>623</v>
      </c>
      <c r="E179" s="404">
        <f t="shared" si="11"/>
        <v>0</v>
      </c>
      <c r="F179" s="10">
        <f t="shared" si="11"/>
        <v>0</v>
      </c>
      <c r="G179" s="404">
        <f t="shared" si="11"/>
        <v>0</v>
      </c>
      <c r="H179" s="41">
        <f t="shared" si="11"/>
        <v>0</v>
      </c>
      <c r="I179" s="10">
        <f t="shared" si="11"/>
        <v>0</v>
      </c>
      <c r="J179" s="10">
        <f t="shared" si="9"/>
        <v>0</v>
      </c>
      <c r="K179" s="112">
        <f t="shared" si="10"/>
        <v>77718.309859154921</v>
      </c>
    </row>
    <row r="180" spans="1:11" x14ac:dyDescent="0.25">
      <c r="A180" s="49">
        <f>'A) Base RI'!A178</f>
        <v>5693</v>
      </c>
      <c r="B180" s="286" t="str">
        <f>'A) Base RI'!B178</f>
        <v>Montanaire</v>
      </c>
      <c r="C180" s="10">
        <f>'A) Base RI'!V178</f>
        <v>2768</v>
      </c>
      <c r="D180" s="10">
        <f t="shared" si="12"/>
        <v>1000</v>
      </c>
      <c r="E180" s="404">
        <f t="shared" si="11"/>
        <v>1768</v>
      </c>
      <c r="F180" s="10">
        <f t="shared" si="11"/>
        <v>0</v>
      </c>
      <c r="G180" s="404">
        <f t="shared" si="11"/>
        <v>0</v>
      </c>
      <c r="H180" s="41">
        <f t="shared" si="11"/>
        <v>0</v>
      </c>
      <c r="I180" s="10">
        <f t="shared" si="11"/>
        <v>0</v>
      </c>
      <c r="J180" s="10">
        <f t="shared" si="9"/>
        <v>0</v>
      </c>
      <c r="K180" s="112">
        <f t="shared" si="10"/>
        <v>742303.42052313872</v>
      </c>
    </row>
    <row r="181" spans="1:11" x14ac:dyDescent="0.25">
      <c r="A181" s="49">
        <f>'A) Base RI'!A179</f>
        <v>5701</v>
      </c>
      <c r="B181" s="286" t="str">
        <f>'A) Base RI'!B179</f>
        <v>Arnex-sur-Nyon</v>
      </c>
      <c r="C181" s="10">
        <f>'A) Base RI'!V179</f>
        <v>226</v>
      </c>
      <c r="D181" s="10">
        <f t="shared" si="12"/>
        <v>226</v>
      </c>
      <c r="E181" s="404">
        <f t="shared" si="11"/>
        <v>0</v>
      </c>
      <c r="F181" s="10">
        <f t="shared" si="11"/>
        <v>0</v>
      </c>
      <c r="G181" s="404">
        <f t="shared" si="11"/>
        <v>0</v>
      </c>
      <c r="H181" s="41">
        <f t="shared" si="11"/>
        <v>0</v>
      </c>
      <c r="I181" s="10">
        <f t="shared" si="11"/>
        <v>0</v>
      </c>
      <c r="J181" s="10">
        <f t="shared" si="9"/>
        <v>0</v>
      </c>
      <c r="K181" s="112">
        <f t="shared" si="10"/>
        <v>28193.158953722334</v>
      </c>
    </row>
    <row r="182" spans="1:11" x14ac:dyDescent="0.25">
      <c r="A182" s="49">
        <f>'A) Base RI'!A180</f>
        <v>5702</v>
      </c>
      <c r="B182" s="286" t="str">
        <f>'A) Base RI'!B180</f>
        <v>Arzier-Le Muids</v>
      </c>
      <c r="C182" s="10">
        <f>'A) Base RI'!V180</f>
        <v>2947</v>
      </c>
      <c r="D182" s="10">
        <f t="shared" si="12"/>
        <v>1000</v>
      </c>
      <c r="E182" s="404">
        <f t="shared" si="11"/>
        <v>1947</v>
      </c>
      <c r="F182" s="10">
        <f t="shared" si="11"/>
        <v>0</v>
      </c>
      <c r="G182" s="404">
        <f t="shared" si="11"/>
        <v>0</v>
      </c>
      <c r="H182" s="41">
        <f t="shared" si="11"/>
        <v>0</v>
      </c>
      <c r="I182" s="10">
        <f t="shared" si="11"/>
        <v>0</v>
      </c>
      <c r="J182" s="10">
        <f t="shared" si="9"/>
        <v>0</v>
      </c>
      <c r="K182" s="112">
        <f t="shared" si="10"/>
        <v>804827.36418511055</v>
      </c>
    </row>
    <row r="183" spans="1:11" x14ac:dyDescent="0.25">
      <c r="A183" s="49">
        <f>'A) Base RI'!A181</f>
        <v>5703</v>
      </c>
      <c r="B183" s="286" t="str">
        <f>'A) Base RI'!B181</f>
        <v>Bassins</v>
      </c>
      <c r="C183" s="10">
        <f>'A) Base RI'!V181</f>
        <v>1487</v>
      </c>
      <c r="D183" s="10">
        <f t="shared" si="12"/>
        <v>1000</v>
      </c>
      <c r="E183" s="404">
        <f t="shared" si="11"/>
        <v>487</v>
      </c>
      <c r="F183" s="10">
        <f t="shared" si="11"/>
        <v>0</v>
      </c>
      <c r="G183" s="404">
        <f t="shared" si="11"/>
        <v>0</v>
      </c>
      <c r="H183" s="41">
        <f t="shared" si="11"/>
        <v>0</v>
      </c>
      <c r="I183" s="10">
        <f t="shared" si="11"/>
        <v>0</v>
      </c>
      <c r="J183" s="10">
        <f t="shared" si="9"/>
        <v>0</v>
      </c>
      <c r="K183" s="112">
        <f t="shared" si="10"/>
        <v>294855.53319919517</v>
      </c>
    </row>
    <row r="184" spans="1:11" x14ac:dyDescent="0.25">
      <c r="A184" s="49">
        <f>'A) Base RI'!A182</f>
        <v>5704</v>
      </c>
      <c r="B184" s="286" t="str">
        <f>'A) Base RI'!B182</f>
        <v>Begnins</v>
      </c>
      <c r="C184" s="10">
        <f>'A) Base RI'!V182</f>
        <v>1941</v>
      </c>
      <c r="D184" s="10">
        <f t="shared" si="12"/>
        <v>1000</v>
      </c>
      <c r="E184" s="404">
        <f t="shared" si="11"/>
        <v>941</v>
      </c>
      <c r="F184" s="10">
        <f t="shared" si="11"/>
        <v>0</v>
      </c>
      <c r="G184" s="404">
        <f t="shared" si="11"/>
        <v>0</v>
      </c>
      <c r="H184" s="41">
        <f t="shared" si="11"/>
        <v>0</v>
      </c>
      <c r="I184" s="10">
        <f t="shared" si="11"/>
        <v>0</v>
      </c>
      <c r="J184" s="10">
        <f t="shared" si="9"/>
        <v>0</v>
      </c>
      <c r="K184" s="112">
        <f t="shared" si="10"/>
        <v>453435.814889336</v>
      </c>
    </row>
    <row r="185" spans="1:11" x14ac:dyDescent="0.25">
      <c r="A185" s="49">
        <f>'A) Base RI'!A183</f>
        <v>5705</v>
      </c>
      <c r="B185" s="286" t="str">
        <f>'A) Base RI'!B183</f>
        <v>Bogis-Bossey</v>
      </c>
      <c r="C185" s="10">
        <f>'A) Base RI'!V183</f>
        <v>888</v>
      </c>
      <c r="D185" s="10">
        <f t="shared" si="12"/>
        <v>888</v>
      </c>
      <c r="E185" s="404">
        <f t="shared" si="11"/>
        <v>0</v>
      </c>
      <c r="F185" s="10">
        <f t="shared" si="11"/>
        <v>0</v>
      </c>
      <c r="G185" s="404">
        <f t="shared" si="11"/>
        <v>0</v>
      </c>
      <c r="H185" s="41">
        <f t="shared" si="11"/>
        <v>0</v>
      </c>
      <c r="I185" s="10">
        <f t="shared" si="11"/>
        <v>0</v>
      </c>
      <c r="J185" s="10">
        <f t="shared" si="9"/>
        <v>0</v>
      </c>
      <c r="K185" s="112">
        <f t="shared" si="10"/>
        <v>110776.65995975854</v>
      </c>
    </row>
    <row r="186" spans="1:11" x14ac:dyDescent="0.25">
      <c r="A186" s="49">
        <f>'A) Base RI'!A184</f>
        <v>5706</v>
      </c>
      <c r="B186" s="286" t="str">
        <f>'A) Base RI'!B184</f>
        <v>Borex</v>
      </c>
      <c r="C186" s="10">
        <f>'A) Base RI'!V184</f>
        <v>1165</v>
      </c>
      <c r="D186" s="10">
        <f t="shared" si="12"/>
        <v>1000</v>
      </c>
      <c r="E186" s="404">
        <f t="shared" si="11"/>
        <v>165</v>
      </c>
      <c r="F186" s="10">
        <f t="shared" si="11"/>
        <v>0</v>
      </c>
      <c r="G186" s="404">
        <f t="shared" si="11"/>
        <v>0</v>
      </c>
      <c r="H186" s="41">
        <f t="shared" si="11"/>
        <v>0</v>
      </c>
      <c r="I186" s="10">
        <f t="shared" si="11"/>
        <v>0</v>
      </c>
      <c r="J186" s="10">
        <f t="shared" si="9"/>
        <v>0</v>
      </c>
      <c r="K186" s="112">
        <f t="shared" si="10"/>
        <v>182382.29376257546</v>
      </c>
    </row>
    <row r="187" spans="1:11" x14ac:dyDescent="0.25">
      <c r="A187" s="49">
        <f>'A) Base RI'!A185</f>
        <v>5707</v>
      </c>
      <c r="B187" s="286" t="str">
        <f>'A) Base RI'!B185</f>
        <v>Chavannes-de-Bogis</v>
      </c>
      <c r="C187" s="10">
        <f>'A) Base RI'!V185</f>
        <v>1330</v>
      </c>
      <c r="D187" s="10">
        <f t="shared" si="12"/>
        <v>1000</v>
      </c>
      <c r="E187" s="404">
        <f t="shared" si="11"/>
        <v>330</v>
      </c>
      <c r="F187" s="10">
        <f t="shared" si="11"/>
        <v>0</v>
      </c>
      <c r="G187" s="404">
        <f t="shared" si="11"/>
        <v>0</v>
      </c>
      <c r="H187" s="41">
        <f t="shared" si="11"/>
        <v>0</v>
      </c>
      <c r="I187" s="10">
        <f t="shared" si="11"/>
        <v>0</v>
      </c>
      <c r="J187" s="10">
        <f t="shared" si="9"/>
        <v>0</v>
      </c>
      <c r="K187" s="112">
        <f t="shared" si="10"/>
        <v>240016.09657947684</v>
      </c>
    </row>
    <row r="188" spans="1:11" x14ac:dyDescent="0.25">
      <c r="A188" s="49">
        <f>'A) Base RI'!A186</f>
        <v>5708</v>
      </c>
      <c r="B188" s="286" t="str">
        <f>'A) Base RI'!B186</f>
        <v>Chavannes-des-Bois</v>
      </c>
      <c r="C188" s="10">
        <f>'A) Base RI'!V186</f>
        <v>1005</v>
      </c>
      <c r="D188" s="10">
        <f t="shared" si="12"/>
        <v>1000</v>
      </c>
      <c r="E188" s="404">
        <f t="shared" si="11"/>
        <v>5</v>
      </c>
      <c r="F188" s="10">
        <f t="shared" si="11"/>
        <v>0</v>
      </c>
      <c r="G188" s="404">
        <f t="shared" si="11"/>
        <v>0</v>
      </c>
      <c r="H188" s="41">
        <f t="shared" si="11"/>
        <v>0</v>
      </c>
      <c r="I188" s="10">
        <f t="shared" si="11"/>
        <v>0</v>
      </c>
      <c r="J188" s="10">
        <f t="shared" si="9"/>
        <v>0</v>
      </c>
      <c r="K188" s="112">
        <f t="shared" si="10"/>
        <v>126494.96981891348</v>
      </c>
    </row>
    <row r="189" spans="1:11" x14ac:dyDescent="0.25">
      <c r="A189" s="49">
        <f>'A) Base RI'!A187</f>
        <v>5709</v>
      </c>
      <c r="B189" s="286" t="str">
        <f>'A) Base RI'!B187</f>
        <v>Chéserex</v>
      </c>
      <c r="C189" s="10">
        <f>'A) Base RI'!V187</f>
        <v>1263</v>
      </c>
      <c r="D189" s="10">
        <f t="shared" si="12"/>
        <v>1000</v>
      </c>
      <c r="E189" s="404">
        <f t="shared" si="11"/>
        <v>263</v>
      </c>
      <c r="F189" s="10">
        <f t="shared" si="11"/>
        <v>0</v>
      </c>
      <c r="G189" s="404">
        <f t="shared" si="11"/>
        <v>0</v>
      </c>
      <c r="H189" s="41">
        <f t="shared" si="11"/>
        <v>0</v>
      </c>
      <c r="I189" s="10">
        <f t="shared" si="11"/>
        <v>0</v>
      </c>
      <c r="J189" s="10">
        <f t="shared" si="9"/>
        <v>0</v>
      </c>
      <c r="K189" s="112">
        <f t="shared" si="10"/>
        <v>216613.27967806841</v>
      </c>
    </row>
    <row r="190" spans="1:11" x14ac:dyDescent="0.25">
      <c r="A190" s="49">
        <f>'A) Base RI'!A188</f>
        <v>5710</v>
      </c>
      <c r="B190" s="286" t="str">
        <f>'A) Base RI'!B188</f>
        <v>Coinsins</v>
      </c>
      <c r="C190" s="10">
        <f>'A) Base RI'!V188</f>
        <v>508</v>
      </c>
      <c r="D190" s="10">
        <f t="shared" si="12"/>
        <v>508</v>
      </c>
      <c r="E190" s="404">
        <f t="shared" si="11"/>
        <v>0</v>
      </c>
      <c r="F190" s="10">
        <f t="shared" si="11"/>
        <v>0</v>
      </c>
      <c r="G190" s="404">
        <f t="shared" si="11"/>
        <v>0</v>
      </c>
      <c r="H190" s="41">
        <f t="shared" si="11"/>
        <v>0</v>
      </c>
      <c r="I190" s="10">
        <f t="shared" si="11"/>
        <v>0</v>
      </c>
      <c r="J190" s="10">
        <f t="shared" si="9"/>
        <v>0</v>
      </c>
      <c r="K190" s="112">
        <f t="shared" si="10"/>
        <v>63372.233400402409</v>
      </c>
    </row>
    <row r="191" spans="1:11" x14ac:dyDescent="0.25">
      <c r="A191" s="49">
        <f>'A) Base RI'!A189</f>
        <v>5711</v>
      </c>
      <c r="B191" s="286" t="str">
        <f>'A) Base RI'!B189</f>
        <v>Commugny</v>
      </c>
      <c r="C191" s="10">
        <f>'A) Base RI'!V189</f>
        <v>3001</v>
      </c>
      <c r="D191" s="10">
        <f t="shared" si="12"/>
        <v>1000</v>
      </c>
      <c r="E191" s="404">
        <f t="shared" si="11"/>
        <v>2000</v>
      </c>
      <c r="F191" s="10">
        <f t="shared" si="11"/>
        <v>1</v>
      </c>
      <c r="G191" s="404">
        <f t="shared" si="11"/>
        <v>0</v>
      </c>
      <c r="H191" s="41">
        <f t="shared" si="11"/>
        <v>0</v>
      </c>
      <c r="I191" s="10">
        <f t="shared" si="11"/>
        <v>0</v>
      </c>
      <c r="J191" s="10">
        <f t="shared" si="9"/>
        <v>0</v>
      </c>
      <c r="K191" s="112">
        <f t="shared" si="10"/>
        <v>823839.03420523123</v>
      </c>
    </row>
    <row r="192" spans="1:11" x14ac:dyDescent="0.25">
      <c r="A192" s="49">
        <f>'A) Base RI'!A190</f>
        <v>5712</v>
      </c>
      <c r="B192" s="286" t="str">
        <f>'A) Base RI'!B190</f>
        <v>Coppet</v>
      </c>
      <c r="C192" s="10">
        <f>'A) Base RI'!V190</f>
        <v>3211</v>
      </c>
      <c r="D192" s="10">
        <f t="shared" si="12"/>
        <v>1000</v>
      </c>
      <c r="E192" s="404">
        <f t="shared" si="11"/>
        <v>2000</v>
      </c>
      <c r="F192" s="10">
        <f t="shared" si="11"/>
        <v>211</v>
      </c>
      <c r="G192" s="404">
        <f t="shared" si="11"/>
        <v>0</v>
      </c>
      <c r="H192" s="41">
        <f t="shared" si="11"/>
        <v>0</v>
      </c>
      <c r="I192" s="10">
        <f t="shared" si="11"/>
        <v>0</v>
      </c>
      <c r="J192" s="10">
        <f t="shared" si="9"/>
        <v>0</v>
      </c>
      <c r="K192" s="112">
        <f t="shared" si="10"/>
        <v>928627.76659959741</v>
      </c>
    </row>
    <row r="193" spans="1:11" x14ac:dyDescent="0.25">
      <c r="A193" s="49">
        <f>'A) Base RI'!A191</f>
        <v>5713</v>
      </c>
      <c r="B193" s="286" t="str">
        <f>'A) Base RI'!B191</f>
        <v>Crans</v>
      </c>
      <c r="C193" s="10">
        <f>'A) Base RI'!V191</f>
        <v>2373</v>
      </c>
      <c r="D193" s="10">
        <f t="shared" si="12"/>
        <v>1000</v>
      </c>
      <c r="E193" s="404">
        <f t="shared" si="11"/>
        <v>1373</v>
      </c>
      <c r="F193" s="10">
        <f t="shared" si="11"/>
        <v>0</v>
      </c>
      <c r="G193" s="404">
        <f t="shared" si="11"/>
        <v>0</v>
      </c>
      <c r="H193" s="41">
        <f t="shared" si="11"/>
        <v>0</v>
      </c>
      <c r="I193" s="10">
        <f t="shared" si="11"/>
        <v>0</v>
      </c>
      <c r="J193" s="10">
        <f t="shared" si="9"/>
        <v>0</v>
      </c>
      <c r="K193" s="112">
        <f t="shared" si="10"/>
        <v>604331.58953722334</v>
      </c>
    </row>
    <row r="194" spans="1:11" x14ac:dyDescent="0.25">
      <c r="A194" s="49">
        <f>'A) Base RI'!A192</f>
        <v>5714</v>
      </c>
      <c r="B194" s="286" t="str">
        <f>'A) Base RI'!B192</f>
        <v>Crassier</v>
      </c>
      <c r="C194" s="10">
        <f>'A) Base RI'!V192</f>
        <v>1228</v>
      </c>
      <c r="D194" s="10">
        <f t="shared" si="12"/>
        <v>1000</v>
      </c>
      <c r="E194" s="404">
        <f t="shared" si="11"/>
        <v>228</v>
      </c>
      <c r="F194" s="10">
        <f t="shared" si="11"/>
        <v>0</v>
      </c>
      <c r="G194" s="404">
        <f t="shared" si="11"/>
        <v>0</v>
      </c>
      <c r="H194" s="41">
        <f t="shared" si="11"/>
        <v>0</v>
      </c>
      <c r="I194" s="10">
        <f t="shared" si="11"/>
        <v>0</v>
      </c>
      <c r="J194" s="10">
        <f t="shared" si="9"/>
        <v>0</v>
      </c>
      <c r="K194" s="112">
        <f t="shared" si="10"/>
        <v>204387.92756539234</v>
      </c>
    </row>
    <row r="195" spans="1:11" x14ac:dyDescent="0.25">
      <c r="A195" s="49">
        <f>'A) Base RI'!A193</f>
        <v>5715</v>
      </c>
      <c r="B195" s="286" t="str">
        <f>'A) Base RI'!B193</f>
        <v>Duillier</v>
      </c>
      <c r="C195" s="10">
        <f>'A) Base RI'!V193</f>
        <v>1146</v>
      </c>
      <c r="D195" s="10">
        <f t="shared" si="12"/>
        <v>1000</v>
      </c>
      <c r="E195" s="404">
        <f t="shared" si="11"/>
        <v>146</v>
      </c>
      <c r="F195" s="10">
        <f t="shared" si="11"/>
        <v>0</v>
      </c>
      <c r="G195" s="404">
        <f t="shared" si="11"/>
        <v>0</v>
      </c>
      <c r="H195" s="41">
        <f t="shared" si="11"/>
        <v>0</v>
      </c>
      <c r="I195" s="10">
        <f t="shared" si="11"/>
        <v>0</v>
      </c>
      <c r="J195" s="10">
        <f t="shared" si="9"/>
        <v>0</v>
      </c>
      <c r="K195" s="112">
        <f t="shared" si="10"/>
        <v>175745.67404426559</v>
      </c>
    </row>
    <row r="196" spans="1:11" x14ac:dyDescent="0.25">
      <c r="A196" s="49">
        <f>'A) Base RI'!A194</f>
        <v>5716</v>
      </c>
      <c r="B196" s="286" t="str">
        <f>'A) Base RI'!B194</f>
        <v>Eysins</v>
      </c>
      <c r="C196" s="10">
        <f>'A) Base RI'!V194</f>
        <v>1736</v>
      </c>
      <c r="D196" s="10">
        <f t="shared" si="12"/>
        <v>1000</v>
      </c>
      <c r="E196" s="404">
        <f t="shared" si="11"/>
        <v>736</v>
      </c>
      <c r="F196" s="10">
        <f t="shared" si="11"/>
        <v>0</v>
      </c>
      <c r="G196" s="404">
        <f t="shared" si="11"/>
        <v>0</v>
      </c>
      <c r="H196" s="41">
        <f t="shared" si="11"/>
        <v>0</v>
      </c>
      <c r="I196" s="10">
        <f t="shared" si="11"/>
        <v>0</v>
      </c>
      <c r="J196" s="10">
        <f t="shared" si="9"/>
        <v>0</v>
      </c>
      <c r="K196" s="112">
        <f t="shared" si="10"/>
        <v>381830.18108651909</v>
      </c>
    </row>
    <row r="197" spans="1:11" x14ac:dyDescent="0.25">
      <c r="A197" s="49">
        <f>'A) Base RI'!A195</f>
        <v>5717</v>
      </c>
      <c r="B197" s="286" t="str">
        <f>'A) Base RI'!B195</f>
        <v>Founex</v>
      </c>
      <c r="C197" s="10">
        <f>'A) Base RI'!V195</f>
        <v>3822</v>
      </c>
      <c r="D197" s="10">
        <f t="shared" si="12"/>
        <v>1000</v>
      </c>
      <c r="E197" s="404">
        <f t="shared" si="11"/>
        <v>2000</v>
      </c>
      <c r="F197" s="10">
        <f t="shared" si="11"/>
        <v>822</v>
      </c>
      <c r="G197" s="404">
        <f t="shared" si="11"/>
        <v>0</v>
      </c>
      <c r="H197" s="41">
        <f t="shared" si="11"/>
        <v>0</v>
      </c>
      <c r="I197" s="10">
        <f t="shared" si="11"/>
        <v>0</v>
      </c>
      <c r="J197" s="10">
        <f t="shared" si="9"/>
        <v>0</v>
      </c>
      <c r="K197" s="112">
        <f t="shared" si="10"/>
        <v>1233513.0784708248</v>
      </c>
    </row>
    <row r="198" spans="1:11" x14ac:dyDescent="0.25">
      <c r="A198" s="49">
        <f>'A) Base RI'!A196</f>
        <v>5718</v>
      </c>
      <c r="B198" s="286" t="str">
        <f>'A) Base RI'!B196</f>
        <v>Genolier</v>
      </c>
      <c r="C198" s="10">
        <f>'A) Base RI'!V196</f>
        <v>2022</v>
      </c>
      <c r="D198" s="10">
        <f t="shared" si="12"/>
        <v>1000</v>
      </c>
      <c r="E198" s="404">
        <f t="shared" si="11"/>
        <v>1022</v>
      </c>
      <c r="F198" s="10">
        <f t="shared" si="11"/>
        <v>0</v>
      </c>
      <c r="G198" s="404">
        <f t="shared" si="11"/>
        <v>0</v>
      </c>
      <c r="H198" s="41">
        <f t="shared" si="11"/>
        <v>0</v>
      </c>
      <c r="I198" s="10">
        <f t="shared" si="11"/>
        <v>0</v>
      </c>
      <c r="J198" s="10">
        <f t="shared" si="9"/>
        <v>0</v>
      </c>
      <c r="K198" s="112">
        <f t="shared" si="10"/>
        <v>481728.77263581485</v>
      </c>
    </row>
    <row r="199" spans="1:11" x14ac:dyDescent="0.25">
      <c r="A199" s="49">
        <f>'A) Base RI'!A197</f>
        <v>5719</v>
      </c>
      <c r="B199" s="286" t="str">
        <f>'A) Base RI'!B197</f>
        <v>Gingins</v>
      </c>
      <c r="C199" s="10">
        <f>'A) Base RI'!V197</f>
        <v>1265</v>
      </c>
      <c r="D199" s="10">
        <f t="shared" si="12"/>
        <v>1000</v>
      </c>
      <c r="E199" s="404">
        <f t="shared" si="11"/>
        <v>265</v>
      </c>
      <c r="F199" s="10">
        <f t="shared" si="11"/>
        <v>0</v>
      </c>
      <c r="G199" s="404">
        <f t="shared" si="11"/>
        <v>0</v>
      </c>
      <c r="H199" s="41">
        <f t="shared" si="11"/>
        <v>0</v>
      </c>
      <c r="I199" s="10">
        <f t="shared" si="11"/>
        <v>0</v>
      </c>
      <c r="J199" s="10">
        <f t="shared" si="9"/>
        <v>0</v>
      </c>
      <c r="K199" s="112">
        <f t="shared" si="10"/>
        <v>217311.87122736417</v>
      </c>
    </row>
    <row r="200" spans="1:11" x14ac:dyDescent="0.25">
      <c r="A200" s="49">
        <f>'A) Base RI'!A198</f>
        <v>5720</v>
      </c>
      <c r="B200" s="286" t="str">
        <f>'A) Base RI'!B198</f>
        <v>Givrins</v>
      </c>
      <c r="C200" s="10">
        <f>'A) Base RI'!V198</f>
        <v>1010</v>
      </c>
      <c r="D200" s="10">
        <f t="shared" si="12"/>
        <v>1000</v>
      </c>
      <c r="E200" s="404">
        <f t="shared" si="11"/>
        <v>10</v>
      </c>
      <c r="F200" s="10">
        <f t="shared" si="11"/>
        <v>0</v>
      </c>
      <c r="G200" s="404">
        <f t="shared" si="11"/>
        <v>0</v>
      </c>
      <c r="H200" s="41">
        <f t="shared" si="11"/>
        <v>0</v>
      </c>
      <c r="I200" s="10">
        <f t="shared" si="11"/>
        <v>0</v>
      </c>
      <c r="J200" s="10">
        <f t="shared" si="9"/>
        <v>0</v>
      </c>
      <c r="K200" s="112">
        <f t="shared" si="10"/>
        <v>128241.44869215292</v>
      </c>
    </row>
    <row r="201" spans="1:11" x14ac:dyDescent="0.25">
      <c r="A201" s="49">
        <f>'A) Base RI'!A199</f>
        <v>5721</v>
      </c>
      <c r="B201" s="286" t="str">
        <f>'A) Base RI'!B199</f>
        <v>Gland</v>
      </c>
      <c r="C201" s="10">
        <f>'A) Base RI'!V199</f>
        <v>13306</v>
      </c>
      <c r="D201" s="10">
        <f t="shared" si="12"/>
        <v>1000</v>
      </c>
      <c r="E201" s="404">
        <f t="shared" si="11"/>
        <v>2000</v>
      </c>
      <c r="F201" s="10">
        <f t="shared" si="11"/>
        <v>2000</v>
      </c>
      <c r="G201" s="404">
        <f t="shared" si="11"/>
        <v>4000</v>
      </c>
      <c r="H201" s="41">
        <f t="shared" si="11"/>
        <v>3000</v>
      </c>
      <c r="I201" s="10">
        <f t="shared" si="11"/>
        <v>1306</v>
      </c>
      <c r="J201" s="10">
        <f t="shared" si="9"/>
        <v>0</v>
      </c>
      <c r="K201" s="112">
        <f t="shared" si="10"/>
        <v>8064740.442655935</v>
      </c>
    </row>
    <row r="202" spans="1:11" x14ac:dyDescent="0.25">
      <c r="A202" s="49">
        <f>'A) Base RI'!A200</f>
        <v>5722</v>
      </c>
      <c r="B202" s="286" t="str">
        <f>'A) Base RI'!B200</f>
        <v>Grens</v>
      </c>
      <c r="C202" s="10">
        <f>'A) Base RI'!V200</f>
        <v>401</v>
      </c>
      <c r="D202" s="10">
        <f t="shared" si="12"/>
        <v>401</v>
      </c>
      <c r="E202" s="404">
        <f t="shared" si="11"/>
        <v>0</v>
      </c>
      <c r="F202" s="10">
        <f t="shared" si="11"/>
        <v>0</v>
      </c>
      <c r="G202" s="404">
        <f t="shared" si="11"/>
        <v>0</v>
      </c>
      <c r="H202" s="41">
        <f t="shared" si="11"/>
        <v>0</v>
      </c>
      <c r="I202" s="10">
        <f t="shared" si="11"/>
        <v>0</v>
      </c>
      <c r="J202" s="10">
        <f t="shared" ref="J202:J265" si="13">IF(C202&gt;$J$5,C202-$J$5,0)</f>
        <v>0</v>
      </c>
      <c r="K202" s="112">
        <f t="shared" ref="K202:K265" si="14">(D202*D$8)+(E202*E$8)+(F202*F$8)+(G202*G$8)+(H202*H$8)+(I202*I$8)+(J202*J$8)</f>
        <v>50024.144869215292</v>
      </c>
    </row>
    <row r="203" spans="1:11" x14ac:dyDescent="0.25">
      <c r="A203" s="49">
        <f>'A) Base RI'!A201</f>
        <v>5723</v>
      </c>
      <c r="B203" s="286" t="str">
        <f>'A) Base RI'!B201</f>
        <v>Mies</v>
      </c>
      <c r="C203" s="10">
        <f>'A) Base RI'!V201</f>
        <v>2195</v>
      </c>
      <c r="D203" s="10">
        <f t="shared" si="12"/>
        <v>1000</v>
      </c>
      <c r="E203" s="404">
        <f t="shared" si="11"/>
        <v>1195</v>
      </c>
      <c r="F203" s="10">
        <f t="shared" si="11"/>
        <v>0</v>
      </c>
      <c r="G203" s="404">
        <f t="shared" si="11"/>
        <v>0</v>
      </c>
      <c r="H203" s="41">
        <f t="shared" si="11"/>
        <v>0</v>
      </c>
      <c r="I203" s="10">
        <f t="shared" si="11"/>
        <v>0</v>
      </c>
      <c r="J203" s="10">
        <f t="shared" si="13"/>
        <v>0</v>
      </c>
      <c r="K203" s="112">
        <f t="shared" si="14"/>
        <v>542156.94164989935</v>
      </c>
    </row>
    <row r="204" spans="1:11" x14ac:dyDescent="0.25">
      <c r="A204" s="49">
        <f>'A) Base RI'!A202</f>
        <v>5724</v>
      </c>
      <c r="B204" s="286" t="str">
        <f>'A) Base RI'!B202</f>
        <v>Nyon</v>
      </c>
      <c r="C204" s="10">
        <f>'A) Base RI'!V202</f>
        <v>22124</v>
      </c>
      <c r="D204" s="10">
        <f t="shared" si="12"/>
        <v>1000</v>
      </c>
      <c r="E204" s="404">
        <f t="shared" si="11"/>
        <v>2000</v>
      </c>
      <c r="F204" s="10">
        <f t="shared" si="11"/>
        <v>2000</v>
      </c>
      <c r="G204" s="404">
        <f t="shared" si="11"/>
        <v>4000</v>
      </c>
      <c r="H204" s="41">
        <f t="shared" si="11"/>
        <v>3000</v>
      </c>
      <c r="I204" s="10">
        <f t="shared" si="11"/>
        <v>3000</v>
      </c>
      <c r="J204" s="10">
        <f t="shared" si="13"/>
        <v>7124</v>
      </c>
      <c r="K204" s="112">
        <f t="shared" si="14"/>
        <v>17220481.287726358</v>
      </c>
    </row>
    <row r="205" spans="1:11" x14ac:dyDescent="0.25">
      <c r="A205" s="49">
        <f>'A) Base RI'!A203</f>
        <v>5725</v>
      </c>
      <c r="B205" s="286" t="str">
        <f>'A) Base RI'!B203</f>
        <v>Prangins</v>
      </c>
      <c r="C205" s="10">
        <f>'A) Base RI'!V203</f>
        <v>4060</v>
      </c>
      <c r="D205" s="10">
        <f t="shared" si="12"/>
        <v>1000</v>
      </c>
      <c r="E205" s="404">
        <f t="shared" si="11"/>
        <v>2000</v>
      </c>
      <c r="F205" s="10">
        <f t="shared" si="11"/>
        <v>1060</v>
      </c>
      <c r="G205" s="404">
        <f t="shared" si="11"/>
        <v>0</v>
      </c>
      <c r="H205" s="41">
        <f t="shared" si="11"/>
        <v>0</v>
      </c>
      <c r="I205" s="10">
        <f t="shared" si="11"/>
        <v>0</v>
      </c>
      <c r="J205" s="10">
        <f t="shared" si="13"/>
        <v>0</v>
      </c>
      <c r="K205" s="112">
        <f t="shared" si="14"/>
        <v>1352273.6418511064</v>
      </c>
    </row>
    <row r="206" spans="1:11" x14ac:dyDescent="0.25">
      <c r="A206" s="49">
        <f>'A) Base RI'!A204</f>
        <v>5726</v>
      </c>
      <c r="B206" s="286" t="str">
        <f>'A) Base RI'!B204</f>
        <v>La Rippe</v>
      </c>
      <c r="C206" s="10">
        <f>'A) Base RI'!V204</f>
        <v>1165</v>
      </c>
      <c r="D206" s="10">
        <f t="shared" si="12"/>
        <v>1000</v>
      </c>
      <c r="E206" s="404">
        <f t="shared" si="11"/>
        <v>165</v>
      </c>
      <c r="F206" s="10">
        <f t="shared" si="11"/>
        <v>0</v>
      </c>
      <c r="G206" s="404">
        <f t="shared" si="11"/>
        <v>0</v>
      </c>
      <c r="H206" s="41">
        <f t="shared" si="11"/>
        <v>0</v>
      </c>
      <c r="I206" s="10">
        <f t="shared" si="11"/>
        <v>0</v>
      </c>
      <c r="J206" s="10">
        <f t="shared" si="13"/>
        <v>0</v>
      </c>
      <c r="K206" s="112">
        <f t="shared" si="14"/>
        <v>182382.29376257546</v>
      </c>
    </row>
    <row r="207" spans="1:11" x14ac:dyDescent="0.25">
      <c r="A207" s="49">
        <f>'A) Base RI'!A205</f>
        <v>5727</v>
      </c>
      <c r="B207" s="286" t="str">
        <f>'A) Base RI'!B205</f>
        <v>Saint-Cergue</v>
      </c>
      <c r="C207" s="10">
        <f>'A) Base RI'!V205</f>
        <v>2755</v>
      </c>
      <c r="D207" s="10">
        <f t="shared" si="12"/>
        <v>1000</v>
      </c>
      <c r="E207" s="404">
        <f t="shared" si="11"/>
        <v>1755</v>
      </c>
      <c r="F207" s="10">
        <f t="shared" si="11"/>
        <v>0</v>
      </c>
      <c r="G207" s="404">
        <f t="shared" si="11"/>
        <v>0</v>
      </c>
      <c r="H207" s="41">
        <f t="shared" si="11"/>
        <v>0</v>
      </c>
      <c r="I207" s="10">
        <f t="shared" si="11"/>
        <v>0</v>
      </c>
      <c r="J207" s="10">
        <f t="shared" si="13"/>
        <v>0</v>
      </c>
      <c r="K207" s="112">
        <f t="shared" si="14"/>
        <v>737762.57545271621</v>
      </c>
    </row>
    <row r="208" spans="1:11" x14ac:dyDescent="0.25">
      <c r="A208" s="49">
        <f>'A) Base RI'!A206</f>
        <v>5728</v>
      </c>
      <c r="B208" s="286" t="str">
        <f>'A) Base RI'!B206</f>
        <v>Signy-Avenex</v>
      </c>
      <c r="C208" s="10">
        <f>'A) Base RI'!V206</f>
        <v>584</v>
      </c>
      <c r="D208" s="10">
        <f t="shared" si="12"/>
        <v>584</v>
      </c>
      <c r="E208" s="404">
        <f t="shared" si="11"/>
        <v>0</v>
      </c>
      <c r="F208" s="10">
        <f t="shared" si="11"/>
        <v>0</v>
      </c>
      <c r="G208" s="404">
        <f t="shared" si="11"/>
        <v>0</v>
      </c>
      <c r="H208" s="41">
        <f t="shared" si="11"/>
        <v>0</v>
      </c>
      <c r="I208" s="10">
        <f t="shared" si="11"/>
        <v>0</v>
      </c>
      <c r="J208" s="10">
        <f t="shared" si="13"/>
        <v>0</v>
      </c>
      <c r="K208" s="112">
        <f t="shared" si="14"/>
        <v>72853.11871227363</v>
      </c>
    </row>
    <row r="209" spans="1:11" x14ac:dyDescent="0.25">
      <c r="A209" s="49">
        <f>'A) Base RI'!A207</f>
        <v>5729</v>
      </c>
      <c r="B209" s="286" t="str">
        <f>'A) Base RI'!B207</f>
        <v>Tannay</v>
      </c>
      <c r="C209" s="10">
        <f>'A) Base RI'!V207</f>
        <v>1644</v>
      </c>
      <c r="D209" s="10">
        <f t="shared" si="12"/>
        <v>1000</v>
      </c>
      <c r="E209" s="404">
        <f t="shared" si="11"/>
        <v>644</v>
      </c>
      <c r="F209" s="10">
        <f t="shared" si="11"/>
        <v>0</v>
      </c>
      <c r="G209" s="404">
        <f t="shared" ref="E209:I260" si="15">IF($C209&gt;G$5,IF($C209&lt;G$6,$C209-G$5,G$6-G$5),0)</f>
        <v>0</v>
      </c>
      <c r="H209" s="41">
        <f t="shared" si="15"/>
        <v>0</v>
      </c>
      <c r="I209" s="10">
        <f t="shared" si="15"/>
        <v>0</v>
      </c>
      <c r="J209" s="10">
        <f t="shared" si="13"/>
        <v>0</v>
      </c>
      <c r="K209" s="112">
        <f t="shared" si="14"/>
        <v>349694.96981891349</v>
      </c>
    </row>
    <row r="210" spans="1:11" x14ac:dyDescent="0.25">
      <c r="A210" s="49">
        <f>'A) Base RI'!A208</f>
        <v>5730</v>
      </c>
      <c r="B210" s="286" t="str">
        <f>'A) Base RI'!B208</f>
        <v>Trélex</v>
      </c>
      <c r="C210" s="10">
        <f>'A) Base RI'!V208</f>
        <v>1439</v>
      </c>
      <c r="D210" s="10">
        <f t="shared" si="12"/>
        <v>1000</v>
      </c>
      <c r="E210" s="404">
        <f t="shared" si="15"/>
        <v>439</v>
      </c>
      <c r="F210" s="10">
        <f t="shared" si="15"/>
        <v>0</v>
      </c>
      <c r="G210" s="404">
        <f t="shared" si="15"/>
        <v>0</v>
      </c>
      <c r="H210" s="41">
        <f t="shared" si="15"/>
        <v>0</v>
      </c>
      <c r="I210" s="10">
        <f t="shared" si="15"/>
        <v>0</v>
      </c>
      <c r="J210" s="10">
        <f t="shared" si="13"/>
        <v>0</v>
      </c>
      <c r="K210" s="112">
        <f t="shared" si="14"/>
        <v>278089.33601609652</v>
      </c>
    </row>
    <row r="211" spans="1:11" x14ac:dyDescent="0.25">
      <c r="A211" s="49">
        <f>'A) Base RI'!A209</f>
        <v>5731</v>
      </c>
      <c r="B211" s="286" t="str">
        <f>'A) Base RI'!B209</f>
        <v>Le Vaud</v>
      </c>
      <c r="C211" s="10">
        <f>'A) Base RI'!V209</f>
        <v>1387</v>
      </c>
      <c r="D211" s="10">
        <f t="shared" si="12"/>
        <v>1000</v>
      </c>
      <c r="E211" s="404">
        <f t="shared" si="15"/>
        <v>387</v>
      </c>
      <c r="F211" s="10">
        <f t="shared" si="15"/>
        <v>0</v>
      </c>
      <c r="G211" s="404">
        <f t="shared" si="15"/>
        <v>0</v>
      </c>
      <c r="H211" s="41">
        <f t="shared" si="15"/>
        <v>0</v>
      </c>
      <c r="I211" s="10">
        <f t="shared" si="15"/>
        <v>0</v>
      </c>
      <c r="J211" s="10">
        <f t="shared" si="13"/>
        <v>0</v>
      </c>
      <c r="K211" s="112">
        <f t="shared" si="14"/>
        <v>259925.95573440642</v>
      </c>
    </row>
    <row r="212" spans="1:11" x14ac:dyDescent="0.25">
      <c r="A212" s="49">
        <f>'A) Base RI'!A210</f>
        <v>5732</v>
      </c>
      <c r="B212" s="286" t="str">
        <f>'A) Base RI'!B210</f>
        <v>Vich</v>
      </c>
      <c r="C212" s="10">
        <f>'A) Base RI'!V210</f>
        <v>1157</v>
      </c>
      <c r="D212" s="10">
        <f t="shared" si="12"/>
        <v>1000</v>
      </c>
      <c r="E212" s="404">
        <f t="shared" si="15"/>
        <v>157</v>
      </c>
      <c r="F212" s="10">
        <f t="shared" si="15"/>
        <v>0</v>
      </c>
      <c r="G212" s="404">
        <f t="shared" si="15"/>
        <v>0</v>
      </c>
      <c r="H212" s="41">
        <f t="shared" si="15"/>
        <v>0</v>
      </c>
      <c r="I212" s="10">
        <f t="shared" si="15"/>
        <v>0</v>
      </c>
      <c r="J212" s="10">
        <f t="shared" si="13"/>
        <v>0</v>
      </c>
      <c r="K212" s="112">
        <f t="shared" si="14"/>
        <v>179587.92756539234</v>
      </c>
    </row>
    <row r="213" spans="1:11" x14ac:dyDescent="0.25">
      <c r="A213" s="49">
        <f>'A) Base RI'!A211</f>
        <v>5741</v>
      </c>
      <c r="B213" s="286" t="str">
        <f>'A) Base RI'!B211</f>
        <v>L'Abergement</v>
      </c>
      <c r="C213" s="10">
        <f>'A) Base RI'!V211</f>
        <v>254</v>
      </c>
      <c r="D213" s="10">
        <f t="shared" si="12"/>
        <v>254</v>
      </c>
      <c r="E213" s="404">
        <f t="shared" si="15"/>
        <v>0</v>
      </c>
      <c r="F213" s="10">
        <f t="shared" si="15"/>
        <v>0</v>
      </c>
      <c r="G213" s="404">
        <f t="shared" si="15"/>
        <v>0</v>
      </c>
      <c r="H213" s="41">
        <f t="shared" si="15"/>
        <v>0</v>
      </c>
      <c r="I213" s="10">
        <f t="shared" si="15"/>
        <v>0</v>
      </c>
      <c r="J213" s="10">
        <f t="shared" si="13"/>
        <v>0</v>
      </c>
      <c r="K213" s="112">
        <f t="shared" si="14"/>
        <v>31686.116700201204</v>
      </c>
    </row>
    <row r="214" spans="1:11" x14ac:dyDescent="0.25">
      <c r="A214" s="49">
        <f>'A) Base RI'!A212</f>
        <v>5742</v>
      </c>
      <c r="B214" s="286" t="str">
        <f>'A) Base RI'!B212</f>
        <v>Agiez</v>
      </c>
      <c r="C214" s="10">
        <f>'A) Base RI'!V212</f>
        <v>375</v>
      </c>
      <c r="D214" s="10">
        <f t="shared" si="12"/>
        <v>375</v>
      </c>
      <c r="E214" s="404">
        <f t="shared" si="15"/>
        <v>0</v>
      </c>
      <c r="F214" s="10">
        <f t="shared" si="15"/>
        <v>0</v>
      </c>
      <c r="G214" s="404">
        <f t="shared" si="15"/>
        <v>0</v>
      </c>
      <c r="H214" s="41">
        <f t="shared" si="15"/>
        <v>0</v>
      </c>
      <c r="I214" s="10">
        <f t="shared" si="15"/>
        <v>0</v>
      </c>
      <c r="J214" s="10">
        <f t="shared" si="13"/>
        <v>0</v>
      </c>
      <c r="K214" s="112">
        <f t="shared" si="14"/>
        <v>46780.684104627762</v>
      </c>
    </row>
    <row r="215" spans="1:11" x14ac:dyDescent="0.25">
      <c r="A215" s="49">
        <f>'A) Base RI'!A213</f>
        <v>5743</v>
      </c>
      <c r="B215" s="286" t="str">
        <f>'A) Base RI'!B213</f>
        <v>Arnex-sur-Orbe</v>
      </c>
      <c r="C215" s="10">
        <f>'A) Base RI'!V213</f>
        <v>665</v>
      </c>
      <c r="D215" s="10">
        <f t="shared" si="12"/>
        <v>665</v>
      </c>
      <c r="E215" s="404">
        <f t="shared" si="15"/>
        <v>0</v>
      </c>
      <c r="F215" s="10">
        <f t="shared" si="15"/>
        <v>0</v>
      </c>
      <c r="G215" s="404">
        <f t="shared" si="15"/>
        <v>0</v>
      </c>
      <c r="H215" s="41">
        <f t="shared" si="15"/>
        <v>0</v>
      </c>
      <c r="I215" s="10">
        <f t="shared" si="15"/>
        <v>0</v>
      </c>
      <c r="J215" s="10">
        <f t="shared" si="13"/>
        <v>0</v>
      </c>
      <c r="K215" s="112">
        <f t="shared" si="14"/>
        <v>82957.746478873232</v>
      </c>
    </row>
    <row r="216" spans="1:11" x14ac:dyDescent="0.25">
      <c r="A216" s="49">
        <f>'A) Base RI'!A214</f>
        <v>5744</v>
      </c>
      <c r="B216" s="286" t="str">
        <f>'A) Base RI'!B214</f>
        <v>Ballaigues</v>
      </c>
      <c r="C216" s="10">
        <f>'A) Base RI'!V214</f>
        <v>1173</v>
      </c>
      <c r="D216" s="10">
        <f t="shared" si="12"/>
        <v>1000</v>
      </c>
      <c r="E216" s="404">
        <f t="shared" si="15"/>
        <v>173</v>
      </c>
      <c r="F216" s="10">
        <f t="shared" si="15"/>
        <v>0</v>
      </c>
      <c r="G216" s="404">
        <f t="shared" si="15"/>
        <v>0</v>
      </c>
      <c r="H216" s="41">
        <f t="shared" si="15"/>
        <v>0</v>
      </c>
      <c r="I216" s="10">
        <f t="shared" si="15"/>
        <v>0</v>
      </c>
      <c r="J216" s="10">
        <f t="shared" si="13"/>
        <v>0</v>
      </c>
      <c r="K216" s="112">
        <f t="shared" si="14"/>
        <v>185176.65995975854</v>
      </c>
    </row>
    <row r="217" spans="1:11" x14ac:dyDescent="0.25">
      <c r="A217" s="49">
        <f>'A) Base RI'!A215</f>
        <v>5745</v>
      </c>
      <c r="B217" s="286" t="str">
        <f>'A) Base RI'!B215</f>
        <v>Baulmes</v>
      </c>
      <c r="C217" s="10">
        <f>'A) Base RI'!V215</f>
        <v>1126</v>
      </c>
      <c r="D217" s="10">
        <f t="shared" si="12"/>
        <v>1000</v>
      </c>
      <c r="E217" s="404">
        <f t="shared" si="15"/>
        <v>126</v>
      </c>
      <c r="F217" s="10">
        <f t="shared" si="15"/>
        <v>0</v>
      </c>
      <c r="G217" s="404">
        <f t="shared" si="15"/>
        <v>0</v>
      </c>
      <c r="H217" s="41">
        <f t="shared" si="15"/>
        <v>0</v>
      </c>
      <c r="I217" s="10">
        <f t="shared" si="15"/>
        <v>0</v>
      </c>
      <c r="J217" s="10">
        <f t="shared" si="13"/>
        <v>0</v>
      </c>
      <c r="K217" s="112">
        <f t="shared" si="14"/>
        <v>168759.75855130784</v>
      </c>
    </row>
    <row r="218" spans="1:11" x14ac:dyDescent="0.25">
      <c r="A218" s="49">
        <f>'A) Base RI'!A216</f>
        <v>5746</v>
      </c>
      <c r="B218" s="286" t="str">
        <f>'A) Base RI'!B216</f>
        <v>Bavois</v>
      </c>
      <c r="C218" s="10">
        <f>'A) Base RI'!V216</f>
        <v>978</v>
      </c>
      <c r="D218" s="10">
        <f t="shared" si="12"/>
        <v>978</v>
      </c>
      <c r="E218" s="404">
        <f t="shared" si="15"/>
        <v>0</v>
      </c>
      <c r="F218" s="10">
        <f t="shared" si="15"/>
        <v>0</v>
      </c>
      <c r="G218" s="404">
        <f t="shared" si="15"/>
        <v>0</v>
      </c>
      <c r="H218" s="41">
        <f t="shared" si="15"/>
        <v>0</v>
      </c>
      <c r="I218" s="10">
        <f t="shared" si="15"/>
        <v>0</v>
      </c>
      <c r="J218" s="10">
        <f t="shared" si="13"/>
        <v>0</v>
      </c>
      <c r="K218" s="112">
        <f t="shared" si="14"/>
        <v>122004.02414486921</v>
      </c>
    </row>
    <row r="219" spans="1:11" x14ac:dyDescent="0.25">
      <c r="A219" s="49">
        <f>'A) Base RI'!A217</f>
        <v>5747</v>
      </c>
      <c r="B219" s="286" t="str">
        <f>'A) Base RI'!B217</f>
        <v>Bofflens</v>
      </c>
      <c r="C219" s="10">
        <f>'A) Base RI'!V217</f>
        <v>206</v>
      </c>
      <c r="D219" s="10">
        <f t="shared" si="12"/>
        <v>206</v>
      </c>
      <c r="E219" s="404">
        <f t="shared" si="15"/>
        <v>0</v>
      </c>
      <c r="F219" s="10">
        <f t="shared" si="15"/>
        <v>0</v>
      </c>
      <c r="G219" s="404">
        <f t="shared" si="15"/>
        <v>0</v>
      </c>
      <c r="H219" s="41">
        <f t="shared" si="15"/>
        <v>0</v>
      </c>
      <c r="I219" s="10">
        <f t="shared" si="15"/>
        <v>0</v>
      </c>
      <c r="J219" s="10">
        <f t="shared" si="13"/>
        <v>0</v>
      </c>
      <c r="K219" s="112">
        <f t="shared" si="14"/>
        <v>25698.18913480885</v>
      </c>
    </row>
    <row r="220" spans="1:11" x14ac:dyDescent="0.25">
      <c r="A220" s="49">
        <f>'A) Base RI'!A218</f>
        <v>5748</v>
      </c>
      <c r="B220" s="286" t="str">
        <f>'A) Base RI'!B218</f>
        <v>Bretonnières</v>
      </c>
      <c r="C220" s="10">
        <f>'A) Base RI'!V218</f>
        <v>266</v>
      </c>
      <c r="D220" s="10">
        <f t="shared" si="12"/>
        <v>266</v>
      </c>
      <c r="E220" s="404">
        <f t="shared" si="15"/>
        <v>0</v>
      </c>
      <c r="F220" s="10">
        <f t="shared" si="15"/>
        <v>0</v>
      </c>
      <c r="G220" s="404">
        <f t="shared" si="15"/>
        <v>0</v>
      </c>
      <c r="H220" s="41">
        <f t="shared" si="15"/>
        <v>0</v>
      </c>
      <c r="I220" s="10">
        <f t="shared" si="15"/>
        <v>0</v>
      </c>
      <c r="J220" s="10">
        <f t="shared" si="13"/>
        <v>0</v>
      </c>
      <c r="K220" s="112">
        <f t="shared" si="14"/>
        <v>33183.098591549293</v>
      </c>
    </row>
    <row r="221" spans="1:11" x14ac:dyDescent="0.25">
      <c r="A221" s="49">
        <f>'A) Base RI'!A219</f>
        <v>5749</v>
      </c>
      <c r="B221" s="286" t="str">
        <f>'A) Base RI'!B219</f>
        <v>Chavornay</v>
      </c>
      <c r="C221" s="10">
        <f>'A) Base RI'!V219</f>
        <v>5366</v>
      </c>
      <c r="D221" s="10">
        <f t="shared" si="12"/>
        <v>1000</v>
      </c>
      <c r="E221" s="404">
        <f t="shared" si="15"/>
        <v>2000</v>
      </c>
      <c r="F221" s="10">
        <f t="shared" si="15"/>
        <v>2000</v>
      </c>
      <c r="G221" s="404">
        <f t="shared" si="15"/>
        <v>366</v>
      </c>
      <c r="H221" s="41">
        <f t="shared" si="15"/>
        <v>0</v>
      </c>
      <c r="I221" s="10">
        <f t="shared" si="15"/>
        <v>0</v>
      </c>
      <c r="J221" s="10">
        <f t="shared" si="13"/>
        <v>0</v>
      </c>
      <c r="K221" s="112">
        <f t="shared" si="14"/>
        <v>2040486.1167002008</v>
      </c>
    </row>
    <row r="222" spans="1:11" x14ac:dyDescent="0.25">
      <c r="A222" s="49">
        <f>'A) Base RI'!A220</f>
        <v>5750</v>
      </c>
      <c r="B222" s="286" t="str">
        <f>'A) Base RI'!B220</f>
        <v>Les Clées</v>
      </c>
      <c r="C222" s="10">
        <f>'A) Base RI'!V220</f>
        <v>182</v>
      </c>
      <c r="D222" s="10">
        <f t="shared" si="12"/>
        <v>182</v>
      </c>
      <c r="E222" s="404">
        <f t="shared" si="15"/>
        <v>0</v>
      </c>
      <c r="F222" s="10">
        <f t="shared" si="15"/>
        <v>0</v>
      </c>
      <c r="G222" s="404">
        <f t="shared" si="15"/>
        <v>0</v>
      </c>
      <c r="H222" s="41">
        <f t="shared" si="15"/>
        <v>0</v>
      </c>
      <c r="I222" s="10">
        <f t="shared" si="15"/>
        <v>0</v>
      </c>
      <c r="J222" s="10">
        <f t="shared" si="13"/>
        <v>0</v>
      </c>
      <c r="K222" s="112">
        <f t="shared" si="14"/>
        <v>22704.225352112673</v>
      </c>
    </row>
    <row r="223" spans="1:11" x14ac:dyDescent="0.25">
      <c r="A223" s="49">
        <f>'A) Base RI'!A221</f>
        <v>5752</v>
      </c>
      <c r="B223" s="286" t="str">
        <f>'A) Base RI'!B221</f>
        <v>Croy</v>
      </c>
      <c r="C223" s="10">
        <f>'A) Base RI'!V221</f>
        <v>390</v>
      </c>
      <c r="D223" s="10">
        <f t="shared" si="12"/>
        <v>390</v>
      </c>
      <c r="E223" s="404">
        <f t="shared" si="15"/>
        <v>0</v>
      </c>
      <c r="F223" s="10">
        <f t="shared" si="15"/>
        <v>0</v>
      </c>
      <c r="G223" s="404">
        <f t="shared" si="15"/>
        <v>0</v>
      </c>
      <c r="H223" s="41">
        <f t="shared" si="15"/>
        <v>0</v>
      </c>
      <c r="I223" s="10">
        <f t="shared" si="15"/>
        <v>0</v>
      </c>
      <c r="J223" s="10">
        <f t="shared" si="13"/>
        <v>0</v>
      </c>
      <c r="K223" s="112">
        <f t="shared" si="14"/>
        <v>48651.911468812876</v>
      </c>
    </row>
    <row r="224" spans="1:11" x14ac:dyDescent="0.25">
      <c r="A224" s="49">
        <f>'A) Base RI'!A222</f>
        <v>5754</v>
      </c>
      <c r="B224" s="286" t="str">
        <f>'A) Base RI'!B222</f>
        <v>Juriens</v>
      </c>
      <c r="C224" s="10">
        <f>'A) Base RI'!V222</f>
        <v>348</v>
      </c>
      <c r="D224" s="10">
        <f t="shared" si="12"/>
        <v>348</v>
      </c>
      <c r="E224" s="404">
        <f t="shared" si="15"/>
        <v>0</v>
      </c>
      <c r="F224" s="10">
        <f t="shared" si="15"/>
        <v>0</v>
      </c>
      <c r="G224" s="404">
        <f t="shared" si="15"/>
        <v>0</v>
      </c>
      <c r="H224" s="41">
        <f t="shared" si="15"/>
        <v>0</v>
      </c>
      <c r="I224" s="10">
        <f t="shared" si="15"/>
        <v>0</v>
      </c>
      <c r="J224" s="10">
        <f t="shared" si="13"/>
        <v>0</v>
      </c>
      <c r="K224" s="112">
        <f t="shared" si="14"/>
        <v>43412.474849094564</v>
      </c>
    </row>
    <row r="225" spans="1:11" x14ac:dyDescent="0.25">
      <c r="A225" s="49">
        <f>'A) Base RI'!A223</f>
        <v>5755</v>
      </c>
      <c r="B225" s="286" t="str">
        <f>'A) Base RI'!B223</f>
        <v>Lignerolle</v>
      </c>
      <c r="C225" s="10">
        <f>'A) Base RI'!V223</f>
        <v>409</v>
      </c>
      <c r="D225" s="10">
        <f t="shared" si="12"/>
        <v>409</v>
      </c>
      <c r="E225" s="404">
        <f t="shared" si="15"/>
        <v>0</v>
      </c>
      <c r="F225" s="10">
        <f t="shared" si="15"/>
        <v>0</v>
      </c>
      <c r="G225" s="404">
        <f t="shared" si="15"/>
        <v>0</v>
      </c>
      <c r="H225" s="41">
        <f t="shared" si="15"/>
        <v>0</v>
      </c>
      <c r="I225" s="10">
        <f t="shared" si="15"/>
        <v>0</v>
      </c>
      <c r="J225" s="10">
        <f t="shared" si="13"/>
        <v>0</v>
      </c>
      <c r="K225" s="112">
        <f t="shared" si="14"/>
        <v>51022.132796780679</v>
      </c>
    </row>
    <row r="226" spans="1:11" x14ac:dyDescent="0.25">
      <c r="A226" s="49">
        <f>'A) Base RI'!A224</f>
        <v>5756</v>
      </c>
      <c r="B226" s="286" t="str">
        <f>'A) Base RI'!B224</f>
        <v>Montcherand</v>
      </c>
      <c r="C226" s="10">
        <f>'A) Base RI'!V224</f>
        <v>502</v>
      </c>
      <c r="D226" s="10">
        <f t="shared" si="12"/>
        <v>502</v>
      </c>
      <c r="E226" s="404">
        <f t="shared" si="15"/>
        <v>0</v>
      </c>
      <c r="F226" s="10">
        <f t="shared" si="15"/>
        <v>0</v>
      </c>
      <c r="G226" s="404">
        <f t="shared" si="15"/>
        <v>0</v>
      </c>
      <c r="H226" s="41">
        <f t="shared" si="15"/>
        <v>0</v>
      </c>
      <c r="I226" s="10">
        <f t="shared" si="15"/>
        <v>0</v>
      </c>
      <c r="J226" s="10">
        <f t="shared" si="13"/>
        <v>0</v>
      </c>
      <c r="K226" s="112">
        <f t="shared" si="14"/>
        <v>62623.742454728366</v>
      </c>
    </row>
    <row r="227" spans="1:11" x14ac:dyDescent="0.25">
      <c r="A227" s="49">
        <f>'A) Base RI'!A225</f>
        <v>5757</v>
      </c>
      <c r="B227" s="286" t="str">
        <f>'A) Base RI'!B225</f>
        <v>Orbe</v>
      </c>
      <c r="C227" s="10">
        <f>'A) Base RI'!V225</f>
        <v>7570</v>
      </c>
      <c r="D227" s="10">
        <f t="shared" si="12"/>
        <v>1000</v>
      </c>
      <c r="E227" s="404">
        <f t="shared" si="15"/>
        <v>2000</v>
      </c>
      <c r="F227" s="10">
        <f t="shared" si="15"/>
        <v>2000</v>
      </c>
      <c r="G227" s="404">
        <f t="shared" si="15"/>
        <v>2570</v>
      </c>
      <c r="H227" s="41">
        <f t="shared" si="15"/>
        <v>0</v>
      </c>
      <c r="I227" s="10">
        <f t="shared" si="15"/>
        <v>0</v>
      </c>
      <c r="J227" s="10">
        <f t="shared" si="13"/>
        <v>0</v>
      </c>
      <c r="K227" s="112">
        <f t="shared" si="14"/>
        <v>3360225.352112676</v>
      </c>
    </row>
    <row r="228" spans="1:11" x14ac:dyDescent="0.25">
      <c r="A228" s="49">
        <f>'A) Base RI'!A226</f>
        <v>5758</v>
      </c>
      <c r="B228" s="286" t="str">
        <f>'A) Base RI'!B226</f>
        <v>La Praz</v>
      </c>
      <c r="C228" s="10">
        <f>'A) Base RI'!V226</f>
        <v>182</v>
      </c>
      <c r="D228" s="10">
        <f t="shared" si="12"/>
        <v>182</v>
      </c>
      <c r="E228" s="404">
        <f t="shared" si="15"/>
        <v>0</v>
      </c>
      <c r="F228" s="10">
        <f t="shared" si="15"/>
        <v>0</v>
      </c>
      <c r="G228" s="404">
        <f t="shared" si="15"/>
        <v>0</v>
      </c>
      <c r="H228" s="41">
        <f t="shared" si="15"/>
        <v>0</v>
      </c>
      <c r="I228" s="10">
        <f t="shared" si="15"/>
        <v>0</v>
      </c>
      <c r="J228" s="10">
        <f t="shared" si="13"/>
        <v>0</v>
      </c>
      <c r="K228" s="112">
        <f t="shared" si="14"/>
        <v>22704.225352112673</v>
      </c>
    </row>
    <row r="229" spans="1:11" x14ac:dyDescent="0.25">
      <c r="A229" s="49">
        <f>'A) Base RI'!A227</f>
        <v>5759</v>
      </c>
      <c r="B229" s="286" t="str">
        <f>'A) Base RI'!B227</f>
        <v>Premier</v>
      </c>
      <c r="C229" s="10">
        <f>'A) Base RI'!V227</f>
        <v>232</v>
      </c>
      <c r="D229" s="10">
        <f t="shared" si="12"/>
        <v>232</v>
      </c>
      <c r="E229" s="404">
        <f t="shared" si="15"/>
        <v>0</v>
      </c>
      <c r="F229" s="10">
        <f t="shared" si="15"/>
        <v>0</v>
      </c>
      <c r="G229" s="404">
        <f t="shared" si="15"/>
        <v>0</v>
      </c>
      <c r="H229" s="41">
        <f t="shared" si="15"/>
        <v>0</v>
      </c>
      <c r="I229" s="10">
        <f t="shared" si="15"/>
        <v>0</v>
      </c>
      <c r="J229" s="10">
        <f t="shared" si="13"/>
        <v>0</v>
      </c>
      <c r="K229" s="112">
        <f t="shared" si="14"/>
        <v>28941.649899396376</v>
      </c>
    </row>
    <row r="230" spans="1:11" x14ac:dyDescent="0.25">
      <c r="A230" s="49">
        <f>'A) Base RI'!A228</f>
        <v>5760</v>
      </c>
      <c r="B230" s="286" t="str">
        <f>'A) Base RI'!B228</f>
        <v>Rances</v>
      </c>
      <c r="C230" s="10">
        <f>'A) Base RI'!V228</f>
        <v>512</v>
      </c>
      <c r="D230" s="10">
        <f t="shared" si="12"/>
        <v>512</v>
      </c>
      <c r="E230" s="404">
        <f t="shared" si="15"/>
        <v>0</v>
      </c>
      <c r="F230" s="10">
        <f t="shared" si="15"/>
        <v>0</v>
      </c>
      <c r="G230" s="404">
        <f t="shared" si="15"/>
        <v>0</v>
      </c>
      <c r="H230" s="41">
        <f t="shared" si="15"/>
        <v>0</v>
      </c>
      <c r="I230" s="10">
        <f t="shared" si="15"/>
        <v>0</v>
      </c>
      <c r="J230" s="10">
        <f t="shared" si="13"/>
        <v>0</v>
      </c>
      <c r="K230" s="112">
        <f t="shared" si="14"/>
        <v>63871.227364185106</v>
      </c>
    </row>
    <row r="231" spans="1:11" x14ac:dyDescent="0.25">
      <c r="A231" s="49">
        <f>'A) Base RI'!A229</f>
        <v>5761</v>
      </c>
      <c r="B231" s="286" t="str">
        <f>'A) Base RI'!B229</f>
        <v>Romainmôtier-Envy</v>
      </c>
      <c r="C231" s="10">
        <f>'A) Base RI'!V229</f>
        <v>551</v>
      </c>
      <c r="D231" s="10">
        <f t="shared" si="12"/>
        <v>551</v>
      </c>
      <c r="E231" s="404">
        <f t="shared" si="15"/>
        <v>0</v>
      </c>
      <c r="F231" s="10">
        <f t="shared" si="15"/>
        <v>0</v>
      </c>
      <c r="G231" s="404">
        <f t="shared" si="15"/>
        <v>0</v>
      </c>
      <c r="H231" s="41">
        <f t="shared" si="15"/>
        <v>0</v>
      </c>
      <c r="I231" s="10">
        <f t="shared" si="15"/>
        <v>0</v>
      </c>
      <c r="J231" s="10">
        <f t="shared" si="13"/>
        <v>0</v>
      </c>
      <c r="K231" s="112">
        <f t="shared" si="14"/>
        <v>68736.418511066397</v>
      </c>
    </row>
    <row r="232" spans="1:11" x14ac:dyDescent="0.25">
      <c r="A232" s="49">
        <f>'A) Base RI'!A230</f>
        <v>5762</v>
      </c>
      <c r="B232" s="286" t="str">
        <f>'A) Base RI'!B230</f>
        <v>Sergey</v>
      </c>
      <c r="C232" s="10">
        <f>'A) Base RI'!V230</f>
        <v>141</v>
      </c>
      <c r="D232" s="10">
        <f t="shared" si="12"/>
        <v>141</v>
      </c>
      <c r="E232" s="404">
        <f t="shared" si="15"/>
        <v>0</v>
      </c>
      <c r="F232" s="10">
        <f t="shared" si="15"/>
        <v>0</v>
      </c>
      <c r="G232" s="404">
        <f t="shared" si="15"/>
        <v>0</v>
      </c>
      <c r="H232" s="41">
        <f t="shared" si="15"/>
        <v>0</v>
      </c>
      <c r="I232" s="10">
        <f t="shared" si="15"/>
        <v>0</v>
      </c>
      <c r="J232" s="10">
        <f t="shared" si="13"/>
        <v>0</v>
      </c>
      <c r="K232" s="112">
        <f t="shared" si="14"/>
        <v>17589.537223340038</v>
      </c>
    </row>
    <row r="233" spans="1:11" x14ac:dyDescent="0.25">
      <c r="A233" s="49">
        <f>'A) Base RI'!A231</f>
        <v>5763</v>
      </c>
      <c r="B233" s="286" t="str">
        <f>'A) Base RI'!B231</f>
        <v>Valeyres-sous-Rances</v>
      </c>
      <c r="C233" s="10">
        <f>'A) Base RI'!V231</f>
        <v>614</v>
      </c>
      <c r="D233" s="10">
        <f t="shared" si="12"/>
        <v>614</v>
      </c>
      <c r="E233" s="404">
        <f t="shared" si="15"/>
        <v>0</v>
      </c>
      <c r="F233" s="10">
        <f t="shared" si="15"/>
        <v>0</v>
      </c>
      <c r="G233" s="404">
        <f t="shared" si="15"/>
        <v>0</v>
      </c>
      <c r="H233" s="41">
        <f t="shared" si="15"/>
        <v>0</v>
      </c>
      <c r="I233" s="10">
        <f t="shared" si="15"/>
        <v>0</v>
      </c>
      <c r="J233" s="10">
        <f t="shared" si="13"/>
        <v>0</v>
      </c>
      <c r="K233" s="112">
        <f t="shared" si="14"/>
        <v>76595.573440643857</v>
      </c>
    </row>
    <row r="234" spans="1:11" x14ac:dyDescent="0.25">
      <c r="A234" s="49">
        <f>'A) Base RI'!A232</f>
        <v>5764</v>
      </c>
      <c r="B234" s="286" t="str">
        <f>'A) Base RI'!B232</f>
        <v>Vallorbe</v>
      </c>
      <c r="C234" s="10">
        <f>'A) Base RI'!V232</f>
        <v>3924</v>
      </c>
      <c r="D234" s="10">
        <f t="shared" si="12"/>
        <v>1000</v>
      </c>
      <c r="E234" s="404">
        <f t="shared" si="15"/>
        <v>2000</v>
      </c>
      <c r="F234" s="10">
        <f t="shared" si="15"/>
        <v>924</v>
      </c>
      <c r="G234" s="404">
        <f t="shared" si="15"/>
        <v>0</v>
      </c>
      <c r="H234" s="41">
        <f t="shared" si="15"/>
        <v>0</v>
      </c>
      <c r="I234" s="10">
        <f t="shared" si="15"/>
        <v>0</v>
      </c>
      <c r="J234" s="10">
        <f t="shared" si="13"/>
        <v>0</v>
      </c>
      <c r="K234" s="112">
        <f t="shared" si="14"/>
        <v>1284410.4627766598</v>
      </c>
    </row>
    <row r="235" spans="1:11" x14ac:dyDescent="0.25">
      <c r="A235" s="49">
        <f>'A) Base RI'!A233</f>
        <v>5765</v>
      </c>
      <c r="B235" s="286" t="str">
        <f>'A) Base RI'!B233</f>
        <v>Vaulion</v>
      </c>
      <c r="C235" s="10">
        <f>'A) Base RI'!V233</f>
        <v>492</v>
      </c>
      <c r="D235" s="10">
        <f t="shared" si="12"/>
        <v>492</v>
      </c>
      <c r="E235" s="404">
        <f t="shared" si="15"/>
        <v>0</v>
      </c>
      <c r="F235" s="10">
        <f t="shared" si="15"/>
        <v>0</v>
      </c>
      <c r="G235" s="404">
        <f t="shared" si="15"/>
        <v>0</v>
      </c>
      <c r="H235" s="41">
        <f t="shared" si="15"/>
        <v>0</v>
      </c>
      <c r="I235" s="10">
        <f t="shared" si="15"/>
        <v>0</v>
      </c>
      <c r="J235" s="10">
        <f t="shared" si="13"/>
        <v>0</v>
      </c>
      <c r="K235" s="112">
        <f t="shared" si="14"/>
        <v>61376.257545271626</v>
      </c>
    </row>
    <row r="236" spans="1:11" x14ac:dyDescent="0.25">
      <c r="A236" s="49">
        <f>'A) Base RI'!A234</f>
        <v>5766</v>
      </c>
      <c r="B236" s="286" t="str">
        <f>'A) Base RI'!B234</f>
        <v>Vuiteboeuf</v>
      </c>
      <c r="C236" s="10">
        <f>'A) Base RI'!V234</f>
        <v>591</v>
      </c>
      <c r="D236" s="10">
        <f t="shared" ref="D236:D299" si="16">IF($C236&gt;D$5,IF($C236&lt;D$6,$C236-D$5,D$6-D$5),0)</f>
        <v>591</v>
      </c>
      <c r="E236" s="404">
        <f t="shared" si="15"/>
        <v>0</v>
      </c>
      <c r="F236" s="10">
        <f t="shared" si="15"/>
        <v>0</v>
      </c>
      <c r="G236" s="404">
        <f t="shared" si="15"/>
        <v>0</v>
      </c>
      <c r="H236" s="41">
        <f t="shared" si="15"/>
        <v>0</v>
      </c>
      <c r="I236" s="10">
        <f t="shared" si="15"/>
        <v>0</v>
      </c>
      <c r="J236" s="10">
        <f t="shared" si="13"/>
        <v>0</v>
      </c>
      <c r="K236" s="112">
        <f t="shared" si="14"/>
        <v>73726.358148893356</v>
      </c>
    </row>
    <row r="237" spans="1:11" x14ac:dyDescent="0.25">
      <c r="A237" s="49">
        <f>'A) Base RI'!A235</f>
        <v>5785</v>
      </c>
      <c r="B237" s="286" t="str">
        <f>'A) Base RI'!B235</f>
        <v>Corcelles-le-Jorat</v>
      </c>
      <c r="C237" s="10">
        <f>'A) Base RI'!V235</f>
        <v>489</v>
      </c>
      <c r="D237" s="10">
        <f t="shared" si="16"/>
        <v>489</v>
      </c>
      <c r="E237" s="404">
        <f t="shared" si="15"/>
        <v>0</v>
      </c>
      <c r="F237" s="10">
        <f t="shared" si="15"/>
        <v>0</v>
      </c>
      <c r="G237" s="404">
        <f t="shared" si="15"/>
        <v>0</v>
      </c>
      <c r="H237" s="41">
        <f t="shared" si="15"/>
        <v>0</v>
      </c>
      <c r="I237" s="10">
        <f t="shared" si="15"/>
        <v>0</v>
      </c>
      <c r="J237" s="10">
        <f t="shared" si="13"/>
        <v>0</v>
      </c>
      <c r="K237" s="112">
        <f t="shared" si="14"/>
        <v>61002.012072434605</v>
      </c>
    </row>
    <row r="238" spans="1:11" x14ac:dyDescent="0.25">
      <c r="A238" s="49">
        <f>'A) Base RI'!A236</f>
        <v>5788</v>
      </c>
      <c r="B238" s="286" t="str">
        <f>'A) Base RI'!B236</f>
        <v>Essertes</v>
      </c>
      <c r="C238" s="10">
        <f>'A) Base RI'!V236</f>
        <v>397</v>
      </c>
      <c r="D238" s="10">
        <f t="shared" si="16"/>
        <v>397</v>
      </c>
      <c r="E238" s="404">
        <f t="shared" si="15"/>
        <v>0</v>
      </c>
      <c r="F238" s="10">
        <f t="shared" si="15"/>
        <v>0</v>
      </c>
      <c r="G238" s="404">
        <f t="shared" si="15"/>
        <v>0</v>
      </c>
      <c r="H238" s="41">
        <f t="shared" si="15"/>
        <v>0</v>
      </c>
      <c r="I238" s="10">
        <f t="shared" si="15"/>
        <v>0</v>
      </c>
      <c r="J238" s="10">
        <f t="shared" si="13"/>
        <v>0</v>
      </c>
      <c r="K238" s="112">
        <f t="shared" si="14"/>
        <v>49525.150905432594</v>
      </c>
    </row>
    <row r="239" spans="1:11" x14ac:dyDescent="0.25">
      <c r="A239" s="49">
        <f>'A) Base RI'!A237</f>
        <v>5790</v>
      </c>
      <c r="B239" s="286" t="str">
        <f>'A) Base RI'!B237</f>
        <v>Maracon</v>
      </c>
      <c r="C239" s="10">
        <f>'A) Base RI'!V237</f>
        <v>547</v>
      </c>
      <c r="D239" s="10">
        <f t="shared" si="16"/>
        <v>547</v>
      </c>
      <c r="E239" s="404">
        <f t="shared" si="15"/>
        <v>0</v>
      </c>
      <c r="F239" s="10">
        <f t="shared" si="15"/>
        <v>0</v>
      </c>
      <c r="G239" s="404">
        <f t="shared" si="15"/>
        <v>0</v>
      </c>
      <c r="H239" s="41">
        <f t="shared" si="15"/>
        <v>0</v>
      </c>
      <c r="I239" s="10">
        <f t="shared" si="15"/>
        <v>0</v>
      </c>
      <c r="J239" s="10">
        <f t="shared" si="13"/>
        <v>0</v>
      </c>
      <c r="K239" s="112">
        <f t="shared" si="14"/>
        <v>68237.424547283692</v>
      </c>
    </row>
    <row r="240" spans="1:11" x14ac:dyDescent="0.25">
      <c r="A240" s="49">
        <f>'A) Base RI'!A238</f>
        <v>5792</v>
      </c>
      <c r="B240" s="286" t="str">
        <f>'A) Base RI'!B238</f>
        <v>Montpreveyres</v>
      </c>
      <c r="C240" s="10">
        <f>'A) Base RI'!V238</f>
        <v>662</v>
      </c>
      <c r="D240" s="10">
        <f t="shared" si="16"/>
        <v>662</v>
      </c>
      <c r="E240" s="404">
        <f t="shared" si="15"/>
        <v>0</v>
      </c>
      <c r="F240" s="10">
        <f t="shared" si="15"/>
        <v>0</v>
      </c>
      <c r="G240" s="404">
        <f t="shared" si="15"/>
        <v>0</v>
      </c>
      <c r="H240" s="41">
        <f t="shared" si="15"/>
        <v>0</v>
      </c>
      <c r="I240" s="10">
        <f t="shared" si="15"/>
        <v>0</v>
      </c>
      <c r="J240" s="10">
        <f t="shared" si="13"/>
        <v>0</v>
      </c>
      <c r="K240" s="112">
        <f t="shared" si="14"/>
        <v>82583.501006036211</v>
      </c>
    </row>
    <row r="241" spans="1:11" x14ac:dyDescent="0.25">
      <c r="A241" s="49">
        <f>'A) Base RI'!A239</f>
        <v>5798</v>
      </c>
      <c r="B241" s="286" t="str">
        <f>'A) Base RI'!B239</f>
        <v>Ropraz</v>
      </c>
      <c r="C241" s="10">
        <f>'A) Base RI'!V239</f>
        <v>534</v>
      </c>
      <c r="D241" s="10">
        <f t="shared" si="16"/>
        <v>534</v>
      </c>
      <c r="E241" s="404">
        <f t="shared" si="15"/>
        <v>0</v>
      </c>
      <c r="F241" s="10">
        <f t="shared" si="15"/>
        <v>0</v>
      </c>
      <c r="G241" s="404">
        <f t="shared" si="15"/>
        <v>0</v>
      </c>
      <c r="H241" s="41">
        <f t="shared" si="15"/>
        <v>0</v>
      </c>
      <c r="I241" s="10">
        <f t="shared" si="15"/>
        <v>0</v>
      </c>
      <c r="J241" s="10">
        <f t="shared" si="13"/>
        <v>0</v>
      </c>
      <c r="K241" s="112">
        <f t="shared" si="14"/>
        <v>66615.694164989938</v>
      </c>
    </row>
    <row r="242" spans="1:11" x14ac:dyDescent="0.25">
      <c r="A242" s="49">
        <f>'A) Base RI'!A240</f>
        <v>5799</v>
      </c>
      <c r="B242" s="286" t="str">
        <f>'A) Base RI'!B240</f>
        <v>Servion</v>
      </c>
      <c r="C242" s="10">
        <f>'A) Base RI'!V240</f>
        <v>2107</v>
      </c>
      <c r="D242" s="10">
        <f t="shared" si="16"/>
        <v>1000</v>
      </c>
      <c r="E242" s="404">
        <f t="shared" si="15"/>
        <v>1107</v>
      </c>
      <c r="F242" s="10">
        <f t="shared" si="15"/>
        <v>0</v>
      </c>
      <c r="G242" s="404">
        <f t="shared" si="15"/>
        <v>0</v>
      </c>
      <c r="H242" s="41">
        <f t="shared" si="15"/>
        <v>0</v>
      </c>
      <c r="I242" s="10">
        <f t="shared" si="15"/>
        <v>0</v>
      </c>
      <c r="J242" s="10">
        <f t="shared" si="13"/>
        <v>0</v>
      </c>
      <c r="K242" s="112">
        <f t="shared" si="14"/>
        <v>511418.91348088533</v>
      </c>
    </row>
    <row r="243" spans="1:11" x14ac:dyDescent="0.25">
      <c r="A243" s="49">
        <f>'A) Base RI'!A241</f>
        <v>5803</v>
      </c>
      <c r="B243" s="286" t="str">
        <f>'A) Base RI'!B241</f>
        <v>Vulliens</v>
      </c>
      <c r="C243" s="10">
        <f>'A) Base RI'!V241</f>
        <v>631</v>
      </c>
      <c r="D243" s="10">
        <f t="shared" si="16"/>
        <v>631</v>
      </c>
      <c r="E243" s="404">
        <f t="shared" si="15"/>
        <v>0</v>
      </c>
      <c r="F243" s="10">
        <f t="shared" si="15"/>
        <v>0</v>
      </c>
      <c r="G243" s="404">
        <f t="shared" si="15"/>
        <v>0</v>
      </c>
      <c r="H243" s="41">
        <f t="shared" si="15"/>
        <v>0</v>
      </c>
      <c r="I243" s="10">
        <f t="shared" si="15"/>
        <v>0</v>
      </c>
      <c r="J243" s="10">
        <f t="shared" si="13"/>
        <v>0</v>
      </c>
      <c r="K243" s="112">
        <f t="shared" si="14"/>
        <v>78716.297786720315</v>
      </c>
    </row>
    <row r="244" spans="1:11" x14ac:dyDescent="0.25">
      <c r="A244" s="49">
        <f>'A) Base RI'!A242</f>
        <v>5804</v>
      </c>
      <c r="B244" s="286" t="str">
        <f>'A) Base RI'!B242</f>
        <v>Jorat-Menthue</v>
      </c>
      <c r="C244" s="10">
        <f>'A) Base RI'!V242</f>
        <v>1603</v>
      </c>
      <c r="D244" s="10">
        <f t="shared" si="16"/>
        <v>1000</v>
      </c>
      <c r="E244" s="404">
        <f t="shared" si="15"/>
        <v>603</v>
      </c>
      <c r="F244" s="10">
        <f t="shared" si="15"/>
        <v>0</v>
      </c>
      <c r="G244" s="404">
        <f t="shared" si="15"/>
        <v>0</v>
      </c>
      <c r="H244" s="41">
        <f t="shared" si="15"/>
        <v>0</v>
      </c>
      <c r="I244" s="10">
        <f t="shared" si="15"/>
        <v>0</v>
      </c>
      <c r="J244" s="10">
        <f t="shared" si="13"/>
        <v>0</v>
      </c>
      <c r="K244" s="112">
        <f t="shared" si="14"/>
        <v>335373.84305835009</v>
      </c>
    </row>
    <row r="245" spans="1:11" x14ac:dyDescent="0.25">
      <c r="A245" s="49">
        <f>'A) Base RI'!A243</f>
        <v>5805</v>
      </c>
      <c r="B245" s="286" t="str">
        <f>'A) Base RI'!B243</f>
        <v>Oron</v>
      </c>
      <c r="C245" s="10">
        <f>'A) Base RI'!V243</f>
        <v>5703</v>
      </c>
      <c r="D245" s="10">
        <f t="shared" si="16"/>
        <v>1000</v>
      </c>
      <c r="E245" s="404">
        <f t="shared" si="15"/>
        <v>2000</v>
      </c>
      <c r="F245" s="10">
        <f t="shared" si="15"/>
        <v>2000</v>
      </c>
      <c r="G245" s="404">
        <f t="shared" si="15"/>
        <v>703</v>
      </c>
      <c r="H245" s="41">
        <f t="shared" si="15"/>
        <v>0</v>
      </c>
      <c r="I245" s="10">
        <f t="shared" si="15"/>
        <v>0</v>
      </c>
      <c r="J245" s="10">
        <f t="shared" si="13"/>
        <v>0</v>
      </c>
      <c r="K245" s="112">
        <f t="shared" si="14"/>
        <v>2242279.2756539234</v>
      </c>
    </row>
    <row r="246" spans="1:11" x14ac:dyDescent="0.25">
      <c r="A246" s="49">
        <f>'A) Base RI'!A244</f>
        <v>5806</v>
      </c>
      <c r="B246" s="286" t="str">
        <f>'A) Base RI'!B244</f>
        <v>Jorat-Mézières</v>
      </c>
      <c r="C246" s="10">
        <f>'A) Base RI'!V244</f>
        <v>3095</v>
      </c>
      <c r="D246" s="10">
        <f t="shared" si="16"/>
        <v>1000</v>
      </c>
      <c r="E246" s="404">
        <f t="shared" si="15"/>
        <v>2000</v>
      </c>
      <c r="F246" s="10">
        <f t="shared" si="15"/>
        <v>95</v>
      </c>
      <c r="G246" s="404">
        <f t="shared" si="15"/>
        <v>0</v>
      </c>
      <c r="H246" s="41">
        <f t="shared" si="15"/>
        <v>0</v>
      </c>
      <c r="I246" s="10">
        <f t="shared" si="15"/>
        <v>0</v>
      </c>
      <c r="J246" s="10">
        <f t="shared" si="13"/>
        <v>0</v>
      </c>
      <c r="K246" s="112">
        <f t="shared" si="14"/>
        <v>870744.46680080472</v>
      </c>
    </row>
    <row r="247" spans="1:11" x14ac:dyDescent="0.25">
      <c r="A247" s="49">
        <f>'A) Base RI'!A245</f>
        <v>5812</v>
      </c>
      <c r="B247" s="286" t="str">
        <f>'A) Base RI'!B245</f>
        <v>Champtauroz</v>
      </c>
      <c r="C247" s="10">
        <f>'A) Base RI'!V245</f>
        <v>169</v>
      </c>
      <c r="D247" s="10">
        <f t="shared" si="16"/>
        <v>169</v>
      </c>
      <c r="E247" s="404">
        <f t="shared" si="15"/>
        <v>0</v>
      </c>
      <c r="F247" s="10">
        <f t="shared" si="15"/>
        <v>0</v>
      </c>
      <c r="G247" s="404">
        <f t="shared" si="15"/>
        <v>0</v>
      </c>
      <c r="H247" s="41">
        <f t="shared" si="15"/>
        <v>0</v>
      </c>
      <c r="I247" s="10">
        <f t="shared" si="15"/>
        <v>0</v>
      </c>
      <c r="J247" s="10">
        <f t="shared" si="13"/>
        <v>0</v>
      </c>
      <c r="K247" s="112">
        <f t="shared" si="14"/>
        <v>21082.494969818912</v>
      </c>
    </row>
    <row r="248" spans="1:11" x14ac:dyDescent="0.25">
      <c r="A248" s="49">
        <f>'A) Base RI'!A246</f>
        <v>5813</v>
      </c>
      <c r="B248" s="286" t="str">
        <f>'A) Base RI'!B246</f>
        <v>Chevroux</v>
      </c>
      <c r="C248" s="10">
        <f>'A) Base RI'!V246</f>
        <v>506</v>
      </c>
      <c r="D248" s="10">
        <f t="shared" si="16"/>
        <v>506</v>
      </c>
      <c r="E248" s="404">
        <f t="shared" si="15"/>
        <v>0</v>
      </c>
      <c r="F248" s="10">
        <f t="shared" si="15"/>
        <v>0</v>
      </c>
      <c r="G248" s="404">
        <f t="shared" si="15"/>
        <v>0</v>
      </c>
      <c r="H248" s="41">
        <f t="shared" si="15"/>
        <v>0</v>
      </c>
      <c r="I248" s="10">
        <f t="shared" si="15"/>
        <v>0</v>
      </c>
      <c r="J248" s="10">
        <f t="shared" si="13"/>
        <v>0</v>
      </c>
      <c r="K248" s="112">
        <f t="shared" si="14"/>
        <v>63122.736418511064</v>
      </c>
    </row>
    <row r="249" spans="1:11" x14ac:dyDescent="0.25">
      <c r="A249" s="49">
        <f>'A) Base RI'!A247</f>
        <v>5816</v>
      </c>
      <c r="B249" s="286" t="str">
        <f>'A) Base RI'!B247</f>
        <v>Corcelles-près-Payerne</v>
      </c>
      <c r="C249" s="10">
        <f>'A) Base RI'!V247</f>
        <v>2722</v>
      </c>
      <c r="D249" s="10">
        <f t="shared" si="16"/>
        <v>1000</v>
      </c>
      <c r="E249" s="404">
        <f t="shared" si="15"/>
        <v>1722</v>
      </c>
      <c r="F249" s="10">
        <f t="shared" si="15"/>
        <v>0</v>
      </c>
      <c r="G249" s="404">
        <f t="shared" si="15"/>
        <v>0</v>
      </c>
      <c r="H249" s="41">
        <f t="shared" si="15"/>
        <v>0</v>
      </c>
      <c r="I249" s="10">
        <f t="shared" si="15"/>
        <v>0</v>
      </c>
      <c r="J249" s="10">
        <f t="shared" si="13"/>
        <v>0</v>
      </c>
      <c r="K249" s="112">
        <f t="shared" si="14"/>
        <v>726235.81488933589</v>
      </c>
    </row>
    <row r="250" spans="1:11" x14ac:dyDescent="0.25">
      <c r="A250" s="49">
        <f>'A) Base RI'!A248</f>
        <v>5817</v>
      </c>
      <c r="B250" s="286" t="str">
        <f>'A) Base RI'!B248</f>
        <v>Grandcour</v>
      </c>
      <c r="C250" s="10">
        <f>'A) Base RI'!V248</f>
        <v>987</v>
      </c>
      <c r="D250" s="10">
        <f t="shared" si="16"/>
        <v>987</v>
      </c>
      <c r="E250" s="404">
        <f t="shared" si="15"/>
        <v>0</v>
      </c>
      <c r="F250" s="10">
        <f t="shared" si="15"/>
        <v>0</v>
      </c>
      <c r="G250" s="404">
        <f t="shared" si="15"/>
        <v>0</v>
      </c>
      <c r="H250" s="41">
        <f t="shared" si="15"/>
        <v>0</v>
      </c>
      <c r="I250" s="10">
        <f t="shared" si="15"/>
        <v>0</v>
      </c>
      <c r="J250" s="10">
        <f t="shared" si="13"/>
        <v>0</v>
      </c>
      <c r="K250" s="112">
        <f t="shared" si="14"/>
        <v>123126.76056338027</v>
      </c>
    </row>
    <row r="251" spans="1:11" x14ac:dyDescent="0.25">
      <c r="A251" s="49">
        <f>'A) Base RI'!A249</f>
        <v>5819</v>
      </c>
      <c r="B251" s="286" t="str">
        <f>'A) Base RI'!B249</f>
        <v>Henniez</v>
      </c>
      <c r="C251" s="10">
        <f>'A) Base RI'!V249</f>
        <v>407</v>
      </c>
      <c r="D251" s="10">
        <f t="shared" si="16"/>
        <v>407</v>
      </c>
      <c r="E251" s="404">
        <f t="shared" si="15"/>
        <v>0</v>
      </c>
      <c r="F251" s="10">
        <f t="shared" si="15"/>
        <v>0</v>
      </c>
      <c r="G251" s="404">
        <f t="shared" si="15"/>
        <v>0</v>
      </c>
      <c r="H251" s="41">
        <f t="shared" si="15"/>
        <v>0</v>
      </c>
      <c r="I251" s="10">
        <f t="shared" si="15"/>
        <v>0</v>
      </c>
      <c r="J251" s="10">
        <f t="shared" si="13"/>
        <v>0</v>
      </c>
      <c r="K251" s="112">
        <f t="shared" si="14"/>
        <v>50772.635814889334</v>
      </c>
    </row>
    <row r="252" spans="1:11" x14ac:dyDescent="0.25">
      <c r="A252" s="49">
        <f>'A) Base RI'!A250</f>
        <v>5821</v>
      </c>
      <c r="B252" s="286" t="str">
        <f>'A) Base RI'!B250</f>
        <v>Missy</v>
      </c>
      <c r="C252" s="10">
        <f>'A) Base RI'!V250</f>
        <v>366</v>
      </c>
      <c r="D252" s="10">
        <f t="shared" si="16"/>
        <v>366</v>
      </c>
      <c r="E252" s="404">
        <f t="shared" si="15"/>
        <v>0</v>
      </c>
      <c r="F252" s="10">
        <f t="shared" si="15"/>
        <v>0</v>
      </c>
      <c r="G252" s="404">
        <f t="shared" si="15"/>
        <v>0</v>
      </c>
      <c r="H252" s="41">
        <f t="shared" si="15"/>
        <v>0</v>
      </c>
      <c r="I252" s="10">
        <f t="shared" si="15"/>
        <v>0</v>
      </c>
      <c r="J252" s="10">
        <f t="shared" si="13"/>
        <v>0</v>
      </c>
      <c r="K252" s="112">
        <f t="shared" si="14"/>
        <v>45657.947686116699</v>
      </c>
    </row>
    <row r="253" spans="1:11" x14ac:dyDescent="0.25">
      <c r="A253" s="49">
        <f>'A) Base RI'!A251</f>
        <v>5822</v>
      </c>
      <c r="B253" s="286" t="str">
        <f>'A) Base RI'!B251</f>
        <v>Payerne</v>
      </c>
      <c r="C253" s="10">
        <f>'A) Base RI'!V251</f>
        <v>10258</v>
      </c>
      <c r="D253" s="10">
        <f t="shared" si="16"/>
        <v>1000</v>
      </c>
      <c r="E253" s="404">
        <f t="shared" si="15"/>
        <v>2000</v>
      </c>
      <c r="F253" s="10">
        <f t="shared" si="15"/>
        <v>2000</v>
      </c>
      <c r="G253" s="404">
        <f t="shared" si="15"/>
        <v>4000</v>
      </c>
      <c r="H253" s="41">
        <f t="shared" si="15"/>
        <v>1258</v>
      </c>
      <c r="I253" s="10">
        <f t="shared" si="15"/>
        <v>0</v>
      </c>
      <c r="J253" s="10">
        <f t="shared" si="13"/>
        <v>0</v>
      </c>
      <c r="K253" s="112">
        <f t="shared" si="14"/>
        <v>5283647.4849094562</v>
      </c>
    </row>
    <row r="254" spans="1:11" x14ac:dyDescent="0.25">
      <c r="A254" s="49">
        <f>'A) Base RI'!A252</f>
        <v>5827</v>
      </c>
      <c r="B254" s="286" t="str">
        <f>'A) Base RI'!B252</f>
        <v>Trey</v>
      </c>
      <c r="C254" s="10">
        <f>'A) Base RI'!V252</f>
        <v>321</v>
      </c>
      <c r="D254" s="10">
        <f t="shared" si="16"/>
        <v>321</v>
      </c>
      <c r="E254" s="404">
        <f t="shared" si="15"/>
        <v>0</v>
      </c>
      <c r="F254" s="10">
        <f t="shared" si="15"/>
        <v>0</v>
      </c>
      <c r="G254" s="404">
        <f t="shared" si="15"/>
        <v>0</v>
      </c>
      <c r="H254" s="41">
        <f t="shared" si="15"/>
        <v>0</v>
      </c>
      <c r="I254" s="10">
        <f t="shared" si="15"/>
        <v>0</v>
      </c>
      <c r="J254" s="10">
        <f t="shared" si="13"/>
        <v>0</v>
      </c>
      <c r="K254" s="112">
        <f t="shared" si="14"/>
        <v>40044.265593561366</v>
      </c>
    </row>
    <row r="255" spans="1:11" x14ac:dyDescent="0.25">
      <c r="A255" s="49">
        <f>'A) Base RI'!A253</f>
        <v>5828</v>
      </c>
      <c r="B255" s="286" t="str">
        <f>'A) Base RI'!B253</f>
        <v>Treytorrens (Payerne)</v>
      </c>
      <c r="C255" s="10">
        <f>'A) Base RI'!V253</f>
        <v>110</v>
      </c>
      <c r="D255" s="10">
        <f t="shared" si="16"/>
        <v>110</v>
      </c>
      <c r="E255" s="404">
        <f t="shared" si="15"/>
        <v>0</v>
      </c>
      <c r="F255" s="10">
        <f t="shared" si="15"/>
        <v>0</v>
      </c>
      <c r="G255" s="404">
        <f t="shared" si="15"/>
        <v>0</v>
      </c>
      <c r="H255" s="41">
        <f t="shared" si="15"/>
        <v>0</v>
      </c>
      <c r="I255" s="10">
        <f t="shared" si="15"/>
        <v>0</v>
      </c>
      <c r="J255" s="10">
        <f t="shared" si="13"/>
        <v>0</v>
      </c>
      <c r="K255" s="112">
        <f t="shared" si="14"/>
        <v>13722.334004024144</v>
      </c>
    </row>
    <row r="256" spans="1:11" x14ac:dyDescent="0.25">
      <c r="A256" s="49">
        <f>'A) Base RI'!A254</f>
        <v>5830</v>
      </c>
      <c r="B256" s="286" t="str">
        <f>'A) Base RI'!B254</f>
        <v>Villarzel</v>
      </c>
      <c r="C256" s="10">
        <f>'A) Base RI'!V254</f>
        <v>500</v>
      </c>
      <c r="D256" s="10">
        <f t="shared" si="16"/>
        <v>500</v>
      </c>
      <c r="E256" s="404">
        <f t="shared" si="15"/>
        <v>0</v>
      </c>
      <c r="F256" s="10">
        <f t="shared" si="15"/>
        <v>0</v>
      </c>
      <c r="G256" s="404">
        <f t="shared" si="15"/>
        <v>0</v>
      </c>
      <c r="H256" s="41">
        <f t="shared" si="15"/>
        <v>0</v>
      </c>
      <c r="I256" s="10">
        <f t="shared" si="15"/>
        <v>0</v>
      </c>
      <c r="J256" s="10">
        <f t="shared" si="13"/>
        <v>0</v>
      </c>
      <c r="K256" s="112">
        <f t="shared" si="14"/>
        <v>62374.245472837021</v>
      </c>
    </row>
    <row r="257" spans="1:11" x14ac:dyDescent="0.25">
      <c r="A257" s="49">
        <f>'A) Base RI'!A255</f>
        <v>5831</v>
      </c>
      <c r="B257" s="286" t="str">
        <f>'A) Base RI'!B255</f>
        <v>Valbroye</v>
      </c>
      <c r="C257" s="10">
        <f>'A) Base RI'!V255</f>
        <v>3349</v>
      </c>
      <c r="D257" s="10">
        <f t="shared" si="16"/>
        <v>1000</v>
      </c>
      <c r="E257" s="404">
        <f t="shared" si="15"/>
        <v>2000</v>
      </c>
      <c r="F257" s="10">
        <f t="shared" si="15"/>
        <v>349</v>
      </c>
      <c r="G257" s="404">
        <f t="shared" si="15"/>
        <v>0</v>
      </c>
      <c r="H257" s="41">
        <f t="shared" si="15"/>
        <v>0</v>
      </c>
      <c r="I257" s="10">
        <f t="shared" si="15"/>
        <v>0</v>
      </c>
      <c r="J257" s="10">
        <f t="shared" si="13"/>
        <v>0</v>
      </c>
      <c r="K257" s="112">
        <f t="shared" si="14"/>
        <v>997488.93360160955</v>
      </c>
    </row>
    <row r="258" spans="1:11" x14ac:dyDescent="0.25">
      <c r="A258" s="49">
        <f>'A) Base RI'!A256</f>
        <v>5841</v>
      </c>
      <c r="B258" s="286" t="str">
        <f>'A) Base RI'!B256</f>
        <v>Château-d'Oex</v>
      </c>
      <c r="C258" s="10">
        <f>'A) Base RI'!V256</f>
        <v>3549</v>
      </c>
      <c r="D258" s="10">
        <f t="shared" si="16"/>
        <v>1000</v>
      </c>
      <c r="E258" s="404">
        <f t="shared" si="15"/>
        <v>2000</v>
      </c>
      <c r="F258" s="10">
        <f t="shared" si="15"/>
        <v>549</v>
      </c>
      <c r="G258" s="404">
        <f t="shared" si="15"/>
        <v>0</v>
      </c>
      <c r="H258" s="41">
        <f t="shared" si="15"/>
        <v>0</v>
      </c>
      <c r="I258" s="10">
        <f t="shared" si="15"/>
        <v>0</v>
      </c>
      <c r="J258" s="10">
        <f t="shared" si="13"/>
        <v>0</v>
      </c>
      <c r="K258" s="112">
        <f t="shared" si="14"/>
        <v>1097287.7263581487</v>
      </c>
    </row>
    <row r="259" spans="1:11" x14ac:dyDescent="0.25">
      <c r="A259" s="49">
        <f>'A) Base RI'!A257</f>
        <v>5842</v>
      </c>
      <c r="B259" s="286" t="str">
        <f>'A) Base RI'!B257</f>
        <v>Rossinière</v>
      </c>
      <c r="C259" s="10">
        <f>'A) Base RI'!V257</f>
        <v>534</v>
      </c>
      <c r="D259" s="10">
        <f t="shared" si="16"/>
        <v>534</v>
      </c>
      <c r="E259" s="404">
        <f t="shared" si="15"/>
        <v>0</v>
      </c>
      <c r="F259" s="10">
        <f t="shared" si="15"/>
        <v>0</v>
      </c>
      <c r="G259" s="404">
        <f t="shared" si="15"/>
        <v>0</v>
      </c>
      <c r="H259" s="41">
        <f t="shared" si="15"/>
        <v>0</v>
      </c>
      <c r="I259" s="10">
        <f t="shared" si="15"/>
        <v>0</v>
      </c>
      <c r="J259" s="10">
        <f t="shared" si="13"/>
        <v>0</v>
      </c>
      <c r="K259" s="112">
        <f t="shared" si="14"/>
        <v>66615.694164989938</v>
      </c>
    </row>
    <row r="260" spans="1:11" x14ac:dyDescent="0.25">
      <c r="A260" s="49">
        <f>'A) Base RI'!A258</f>
        <v>5843</v>
      </c>
      <c r="B260" s="286" t="str">
        <f>'A) Base RI'!B258</f>
        <v>Rougemont</v>
      </c>
      <c r="C260" s="10">
        <f>'A) Base RI'!V258</f>
        <v>862</v>
      </c>
      <c r="D260" s="10">
        <f t="shared" si="16"/>
        <v>862</v>
      </c>
      <c r="E260" s="404">
        <f t="shared" si="15"/>
        <v>0</v>
      </c>
      <c r="F260" s="10">
        <f t="shared" si="15"/>
        <v>0</v>
      </c>
      <c r="G260" s="404">
        <f t="shared" ref="E260:I311" si="17">IF($C260&gt;G$5,IF($C260&lt;G$6,$C260-G$5,G$6-G$5),0)</f>
        <v>0</v>
      </c>
      <c r="H260" s="41">
        <f t="shared" si="17"/>
        <v>0</v>
      </c>
      <c r="I260" s="10">
        <f t="shared" si="17"/>
        <v>0</v>
      </c>
      <c r="J260" s="10">
        <f t="shared" si="13"/>
        <v>0</v>
      </c>
      <c r="K260" s="112">
        <f t="shared" si="14"/>
        <v>107533.19919517102</v>
      </c>
    </row>
    <row r="261" spans="1:11" x14ac:dyDescent="0.25">
      <c r="A261" s="49">
        <f>'A) Base RI'!A259</f>
        <v>5851</v>
      </c>
      <c r="B261" s="286" t="str">
        <f>'A) Base RI'!B259</f>
        <v>Allaman</v>
      </c>
      <c r="C261" s="10">
        <f>'A) Base RI'!V259</f>
        <v>430</v>
      </c>
      <c r="D261" s="10">
        <f t="shared" si="16"/>
        <v>430</v>
      </c>
      <c r="E261" s="404">
        <f t="shared" si="17"/>
        <v>0</v>
      </c>
      <c r="F261" s="10">
        <f t="shared" si="17"/>
        <v>0</v>
      </c>
      <c r="G261" s="404">
        <f t="shared" si="17"/>
        <v>0</v>
      </c>
      <c r="H261" s="41">
        <f t="shared" si="17"/>
        <v>0</v>
      </c>
      <c r="I261" s="10">
        <f t="shared" si="17"/>
        <v>0</v>
      </c>
      <c r="J261" s="10">
        <f t="shared" si="13"/>
        <v>0</v>
      </c>
      <c r="K261" s="112">
        <f t="shared" si="14"/>
        <v>53641.851106639835</v>
      </c>
    </row>
    <row r="262" spans="1:11" x14ac:dyDescent="0.25">
      <c r="A262" s="49">
        <f>'A) Base RI'!A260</f>
        <v>5852</v>
      </c>
      <c r="B262" s="286" t="str">
        <f>'A) Base RI'!B260</f>
        <v>Bursinel</v>
      </c>
      <c r="C262" s="10">
        <f>'A) Base RI'!V260</f>
        <v>515</v>
      </c>
      <c r="D262" s="10">
        <f t="shared" si="16"/>
        <v>515</v>
      </c>
      <c r="E262" s="404">
        <f t="shared" si="17"/>
        <v>0</v>
      </c>
      <c r="F262" s="10">
        <f t="shared" si="17"/>
        <v>0</v>
      </c>
      <c r="G262" s="404">
        <f t="shared" si="17"/>
        <v>0</v>
      </c>
      <c r="H262" s="41">
        <f t="shared" si="17"/>
        <v>0</v>
      </c>
      <c r="I262" s="10">
        <f t="shared" si="17"/>
        <v>0</v>
      </c>
      <c r="J262" s="10">
        <f t="shared" si="13"/>
        <v>0</v>
      </c>
      <c r="K262" s="112">
        <f t="shared" si="14"/>
        <v>64245.472837022127</v>
      </c>
    </row>
    <row r="263" spans="1:11" x14ac:dyDescent="0.25">
      <c r="A263" s="49">
        <f>'A) Base RI'!A261</f>
        <v>5853</v>
      </c>
      <c r="B263" s="286" t="str">
        <f>'A) Base RI'!B261</f>
        <v>Bursins</v>
      </c>
      <c r="C263" s="10">
        <f>'A) Base RI'!V261</f>
        <v>773</v>
      </c>
      <c r="D263" s="10">
        <f t="shared" si="16"/>
        <v>773</v>
      </c>
      <c r="E263" s="404">
        <f t="shared" si="17"/>
        <v>0</v>
      </c>
      <c r="F263" s="10">
        <f t="shared" si="17"/>
        <v>0</v>
      </c>
      <c r="G263" s="404">
        <f t="shared" si="17"/>
        <v>0</v>
      </c>
      <c r="H263" s="41">
        <f t="shared" si="17"/>
        <v>0</v>
      </c>
      <c r="I263" s="10">
        <f t="shared" si="17"/>
        <v>0</v>
      </c>
      <c r="J263" s="10">
        <f t="shared" si="13"/>
        <v>0</v>
      </c>
      <c r="K263" s="112">
        <f t="shared" si="14"/>
        <v>96430.583501006025</v>
      </c>
    </row>
    <row r="264" spans="1:11" x14ac:dyDescent="0.25">
      <c r="A264" s="49">
        <f>'A) Base RI'!A262</f>
        <v>5854</v>
      </c>
      <c r="B264" s="286" t="str">
        <f>'A) Base RI'!B262</f>
        <v>Burtigny</v>
      </c>
      <c r="C264" s="10">
        <f>'A) Base RI'!V262</f>
        <v>416</v>
      </c>
      <c r="D264" s="10">
        <f t="shared" si="16"/>
        <v>416</v>
      </c>
      <c r="E264" s="404">
        <f t="shared" si="17"/>
        <v>0</v>
      </c>
      <c r="F264" s="10">
        <f t="shared" si="17"/>
        <v>0</v>
      </c>
      <c r="G264" s="404">
        <f t="shared" si="17"/>
        <v>0</v>
      </c>
      <c r="H264" s="41">
        <f t="shared" si="17"/>
        <v>0</v>
      </c>
      <c r="I264" s="10">
        <f t="shared" si="17"/>
        <v>0</v>
      </c>
      <c r="J264" s="10">
        <f t="shared" si="13"/>
        <v>0</v>
      </c>
      <c r="K264" s="112">
        <f t="shared" si="14"/>
        <v>51895.372233400398</v>
      </c>
    </row>
    <row r="265" spans="1:11" x14ac:dyDescent="0.25">
      <c r="A265" s="49">
        <f>'A) Base RI'!A263</f>
        <v>5855</v>
      </c>
      <c r="B265" s="286" t="str">
        <f>'A) Base RI'!B263</f>
        <v>Dully</v>
      </c>
      <c r="C265" s="10">
        <f>'A) Base RI'!V263</f>
        <v>634</v>
      </c>
      <c r="D265" s="10">
        <f t="shared" si="16"/>
        <v>634</v>
      </c>
      <c r="E265" s="404">
        <f t="shared" si="17"/>
        <v>0</v>
      </c>
      <c r="F265" s="10">
        <f t="shared" si="17"/>
        <v>0</v>
      </c>
      <c r="G265" s="404">
        <f t="shared" si="17"/>
        <v>0</v>
      </c>
      <c r="H265" s="41">
        <f t="shared" si="17"/>
        <v>0</v>
      </c>
      <c r="I265" s="10">
        <f t="shared" si="17"/>
        <v>0</v>
      </c>
      <c r="J265" s="10">
        <f t="shared" si="13"/>
        <v>0</v>
      </c>
      <c r="K265" s="112">
        <f t="shared" si="14"/>
        <v>79090.543259557337</v>
      </c>
    </row>
    <row r="266" spans="1:11" x14ac:dyDescent="0.25">
      <c r="A266" s="49">
        <f>'A) Base RI'!A264</f>
        <v>5856</v>
      </c>
      <c r="B266" s="286" t="str">
        <f>'A) Base RI'!B264</f>
        <v>Essertines-sur-Rolle</v>
      </c>
      <c r="C266" s="10">
        <f>'A) Base RI'!V264</f>
        <v>753</v>
      </c>
      <c r="D266" s="10">
        <f t="shared" si="16"/>
        <v>753</v>
      </c>
      <c r="E266" s="404">
        <f t="shared" si="17"/>
        <v>0</v>
      </c>
      <c r="F266" s="10">
        <f t="shared" si="17"/>
        <v>0</v>
      </c>
      <c r="G266" s="404">
        <f t="shared" si="17"/>
        <v>0</v>
      </c>
      <c r="H266" s="41">
        <f t="shared" si="17"/>
        <v>0</v>
      </c>
      <c r="I266" s="10">
        <f t="shared" si="17"/>
        <v>0</v>
      </c>
      <c r="J266" s="10">
        <f t="shared" ref="J266:J316" si="18">IF(C266&gt;$J$5,C266-$J$5,0)</f>
        <v>0</v>
      </c>
      <c r="K266" s="112">
        <f t="shared" ref="K266:K316" si="19">(D266*D$8)+(E266*E$8)+(F266*F$8)+(G266*G$8)+(H266*H$8)+(I266*I$8)+(J266*J$8)</f>
        <v>93935.613682092546</v>
      </c>
    </row>
    <row r="267" spans="1:11" x14ac:dyDescent="0.25">
      <c r="A267" s="49">
        <f>'A) Base RI'!A265</f>
        <v>5857</v>
      </c>
      <c r="B267" s="286" t="str">
        <f>'A) Base RI'!B265</f>
        <v>Gilly</v>
      </c>
      <c r="C267" s="10">
        <f>'A) Base RI'!V265</f>
        <v>1438</v>
      </c>
      <c r="D267" s="10">
        <f t="shared" si="16"/>
        <v>1000</v>
      </c>
      <c r="E267" s="404">
        <f t="shared" si="17"/>
        <v>438</v>
      </c>
      <c r="F267" s="10">
        <f t="shared" si="17"/>
        <v>0</v>
      </c>
      <c r="G267" s="404">
        <f t="shared" si="17"/>
        <v>0</v>
      </c>
      <c r="H267" s="41">
        <f t="shared" si="17"/>
        <v>0</v>
      </c>
      <c r="I267" s="10">
        <f t="shared" si="17"/>
        <v>0</v>
      </c>
      <c r="J267" s="10">
        <f t="shared" si="18"/>
        <v>0</v>
      </c>
      <c r="K267" s="112">
        <f t="shared" si="19"/>
        <v>277740.04024144867</v>
      </c>
    </row>
    <row r="268" spans="1:11" x14ac:dyDescent="0.25">
      <c r="A268" s="49">
        <f>'A) Base RI'!A266</f>
        <v>5858</v>
      </c>
      <c r="B268" s="286" t="str">
        <f>'A) Base RI'!B266</f>
        <v>Luins</v>
      </c>
      <c r="C268" s="10">
        <f>'A) Base RI'!V266</f>
        <v>630</v>
      </c>
      <c r="D268" s="10">
        <f t="shared" si="16"/>
        <v>630</v>
      </c>
      <c r="E268" s="404">
        <f t="shared" si="17"/>
        <v>0</v>
      </c>
      <c r="F268" s="10">
        <f t="shared" si="17"/>
        <v>0</v>
      </c>
      <c r="G268" s="404">
        <f t="shared" si="17"/>
        <v>0</v>
      </c>
      <c r="H268" s="41">
        <f t="shared" si="17"/>
        <v>0</v>
      </c>
      <c r="I268" s="10">
        <f t="shared" si="17"/>
        <v>0</v>
      </c>
      <c r="J268" s="10">
        <f t="shared" si="18"/>
        <v>0</v>
      </c>
      <c r="K268" s="112">
        <f t="shared" si="19"/>
        <v>78591.549295774646</v>
      </c>
    </row>
    <row r="269" spans="1:11" x14ac:dyDescent="0.25">
      <c r="A269" s="49">
        <f>'A) Base RI'!A267</f>
        <v>5859</v>
      </c>
      <c r="B269" s="286" t="str">
        <f>'A) Base RI'!B267</f>
        <v>Mont-sur-Rolle</v>
      </c>
      <c r="C269" s="10">
        <f>'A) Base RI'!V267</f>
        <v>2739</v>
      </c>
      <c r="D269" s="10">
        <f t="shared" si="16"/>
        <v>1000</v>
      </c>
      <c r="E269" s="404">
        <f t="shared" si="17"/>
        <v>1739</v>
      </c>
      <c r="F269" s="10">
        <f t="shared" si="17"/>
        <v>0</v>
      </c>
      <c r="G269" s="404">
        <f t="shared" si="17"/>
        <v>0</v>
      </c>
      <c r="H269" s="41">
        <f t="shared" si="17"/>
        <v>0</v>
      </c>
      <c r="I269" s="10">
        <f t="shared" si="17"/>
        <v>0</v>
      </c>
      <c r="J269" s="10">
        <f t="shared" si="18"/>
        <v>0</v>
      </c>
      <c r="K269" s="112">
        <f t="shared" si="19"/>
        <v>732173.84305835003</v>
      </c>
    </row>
    <row r="270" spans="1:11" x14ac:dyDescent="0.25">
      <c r="A270" s="49">
        <f>'A) Base RI'!A268</f>
        <v>5860</v>
      </c>
      <c r="B270" s="286" t="str">
        <f>'A) Base RI'!B268</f>
        <v>Perroy</v>
      </c>
      <c r="C270" s="10">
        <f>'A) Base RI'!V268</f>
        <v>1514</v>
      </c>
      <c r="D270" s="10">
        <f t="shared" si="16"/>
        <v>1000</v>
      </c>
      <c r="E270" s="404">
        <f t="shared" si="17"/>
        <v>514</v>
      </c>
      <c r="F270" s="10">
        <f t="shared" si="17"/>
        <v>0</v>
      </c>
      <c r="G270" s="404">
        <f t="shared" si="17"/>
        <v>0</v>
      </c>
      <c r="H270" s="41">
        <f t="shared" si="17"/>
        <v>0</v>
      </c>
      <c r="I270" s="10">
        <f t="shared" si="17"/>
        <v>0</v>
      </c>
      <c r="J270" s="10">
        <f t="shared" si="18"/>
        <v>0</v>
      </c>
      <c r="K270" s="112">
        <f t="shared" si="19"/>
        <v>304286.51911468816</v>
      </c>
    </row>
    <row r="271" spans="1:11" x14ac:dyDescent="0.25">
      <c r="A271" s="49">
        <f>'A) Base RI'!A269</f>
        <v>5861</v>
      </c>
      <c r="B271" s="286" t="str">
        <f>'A) Base RI'!B269</f>
        <v>Rolle</v>
      </c>
      <c r="C271" s="10">
        <f>'A) Base RI'!V269</f>
        <v>6291</v>
      </c>
      <c r="D271" s="10">
        <f t="shared" si="16"/>
        <v>1000</v>
      </c>
      <c r="E271" s="404">
        <f t="shared" si="17"/>
        <v>2000</v>
      </c>
      <c r="F271" s="10">
        <f t="shared" si="17"/>
        <v>2000</v>
      </c>
      <c r="G271" s="404">
        <f t="shared" si="17"/>
        <v>1291</v>
      </c>
      <c r="H271" s="41">
        <f t="shared" si="17"/>
        <v>0</v>
      </c>
      <c r="I271" s="10">
        <f t="shared" si="17"/>
        <v>0</v>
      </c>
      <c r="J271" s="10">
        <f t="shared" si="18"/>
        <v>0</v>
      </c>
      <c r="K271" s="112">
        <f t="shared" si="19"/>
        <v>2594369.4164989935</v>
      </c>
    </row>
    <row r="272" spans="1:11" x14ac:dyDescent="0.25">
      <c r="A272" s="49">
        <f>'A) Base RI'!A270</f>
        <v>5862</v>
      </c>
      <c r="B272" s="286" t="str">
        <f>'A) Base RI'!B270</f>
        <v>Tartegnin</v>
      </c>
      <c r="C272" s="10">
        <f>'A) Base RI'!V270</f>
        <v>241</v>
      </c>
      <c r="D272" s="10">
        <f t="shared" si="16"/>
        <v>241</v>
      </c>
      <c r="E272" s="404">
        <f t="shared" si="17"/>
        <v>0</v>
      </c>
      <c r="F272" s="10">
        <f t="shared" si="17"/>
        <v>0</v>
      </c>
      <c r="G272" s="404">
        <f t="shared" si="17"/>
        <v>0</v>
      </c>
      <c r="H272" s="41">
        <f t="shared" si="17"/>
        <v>0</v>
      </c>
      <c r="I272" s="10">
        <f t="shared" si="17"/>
        <v>0</v>
      </c>
      <c r="J272" s="10">
        <f t="shared" si="18"/>
        <v>0</v>
      </c>
      <c r="K272" s="112">
        <f t="shared" si="19"/>
        <v>30064.386317907443</v>
      </c>
    </row>
    <row r="273" spans="1:11" x14ac:dyDescent="0.25">
      <c r="A273" s="49">
        <f>'A) Base RI'!A271</f>
        <v>5863</v>
      </c>
      <c r="B273" s="286" t="str">
        <f>'A) Base RI'!B271</f>
        <v>Vinzel</v>
      </c>
      <c r="C273" s="10">
        <f>'A) Base RI'!V271</f>
        <v>369</v>
      </c>
      <c r="D273" s="10">
        <f t="shared" si="16"/>
        <v>369</v>
      </c>
      <c r="E273" s="404">
        <f t="shared" si="17"/>
        <v>0</v>
      </c>
      <c r="F273" s="10">
        <f t="shared" si="17"/>
        <v>0</v>
      </c>
      <c r="G273" s="404">
        <f t="shared" si="17"/>
        <v>0</v>
      </c>
      <c r="H273" s="41">
        <f t="shared" si="17"/>
        <v>0</v>
      </c>
      <c r="I273" s="10">
        <f t="shared" si="17"/>
        <v>0</v>
      </c>
      <c r="J273" s="10">
        <f t="shared" si="18"/>
        <v>0</v>
      </c>
      <c r="K273" s="112">
        <f t="shared" si="19"/>
        <v>46032.19315895372</v>
      </c>
    </row>
    <row r="274" spans="1:11" x14ac:dyDescent="0.25">
      <c r="A274" s="49">
        <f>'A) Base RI'!A272</f>
        <v>5871</v>
      </c>
      <c r="B274" s="286" t="str">
        <f>'A) Base RI'!B272</f>
        <v>L'Abbaye</v>
      </c>
      <c r="C274" s="10">
        <f>'A) Base RI'!V272</f>
        <v>1521</v>
      </c>
      <c r="D274" s="10">
        <f t="shared" si="16"/>
        <v>1000</v>
      </c>
      <c r="E274" s="404">
        <f t="shared" si="17"/>
        <v>521</v>
      </c>
      <c r="F274" s="10">
        <f t="shared" si="17"/>
        <v>0</v>
      </c>
      <c r="G274" s="404">
        <f t="shared" si="17"/>
        <v>0</v>
      </c>
      <c r="H274" s="41">
        <f t="shared" si="17"/>
        <v>0</v>
      </c>
      <c r="I274" s="10">
        <f t="shared" si="17"/>
        <v>0</v>
      </c>
      <c r="J274" s="10">
        <f t="shared" si="18"/>
        <v>0</v>
      </c>
      <c r="K274" s="112">
        <f t="shared" si="19"/>
        <v>306731.58953722334</v>
      </c>
    </row>
    <row r="275" spans="1:11" x14ac:dyDescent="0.25">
      <c r="A275" s="49">
        <f>'A) Base RI'!A273</f>
        <v>5872</v>
      </c>
      <c r="B275" s="286" t="str">
        <f>'A) Base RI'!B273</f>
        <v>Le Chenit</v>
      </c>
      <c r="C275" s="10">
        <f>'A) Base RI'!V273</f>
        <v>4569</v>
      </c>
      <c r="D275" s="10">
        <f t="shared" si="16"/>
        <v>1000</v>
      </c>
      <c r="E275" s="404">
        <f t="shared" si="17"/>
        <v>2000</v>
      </c>
      <c r="F275" s="10">
        <f t="shared" si="17"/>
        <v>1569</v>
      </c>
      <c r="G275" s="404">
        <f t="shared" si="17"/>
        <v>0</v>
      </c>
      <c r="H275" s="41">
        <f t="shared" si="17"/>
        <v>0</v>
      </c>
      <c r="I275" s="10">
        <f t="shared" si="17"/>
        <v>0</v>
      </c>
      <c r="J275" s="10">
        <f t="shared" si="18"/>
        <v>0</v>
      </c>
      <c r="K275" s="112">
        <f t="shared" si="19"/>
        <v>1606261.5694164988</v>
      </c>
    </row>
    <row r="276" spans="1:11" x14ac:dyDescent="0.25">
      <c r="A276" s="49">
        <f>'A) Base RI'!A274</f>
        <v>5873</v>
      </c>
      <c r="B276" s="286" t="str">
        <f>'A) Base RI'!B274</f>
        <v>Le Lieu</v>
      </c>
      <c r="C276" s="10">
        <f>'A) Base RI'!V274</f>
        <v>881</v>
      </c>
      <c r="D276" s="10">
        <f t="shared" si="16"/>
        <v>881</v>
      </c>
      <c r="E276" s="404">
        <f t="shared" si="17"/>
        <v>0</v>
      </c>
      <c r="F276" s="10">
        <f t="shared" si="17"/>
        <v>0</v>
      </c>
      <c r="G276" s="404">
        <f t="shared" si="17"/>
        <v>0</v>
      </c>
      <c r="H276" s="41">
        <f t="shared" si="17"/>
        <v>0</v>
      </c>
      <c r="I276" s="10">
        <f t="shared" si="17"/>
        <v>0</v>
      </c>
      <c r="J276" s="10">
        <f t="shared" si="18"/>
        <v>0</v>
      </c>
      <c r="K276" s="112">
        <f t="shared" si="19"/>
        <v>109903.42052313882</v>
      </c>
    </row>
    <row r="277" spans="1:11" x14ac:dyDescent="0.25">
      <c r="A277" s="49">
        <f>'A) Base RI'!A275</f>
        <v>5881</v>
      </c>
      <c r="B277" s="286" t="str">
        <f>'A) Base RI'!B275</f>
        <v>Blonay</v>
      </c>
      <c r="C277" s="10">
        <f>'A) Base RI'!V275</f>
        <v>6291</v>
      </c>
      <c r="D277" s="10">
        <f t="shared" si="16"/>
        <v>1000</v>
      </c>
      <c r="E277" s="404">
        <f t="shared" si="17"/>
        <v>2000</v>
      </c>
      <c r="F277" s="10">
        <f t="shared" si="17"/>
        <v>2000</v>
      </c>
      <c r="G277" s="404">
        <f t="shared" si="17"/>
        <v>1291</v>
      </c>
      <c r="H277" s="41">
        <f t="shared" si="17"/>
        <v>0</v>
      </c>
      <c r="I277" s="10">
        <f t="shared" si="17"/>
        <v>0</v>
      </c>
      <c r="J277" s="10">
        <f t="shared" si="18"/>
        <v>0</v>
      </c>
      <c r="K277" s="112">
        <f t="shared" si="19"/>
        <v>2594369.4164989935</v>
      </c>
    </row>
    <row r="278" spans="1:11" x14ac:dyDescent="0.25">
      <c r="A278" s="49">
        <f>'A) Base RI'!A276</f>
        <v>5882</v>
      </c>
      <c r="B278" s="286" t="str">
        <f>'A) Base RI'!B276</f>
        <v>Chardonne</v>
      </c>
      <c r="C278" s="10">
        <f>'A) Base RI'!V276</f>
        <v>3078</v>
      </c>
      <c r="D278" s="10">
        <f t="shared" si="16"/>
        <v>1000</v>
      </c>
      <c r="E278" s="404">
        <f t="shared" si="17"/>
        <v>2000</v>
      </c>
      <c r="F278" s="10">
        <f t="shared" si="17"/>
        <v>78</v>
      </c>
      <c r="G278" s="404">
        <f t="shared" si="17"/>
        <v>0</v>
      </c>
      <c r="H278" s="41">
        <f t="shared" si="17"/>
        <v>0</v>
      </c>
      <c r="I278" s="10">
        <f t="shared" si="17"/>
        <v>0</v>
      </c>
      <c r="J278" s="10">
        <f t="shared" si="18"/>
        <v>0</v>
      </c>
      <c r="K278" s="112">
        <f t="shared" si="19"/>
        <v>862261.56941649888</v>
      </c>
    </row>
    <row r="279" spans="1:11" x14ac:dyDescent="0.25">
      <c r="A279" s="49">
        <f>'A) Base RI'!A277</f>
        <v>5883</v>
      </c>
      <c r="B279" s="286" t="str">
        <f>'A) Base RI'!B277</f>
        <v>Corseaux</v>
      </c>
      <c r="C279" s="10">
        <f>'A) Base RI'!V277</f>
        <v>2330</v>
      </c>
      <c r="D279" s="10">
        <f t="shared" si="16"/>
        <v>1000</v>
      </c>
      <c r="E279" s="404">
        <f t="shared" si="17"/>
        <v>1330</v>
      </c>
      <c r="F279" s="10">
        <f t="shared" si="17"/>
        <v>0</v>
      </c>
      <c r="G279" s="404">
        <f t="shared" si="17"/>
        <v>0</v>
      </c>
      <c r="H279" s="41">
        <f t="shared" si="17"/>
        <v>0</v>
      </c>
      <c r="I279" s="10">
        <f t="shared" si="17"/>
        <v>0</v>
      </c>
      <c r="J279" s="10">
        <f t="shared" si="18"/>
        <v>0</v>
      </c>
      <c r="K279" s="112">
        <f t="shared" si="19"/>
        <v>589311.87122736417</v>
      </c>
    </row>
    <row r="280" spans="1:11" x14ac:dyDescent="0.25">
      <c r="A280" s="49">
        <f>'A) Base RI'!A278</f>
        <v>5884</v>
      </c>
      <c r="B280" s="286" t="str">
        <f>'A) Base RI'!B278</f>
        <v>Corsier-sur-Vevey</v>
      </c>
      <c r="C280" s="10">
        <f>'A) Base RI'!V278</f>
        <v>3390</v>
      </c>
      <c r="D280" s="10">
        <f t="shared" si="16"/>
        <v>1000</v>
      </c>
      <c r="E280" s="404">
        <f t="shared" si="17"/>
        <v>2000</v>
      </c>
      <c r="F280" s="10">
        <f t="shared" si="17"/>
        <v>390</v>
      </c>
      <c r="G280" s="404">
        <f t="shared" si="17"/>
        <v>0</v>
      </c>
      <c r="H280" s="41">
        <f t="shared" si="17"/>
        <v>0</v>
      </c>
      <c r="I280" s="10">
        <f t="shared" si="17"/>
        <v>0</v>
      </c>
      <c r="J280" s="10">
        <f t="shared" si="18"/>
        <v>0</v>
      </c>
      <c r="K280" s="112">
        <f t="shared" si="19"/>
        <v>1017947.6861167001</v>
      </c>
    </row>
    <row r="281" spans="1:11" x14ac:dyDescent="0.25">
      <c r="A281" s="49">
        <f>'A) Base RI'!A279</f>
        <v>5885</v>
      </c>
      <c r="B281" s="286" t="str">
        <f>'A) Base RI'!B279</f>
        <v>Jongny</v>
      </c>
      <c r="C281" s="10">
        <f>'A) Base RI'!V279</f>
        <v>1805</v>
      </c>
      <c r="D281" s="10">
        <f t="shared" si="16"/>
        <v>1000</v>
      </c>
      <c r="E281" s="404">
        <f t="shared" si="17"/>
        <v>805</v>
      </c>
      <c r="F281" s="10">
        <f t="shared" si="17"/>
        <v>0</v>
      </c>
      <c r="G281" s="404">
        <f t="shared" si="17"/>
        <v>0</v>
      </c>
      <c r="H281" s="41">
        <f t="shared" si="17"/>
        <v>0</v>
      </c>
      <c r="I281" s="10">
        <f t="shared" si="17"/>
        <v>0</v>
      </c>
      <c r="J281" s="10">
        <f t="shared" si="18"/>
        <v>0</v>
      </c>
      <c r="K281" s="112">
        <f t="shared" si="19"/>
        <v>405931.58953722334</v>
      </c>
    </row>
    <row r="282" spans="1:11" x14ac:dyDescent="0.25">
      <c r="A282" s="49">
        <f>'A) Base RI'!A280</f>
        <v>5886</v>
      </c>
      <c r="B282" s="286" t="str">
        <f>'A) Base RI'!B280</f>
        <v>Montreux</v>
      </c>
      <c r="C282" s="10">
        <f>'A) Base RI'!V280</f>
        <v>26012</v>
      </c>
      <c r="D282" s="10">
        <f t="shared" si="16"/>
        <v>1000</v>
      </c>
      <c r="E282" s="404">
        <f t="shared" si="17"/>
        <v>2000</v>
      </c>
      <c r="F282" s="10">
        <f t="shared" si="17"/>
        <v>2000</v>
      </c>
      <c r="G282" s="404">
        <f t="shared" si="17"/>
        <v>4000</v>
      </c>
      <c r="H282" s="41">
        <f t="shared" si="17"/>
        <v>3000</v>
      </c>
      <c r="I282" s="10">
        <f t="shared" si="17"/>
        <v>3000</v>
      </c>
      <c r="J282" s="10">
        <f t="shared" si="18"/>
        <v>11012</v>
      </c>
      <c r="K282" s="112">
        <f t="shared" si="19"/>
        <v>21294667.203219313</v>
      </c>
    </row>
    <row r="283" spans="1:11" x14ac:dyDescent="0.25">
      <c r="A283" s="49">
        <f>'A) Base RI'!A281</f>
        <v>5888</v>
      </c>
      <c r="B283" s="286" t="str">
        <f>'A) Base RI'!B281</f>
        <v>Saint-Légier-La Chiésaz</v>
      </c>
      <c r="C283" s="10">
        <f>'A) Base RI'!V281</f>
        <v>5634</v>
      </c>
      <c r="D283" s="10">
        <f t="shared" si="16"/>
        <v>1000</v>
      </c>
      <c r="E283" s="404">
        <f t="shared" si="17"/>
        <v>2000</v>
      </c>
      <c r="F283" s="10">
        <f t="shared" si="17"/>
        <v>2000</v>
      </c>
      <c r="G283" s="404">
        <f t="shared" si="17"/>
        <v>634</v>
      </c>
      <c r="H283" s="41">
        <f t="shared" si="17"/>
        <v>0</v>
      </c>
      <c r="I283" s="10">
        <f t="shared" si="17"/>
        <v>0</v>
      </c>
      <c r="J283" s="10">
        <f t="shared" si="18"/>
        <v>0</v>
      </c>
      <c r="K283" s="112">
        <f t="shared" si="19"/>
        <v>2200962.5754527161</v>
      </c>
    </row>
    <row r="284" spans="1:11" x14ac:dyDescent="0.25">
      <c r="A284" s="49">
        <f>'A) Base RI'!A282</f>
        <v>5889</v>
      </c>
      <c r="B284" s="286" t="str">
        <f>'A) Base RI'!B282</f>
        <v>La Tour-de-Peilz</v>
      </c>
      <c r="C284" s="10">
        <f>'A) Base RI'!V282</f>
        <v>12222</v>
      </c>
      <c r="D284" s="10">
        <f t="shared" si="16"/>
        <v>1000</v>
      </c>
      <c r="E284" s="404">
        <f t="shared" si="17"/>
        <v>2000</v>
      </c>
      <c r="F284" s="10">
        <f t="shared" si="17"/>
        <v>2000</v>
      </c>
      <c r="G284" s="404">
        <f t="shared" si="17"/>
        <v>4000</v>
      </c>
      <c r="H284" s="41">
        <f t="shared" si="17"/>
        <v>3000</v>
      </c>
      <c r="I284" s="10">
        <f t="shared" si="17"/>
        <v>222</v>
      </c>
      <c r="J284" s="10">
        <f t="shared" si="18"/>
        <v>0</v>
      </c>
      <c r="K284" s="112">
        <f t="shared" si="19"/>
        <v>6982921.5291750496</v>
      </c>
    </row>
    <row r="285" spans="1:11" x14ac:dyDescent="0.25">
      <c r="A285" s="49">
        <f>'A) Base RI'!A283</f>
        <v>5890</v>
      </c>
      <c r="B285" s="286" t="str">
        <f>'A) Base RI'!B283</f>
        <v>Vevey</v>
      </c>
      <c r="C285" s="10">
        <f>'A) Base RI'!V283</f>
        <v>19721</v>
      </c>
      <c r="D285" s="10">
        <f t="shared" si="16"/>
        <v>1000</v>
      </c>
      <c r="E285" s="404">
        <f t="shared" si="17"/>
        <v>2000</v>
      </c>
      <c r="F285" s="10">
        <f t="shared" si="17"/>
        <v>2000</v>
      </c>
      <c r="G285" s="404">
        <f t="shared" si="17"/>
        <v>4000</v>
      </c>
      <c r="H285" s="41">
        <f t="shared" si="17"/>
        <v>3000</v>
      </c>
      <c r="I285" s="10">
        <f t="shared" si="17"/>
        <v>3000</v>
      </c>
      <c r="J285" s="10">
        <f t="shared" si="18"/>
        <v>4721</v>
      </c>
      <c r="K285" s="112">
        <f t="shared" si="19"/>
        <v>14702408.048289737</v>
      </c>
    </row>
    <row r="286" spans="1:11" x14ac:dyDescent="0.25">
      <c r="A286" s="49">
        <f>'A) Base RI'!A284</f>
        <v>5891</v>
      </c>
      <c r="B286" s="286" t="str">
        <f>'A) Base RI'!B284</f>
        <v>Veytaux</v>
      </c>
      <c r="C286" s="10">
        <f>'A) Base RI'!V284</f>
        <v>952</v>
      </c>
      <c r="D286" s="10">
        <f t="shared" si="16"/>
        <v>952</v>
      </c>
      <c r="E286" s="404">
        <f t="shared" si="17"/>
        <v>0</v>
      </c>
      <c r="F286" s="10">
        <f t="shared" si="17"/>
        <v>0</v>
      </c>
      <c r="G286" s="404">
        <f t="shared" si="17"/>
        <v>0</v>
      </c>
      <c r="H286" s="41">
        <f t="shared" si="17"/>
        <v>0</v>
      </c>
      <c r="I286" s="10">
        <f t="shared" si="17"/>
        <v>0</v>
      </c>
      <c r="J286" s="10">
        <f t="shared" si="18"/>
        <v>0</v>
      </c>
      <c r="K286" s="112">
        <f t="shared" si="19"/>
        <v>118760.56338028169</v>
      </c>
    </row>
    <row r="287" spans="1:11" x14ac:dyDescent="0.25">
      <c r="A287" s="49">
        <f>'A) Base RI'!A285</f>
        <v>5902</v>
      </c>
      <c r="B287" s="286" t="str">
        <f>'A) Base RI'!B285</f>
        <v>Belmont-sur-Yverdon</v>
      </c>
      <c r="C287" s="10">
        <f>'A) Base RI'!V285</f>
        <v>415</v>
      </c>
      <c r="D287" s="10">
        <f t="shared" si="16"/>
        <v>415</v>
      </c>
      <c r="E287" s="404">
        <f t="shared" si="17"/>
        <v>0</v>
      </c>
      <c r="F287" s="10">
        <f t="shared" si="17"/>
        <v>0</v>
      </c>
      <c r="G287" s="404">
        <f t="shared" si="17"/>
        <v>0</v>
      </c>
      <c r="H287" s="41">
        <f t="shared" si="17"/>
        <v>0</v>
      </c>
      <c r="I287" s="10">
        <f t="shared" si="17"/>
        <v>0</v>
      </c>
      <c r="J287" s="10">
        <f t="shared" si="18"/>
        <v>0</v>
      </c>
      <c r="K287" s="112">
        <f t="shared" si="19"/>
        <v>51770.623742454722</v>
      </c>
    </row>
    <row r="288" spans="1:11" x14ac:dyDescent="0.25">
      <c r="A288" s="49">
        <f>'A) Base RI'!A286</f>
        <v>5903</v>
      </c>
      <c r="B288" s="286" t="str">
        <f>'A) Base RI'!B286</f>
        <v>Bioley-Magnoux</v>
      </c>
      <c r="C288" s="10">
        <f>'A) Base RI'!V286</f>
        <v>234</v>
      </c>
      <c r="D288" s="10">
        <f t="shared" si="16"/>
        <v>234</v>
      </c>
      <c r="E288" s="404">
        <f t="shared" si="17"/>
        <v>0</v>
      </c>
      <c r="F288" s="10">
        <f t="shared" si="17"/>
        <v>0</v>
      </c>
      <c r="G288" s="404">
        <f t="shared" si="17"/>
        <v>0</v>
      </c>
      <c r="H288" s="41">
        <f t="shared" si="17"/>
        <v>0</v>
      </c>
      <c r="I288" s="10">
        <f t="shared" si="17"/>
        <v>0</v>
      </c>
      <c r="J288" s="10">
        <f t="shared" si="18"/>
        <v>0</v>
      </c>
      <c r="K288" s="112">
        <f t="shared" si="19"/>
        <v>29191.146881287725</v>
      </c>
    </row>
    <row r="289" spans="1:11" x14ac:dyDescent="0.25">
      <c r="A289" s="49">
        <f>'A) Base RI'!A287</f>
        <v>5904</v>
      </c>
      <c r="B289" s="286" t="str">
        <f>'A) Base RI'!B287</f>
        <v>Chamblon</v>
      </c>
      <c r="C289" s="10">
        <f>'A) Base RI'!V287</f>
        <v>561</v>
      </c>
      <c r="D289" s="10">
        <f t="shared" si="16"/>
        <v>561</v>
      </c>
      <c r="E289" s="404">
        <f t="shared" si="17"/>
        <v>0</v>
      </c>
      <c r="F289" s="10">
        <f t="shared" si="17"/>
        <v>0</v>
      </c>
      <c r="G289" s="404">
        <f t="shared" si="17"/>
        <v>0</v>
      </c>
      <c r="H289" s="41">
        <f t="shared" si="17"/>
        <v>0</v>
      </c>
      <c r="I289" s="10">
        <f t="shared" si="17"/>
        <v>0</v>
      </c>
      <c r="J289" s="10">
        <f t="shared" si="18"/>
        <v>0</v>
      </c>
      <c r="K289" s="112">
        <f t="shared" si="19"/>
        <v>69983.903420523129</v>
      </c>
    </row>
    <row r="290" spans="1:11" x14ac:dyDescent="0.25">
      <c r="A290" s="49">
        <f>'A) Base RI'!A288</f>
        <v>5905</v>
      </c>
      <c r="B290" s="286" t="str">
        <f>'A) Base RI'!B288</f>
        <v>Champvent</v>
      </c>
      <c r="C290" s="10">
        <f>'A) Base RI'!V288</f>
        <v>712</v>
      </c>
      <c r="D290" s="10">
        <f t="shared" si="16"/>
        <v>712</v>
      </c>
      <c r="E290" s="404">
        <f t="shared" si="17"/>
        <v>0</v>
      </c>
      <c r="F290" s="10">
        <f t="shared" si="17"/>
        <v>0</v>
      </c>
      <c r="G290" s="404">
        <f t="shared" si="17"/>
        <v>0</v>
      </c>
      <c r="H290" s="41">
        <f t="shared" si="17"/>
        <v>0</v>
      </c>
      <c r="I290" s="10">
        <f t="shared" si="17"/>
        <v>0</v>
      </c>
      <c r="J290" s="10">
        <f t="shared" si="18"/>
        <v>0</v>
      </c>
      <c r="K290" s="112">
        <f t="shared" si="19"/>
        <v>88820.925553319918</v>
      </c>
    </row>
    <row r="291" spans="1:11" x14ac:dyDescent="0.25">
      <c r="A291" s="49">
        <f>'A) Base RI'!A289</f>
        <v>5907</v>
      </c>
      <c r="B291" s="286" t="str">
        <f>'A) Base RI'!B289</f>
        <v>Chavannes-le-Chêne</v>
      </c>
      <c r="C291" s="10">
        <f>'A) Base RI'!V289</f>
        <v>325</v>
      </c>
      <c r="D291" s="10">
        <f t="shared" si="16"/>
        <v>325</v>
      </c>
      <c r="E291" s="404">
        <f t="shared" si="17"/>
        <v>0</v>
      </c>
      <c r="F291" s="10">
        <f t="shared" si="17"/>
        <v>0</v>
      </c>
      <c r="G291" s="404">
        <f t="shared" si="17"/>
        <v>0</v>
      </c>
      <c r="H291" s="41">
        <f t="shared" si="17"/>
        <v>0</v>
      </c>
      <c r="I291" s="10">
        <f t="shared" si="17"/>
        <v>0</v>
      </c>
      <c r="J291" s="10">
        <f t="shared" si="18"/>
        <v>0</v>
      </c>
      <c r="K291" s="112">
        <f t="shared" si="19"/>
        <v>40543.259557344063</v>
      </c>
    </row>
    <row r="292" spans="1:11" x14ac:dyDescent="0.25">
      <c r="A292" s="49">
        <f>'A) Base RI'!A290</f>
        <v>5908</v>
      </c>
      <c r="B292" s="286" t="str">
        <f>'A) Base RI'!B290</f>
        <v>Chêne-Pâquier</v>
      </c>
      <c r="C292" s="10">
        <f>'A) Base RI'!V290</f>
        <v>153</v>
      </c>
      <c r="D292" s="10">
        <f t="shared" si="16"/>
        <v>153</v>
      </c>
      <c r="E292" s="404">
        <f t="shared" si="17"/>
        <v>0</v>
      </c>
      <c r="F292" s="10">
        <f t="shared" si="17"/>
        <v>0</v>
      </c>
      <c r="G292" s="404">
        <f t="shared" si="17"/>
        <v>0</v>
      </c>
      <c r="H292" s="41">
        <f t="shared" si="17"/>
        <v>0</v>
      </c>
      <c r="I292" s="10">
        <f t="shared" si="17"/>
        <v>0</v>
      </c>
      <c r="J292" s="10">
        <f t="shared" si="18"/>
        <v>0</v>
      </c>
      <c r="K292" s="112">
        <f t="shared" si="19"/>
        <v>19086.519114688126</v>
      </c>
    </row>
    <row r="293" spans="1:11" x14ac:dyDescent="0.25">
      <c r="A293" s="49">
        <f>'A) Base RI'!A291</f>
        <v>5909</v>
      </c>
      <c r="B293" s="286" t="str">
        <f>'A) Base RI'!B291</f>
        <v>Cheseaux-Noréaz</v>
      </c>
      <c r="C293" s="10">
        <f>'A) Base RI'!V291</f>
        <v>728</v>
      </c>
      <c r="D293" s="10">
        <f t="shared" si="16"/>
        <v>728</v>
      </c>
      <c r="E293" s="404">
        <f t="shared" si="17"/>
        <v>0</v>
      </c>
      <c r="F293" s="10">
        <f t="shared" si="17"/>
        <v>0</v>
      </c>
      <c r="G293" s="404">
        <f t="shared" si="17"/>
        <v>0</v>
      </c>
      <c r="H293" s="41">
        <f t="shared" si="17"/>
        <v>0</v>
      </c>
      <c r="I293" s="10">
        <f t="shared" si="17"/>
        <v>0</v>
      </c>
      <c r="J293" s="10">
        <f t="shared" si="18"/>
        <v>0</v>
      </c>
      <c r="K293" s="112">
        <f t="shared" si="19"/>
        <v>90816.901408450693</v>
      </c>
    </row>
    <row r="294" spans="1:11" x14ac:dyDescent="0.25">
      <c r="A294" s="49">
        <f>'A) Base RI'!A292</f>
        <v>5910</v>
      </c>
      <c r="B294" s="286" t="str">
        <f>'A) Base RI'!B292</f>
        <v>Cronay</v>
      </c>
      <c r="C294" s="10">
        <f>'A) Base RI'!V292</f>
        <v>403</v>
      </c>
      <c r="D294" s="10">
        <f t="shared" si="16"/>
        <v>403</v>
      </c>
      <c r="E294" s="404">
        <f t="shared" si="17"/>
        <v>0</v>
      </c>
      <c r="F294" s="10">
        <f t="shared" si="17"/>
        <v>0</v>
      </c>
      <c r="G294" s="404">
        <f t="shared" si="17"/>
        <v>0</v>
      </c>
      <c r="H294" s="41">
        <f t="shared" si="17"/>
        <v>0</v>
      </c>
      <c r="I294" s="10">
        <f t="shared" si="17"/>
        <v>0</v>
      </c>
      <c r="J294" s="10">
        <f t="shared" si="18"/>
        <v>0</v>
      </c>
      <c r="K294" s="112">
        <f t="shared" si="19"/>
        <v>50273.641851106637</v>
      </c>
    </row>
    <row r="295" spans="1:11" x14ac:dyDescent="0.25">
      <c r="A295" s="49">
        <f>'A) Base RI'!A293</f>
        <v>5911</v>
      </c>
      <c r="B295" s="286" t="str">
        <f>'A) Base RI'!B293</f>
        <v>Cuarny</v>
      </c>
      <c r="C295" s="10">
        <f>'A) Base RI'!V293</f>
        <v>245</v>
      </c>
      <c r="D295" s="10">
        <f t="shared" si="16"/>
        <v>245</v>
      </c>
      <c r="E295" s="404">
        <f t="shared" si="17"/>
        <v>0</v>
      </c>
      <c r="F295" s="10">
        <f t="shared" si="17"/>
        <v>0</v>
      </c>
      <c r="G295" s="404">
        <f t="shared" si="17"/>
        <v>0</v>
      </c>
      <c r="H295" s="41">
        <f t="shared" si="17"/>
        <v>0</v>
      </c>
      <c r="I295" s="10">
        <f t="shared" si="17"/>
        <v>0</v>
      </c>
      <c r="J295" s="10">
        <f t="shared" si="18"/>
        <v>0</v>
      </c>
      <c r="K295" s="112">
        <f t="shared" si="19"/>
        <v>30563.380281690137</v>
      </c>
    </row>
    <row r="296" spans="1:11" x14ac:dyDescent="0.25">
      <c r="A296" s="49">
        <f>'A) Base RI'!A294</f>
        <v>5912</v>
      </c>
      <c r="B296" s="286" t="str">
        <f>'A) Base RI'!B294</f>
        <v>Démoret</v>
      </c>
      <c r="C296" s="10">
        <f>'A) Base RI'!V294</f>
        <v>164</v>
      </c>
      <c r="D296" s="10">
        <f t="shared" si="16"/>
        <v>164</v>
      </c>
      <c r="E296" s="404">
        <f t="shared" si="17"/>
        <v>0</v>
      </c>
      <c r="F296" s="10">
        <f t="shared" si="17"/>
        <v>0</v>
      </c>
      <c r="G296" s="404">
        <f t="shared" si="17"/>
        <v>0</v>
      </c>
      <c r="H296" s="41">
        <f t="shared" si="17"/>
        <v>0</v>
      </c>
      <c r="I296" s="10">
        <f t="shared" si="17"/>
        <v>0</v>
      </c>
      <c r="J296" s="10">
        <f t="shared" si="18"/>
        <v>0</v>
      </c>
      <c r="K296" s="112">
        <f t="shared" si="19"/>
        <v>20458.752515090542</v>
      </c>
    </row>
    <row r="297" spans="1:11" x14ac:dyDescent="0.25">
      <c r="A297" s="49">
        <f>'A) Base RI'!A295</f>
        <v>5913</v>
      </c>
      <c r="B297" s="286" t="str">
        <f>'A) Base RI'!B295</f>
        <v>Donneloye</v>
      </c>
      <c r="C297" s="10">
        <f>'A) Base RI'!V295</f>
        <v>891</v>
      </c>
      <c r="D297" s="10">
        <f t="shared" si="16"/>
        <v>891</v>
      </c>
      <c r="E297" s="404">
        <f t="shared" si="17"/>
        <v>0</v>
      </c>
      <c r="F297" s="10">
        <f t="shared" si="17"/>
        <v>0</v>
      </c>
      <c r="G297" s="404">
        <f t="shared" si="17"/>
        <v>0</v>
      </c>
      <c r="H297" s="41">
        <f t="shared" si="17"/>
        <v>0</v>
      </c>
      <c r="I297" s="10">
        <f t="shared" si="17"/>
        <v>0</v>
      </c>
      <c r="J297" s="10">
        <f t="shared" si="18"/>
        <v>0</v>
      </c>
      <c r="K297" s="112">
        <f t="shared" si="19"/>
        <v>111150.90543259557</v>
      </c>
    </row>
    <row r="298" spans="1:11" x14ac:dyDescent="0.25">
      <c r="A298" s="49">
        <f>'A) Base RI'!A296</f>
        <v>5914</v>
      </c>
      <c r="B298" s="286" t="str">
        <f>'A) Base RI'!B296</f>
        <v>Ependes</v>
      </c>
      <c r="C298" s="10">
        <f>'A) Base RI'!V296</f>
        <v>381</v>
      </c>
      <c r="D298" s="10">
        <f t="shared" si="16"/>
        <v>381</v>
      </c>
      <c r="E298" s="404">
        <f t="shared" si="17"/>
        <v>0</v>
      </c>
      <c r="F298" s="10">
        <f t="shared" si="17"/>
        <v>0</v>
      </c>
      <c r="G298" s="404">
        <f t="shared" si="17"/>
        <v>0</v>
      </c>
      <c r="H298" s="41">
        <f t="shared" si="17"/>
        <v>0</v>
      </c>
      <c r="I298" s="10">
        <f t="shared" si="17"/>
        <v>0</v>
      </c>
      <c r="J298" s="10">
        <f t="shared" si="18"/>
        <v>0</v>
      </c>
      <c r="K298" s="112">
        <f t="shared" si="19"/>
        <v>47529.175050301805</v>
      </c>
    </row>
    <row r="299" spans="1:11" x14ac:dyDescent="0.25">
      <c r="A299" s="49">
        <f>'A) Base RI'!A297</f>
        <v>5919</v>
      </c>
      <c r="B299" s="286" t="str">
        <f>'A) Base RI'!B297</f>
        <v>Mathod</v>
      </c>
      <c r="C299" s="10">
        <f>'A) Base RI'!V297</f>
        <v>655</v>
      </c>
      <c r="D299" s="10">
        <f t="shared" si="16"/>
        <v>655</v>
      </c>
      <c r="E299" s="404">
        <f t="shared" si="17"/>
        <v>0</v>
      </c>
      <c r="F299" s="10">
        <f t="shared" si="17"/>
        <v>0</v>
      </c>
      <c r="G299" s="404">
        <f t="shared" si="17"/>
        <v>0</v>
      </c>
      <c r="H299" s="41">
        <f t="shared" si="17"/>
        <v>0</v>
      </c>
      <c r="I299" s="10">
        <f t="shared" si="17"/>
        <v>0</v>
      </c>
      <c r="J299" s="10">
        <f t="shared" si="18"/>
        <v>0</v>
      </c>
      <c r="K299" s="112">
        <f t="shared" si="19"/>
        <v>81710.2615694165</v>
      </c>
    </row>
    <row r="300" spans="1:11" x14ac:dyDescent="0.25">
      <c r="A300" s="49">
        <f>'A) Base RI'!A298</f>
        <v>5921</v>
      </c>
      <c r="B300" s="286" t="str">
        <f>'A) Base RI'!B298</f>
        <v>Molondin</v>
      </c>
      <c r="C300" s="10">
        <f>'A) Base RI'!V298</f>
        <v>239</v>
      </c>
      <c r="D300" s="10">
        <f t="shared" ref="D300:D316" si="20">IF($C300&gt;D$5,IF($C300&lt;D$6,$C300-D$5,D$6-D$5),0)</f>
        <v>239</v>
      </c>
      <c r="E300" s="404">
        <f t="shared" si="17"/>
        <v>0</v>
      </c>
      <c r="F300" s="10">
        <f t="shared" si="17"/>
        <v>0</v>
      </c>
      <c r="G300" s="404">
        <f t="shared" si="17"/>
        <v>0</v>
      </c>
      <c r="H300" s="41">
        <f t="shared" si="17"/>
        <v>0</v>
      </c>
      <c r="I300" s="10">
        <f t="shared" si="17"/>
        <v>0</v>
      </c>
      <c r="J300" s="10">
        <f t="shared" si="18"/>
        <v>0</v>
      </c>
      <c r="K300" s="112">
        <f t="shared" si="19"/>
        <v>29814.889336016095</v>
      </c>
    </row>
    <row r="301" spans="1:11" x14ac:dyDescent="0.25">
      <c r="A301" s="49">
        <f>'A) Base RI'!A299</f>
        <v>5922</v>
      </c>
      <c r="B301" s="286" t="str">
        <f>'A) Base RI'!B299</f>
        <v>Montagny-près-Yverdon</v>
      </c>
      <c r="C301" s="10">
        <f>'A) Base RI'!V299</f>
        <v>775</v>
      </c>
      <c r="D301" s="10">
        <f t="shared" si="20"/>
        <v>775</v>
      </c>
      <c r="E301" s="404">
        <f t="shared" si="17"/>
        <v>0</v>
      </c>
      <c r="F301" s="10">
        <f t="shared" si="17"/>
        <v>0</v>
      </c>
      <c r="G301" s="404">
        <f t="shared" si="17"/>
        <v>0</v>
      </c>
      <c r="H301" s="41">
        <f t="shared" si="17"/>
        <v>0</v>
      </c>
      <c r="I301" s="10">
        <f t="shared" si="17"/>
        <v>0</v>
      </c>
      <c r="J301" s="10">
        <f t="shared" si="18"/>
        <v>0</v>
      </c>
      <c r="K301" s="112">
        <f t="shared" si="19"/>
        <v>96680.080482897378</v>
      </c>
    </row>
    <row r="302" spans="1:11" x14ac:dyDescent="0.25">
      <c r="A302" s="49">
        <f>'A) Base RI'!A300</f>
        <v>5923</v>
      </c>
      <c r="B302" s="286" t="str">
        <f>'A) Base RI'!B300</f>
        <v>Oppens</v>
      </c>
      <c r="C302" s="10">
        <f>'A) Base RI'!V300</f>
        <v>201</v>
      </c>
      <c r="D302" s="10">
        <f t="shared" si="20"/>
        <v>201</v>
      </c>
      <c r="E302" s="404">
        <f t="shared" si="17"/>
        <v>0</v>
      </c>
      <c r="F302" s="10">
        <f t="shared" si="17"/>
        <v>0</v>
      </c>
      <c r="G302" s="404">
        <f t="shared" si="17"/>
        <v>0</v>
      </c>
      <c r="H302" s="41">
        <f t="shared" si="17"/>
        <v>0</v>
      </c>
      <c r="I302" s="10">
        <f t="shared" si="17"/>
        <v>0</v>
      </c>
      <c r="J302" s="10">
        <f t="shared" si="18"/>
        <v>0</v>
      </c>
      <c r="K302" s="112">
        <f t="shared" si="19"/>
        <v>25074.44668008048</v>
      </c>
    </row>
    <row r="303" spans="1:11" x14ac:dyDescent="0.25">
      <c r="A303" s="49">
        <f>'A) Base RI'!A301</f>
        <v>5924</v>
      </c>
      <c r="B303" s="286" t="str">
        <f>'A) Base RI'!B301</f>
        <v>Orges</v>
      </c>
      <c r="C303" s="10">
        <f>'A) Base RI'!V301</f>
        <v>367</v>
      </c>
      <c r="D303" s="10">
        <f t="shared" si="20"/>
        <v>367</v>
      </c>
      <c r="E303" s="404">
        <f t="shared" si="17"/>
        <v>0</v>
      </c>
      <c r="F303" s="10">
        <f t="shared" si="17"/>
        <v>0</v>
      </c>
      <c r="G303" s="404">
        <f t="shared" si="17"/>
        <v>0</v>
      </c>
      <c r="H303" s="41">
        <f t="shared" si="17"/>
        <v>0</v>
      </c>
      <c r="I303" s="10">
        <f t="shared" si="17"/>
        <v>0</v>
      </c>
      <c r="J303" s="10">
        <f t="shared" si="18"/>
        <v>0</v>
      </c>
      <c r="K303" s="112">
        <f t="shared" si="19"/>
        <v>45782.696177062367</v>
      </c>
    </row>
    <row r="304" spans="1:11" x14ac:dyDescent="0.25">
      <c r="A304" s="49">
        <f>'A) Base RI'!A302</f>
        <v>5925</v>
      </c>
      <c r="B304" s="286" t="str">
        <f>'A) Base RI'!B302</f>
        <v>Orzens</v>
      </c>
      <c r="C304" s="10">
        <f>'A) Base RI'!V302</f>
        <v>202</v>
      </c>
      <c r="D304" s="10">
        <f t="shared" si="20"/>
        <v>202</v>
      </c>
      <c r="E304" s="404">
        <f t="shared" si="17"/>
        <v>0</v>
      </c>
      <c r="F304" s="10">
        <f t="shared" si="17"/>
        <v>0</v>
      </c>
      <c r="G304" s="404">
        <f t="shared" si="17"/>
        <v>0</v>
      </c>
      <c r="H304" s="41">
        <f t="shared" si="17"/>
        <v>0</v>
      </c>
      <c r="I304" s="10">
        <f t="shared" si="17"/>
        <v>0</v>
      </c>
      <c r="J304" s="10">
        <f t="shared" si="18"/>
        <v>0</v>
      </c>
      <c r="K304" s="112">
        <f t="shared" si="19"/>
        <v>25199.195171026156</v>
      </c>
    </row>
    <row r="305" spans="1:11" x14ac:dyDescent="0.25">
      <c r="A305" s="49">
        <f>'A) Base RI'!A303</f>
        <v>5926</v>
      </c>
      <c r="B305" s="286" t="str">
        <f>'A) Base RI'!B303</f>
        <v>Pomy</v>
      </c>
      <c r="C305" s="10">
        <f>'A) Base RI'!V303</f>
        <v>838</v>
      </c>
      <c r="D305" s="10">
        <f t="shared" si="20"/>
        <v>838</v>
      </c>
      <c r="E305" s="404">
        <f t="shared" si="17"/>
        <v>0</v>
      </c>
      <c r="F305" s="10">
        <f t="shared" si="17"/>
        <v>0</v>
      </c>
      <c r="G305" s="404">
        <f t="shared" si="17"/>
        <v>0</v>
      </c>
      <c r="H305" s="41">
        <f t="shared" si="17"/>
        <v>0</v>
      </c>
      <c r="I305" s="10">
        <f t="shared" si="17"/>
        <v>0</v>
      </c>
      <c r="J305" s="10">
        <f t="shared" si="18"/>
        <v>0</v>
      </c>
      <c r="K305" s="112">
        <f t="shared" si="19"/>
        <v>104539.23541247484</v>
      </c>
    </row>
    <row r="306" spans="1:11" x14ac:dyDescent="0.25">
      <c r="A306" s="49">
        <f>'A) Base RI'!A304</f>
        <v>5928</v>
      </c>
      <c r="B306" s="286" t="str">
        <f>'A) Base RI'!B304</f>
        <v>Rovray</v>
      </c>
      <c r="C306" s="10">
        <f>'A) Base RI'!V304</f>
        <v>206</v>
      </c>
      <c r="D306" s="10">
        <f t="shared" si="20"/>
        <v>206</v>
      </c>
      <c r="E306" s="404">
        <f t="shared" si="17"/>
        <v>0</v>
      </c>
      <c r="F306" s="10">
        <f t="shared" si="17"/>
        <v>0</v>
      </c>
      <c r="G306" s="404">
        <f t="shared" si="17"/>
        <v>0</v>
      </c>
      <c r="H306" s="41">
        <f t="shared" si="17"/>
        <v>0</v>
      </c>
      <c r="I306" s="10">
        <f t="shared" si="17"/>
        <v>0</v>
      </c>
      <c r="J306" s="10">
        <f t="shared" si="18"/>
        <v>0</v>
      </c>
      <c r="K306" s="112">
        <f t="shared" si="19"/>
        <v>25698.18913480885</v>
      </c>
    </row>
    <row r="307" spans="1:11" x14ac:dyDescent="0.25">
      <c r="A307" s="49">
        <f>'A) Base RI'!A305</f>
        <v>5929</v>
      </c>
      <c r="B307" s="286" t="str">
        <f>'A) Base RI'!B305</f>
        <v>Suchy</v>
      </c>
      <c r="C307" s="10">
        <f>'A) Base RI'!V305</f>
        <v>656</v>
      </c>
      <c r="D307" s="10">
        <f t="shared" si="20"/>
        <v>656</v>
      </c>
      <c r="E307" s="404">
        <f t="shared" si="17"/>
        <v>0</v>
      </c>
      <c r="F307" s="10">
        <f t="shared" si="17"/>
        <v>0</v>
      </c>
      <c r="G307" s="404">
        <f t="shared" si="17"/>
        <v>0</v>
      </c>
      <c r="H307" s="41">
        <f t="shared" si="17"/>
        <v>0</v>
      </c>
      <c r="I307" s="10">
        <f t="shared" si="17"/>
        <v>0</v>
      </c>
      <c r="J307" s="10">
        <f t="shared" si="18"/>
        <v>0</v>
      </c>
      <c r="K307" s="112">
        <f t="shared" si="19"/>
        <v>81835.010060362169</v>
      </c>
    </row>
    <row r="308" spans="1:11" x14ac:dyDescent="0.25">
      <c r="A308" s="49">
        <f>'A) Base RI'!A306</f>
        <v>5930</v>
      </c>
      <c r="B308" s="286" t="str">
        <f>'A) Base RI'!B306</f>
        <v>Suscévaz</v>
      </c>
      <c r="C308" s="10">
        <f>'A) Base RI'!V306</f>
        <v>215</v>
      </c>
      <c r="D308" s="10">
        <f t="shared" si="20"/>
        <v>215</v>
      </c>
      <c r="E308" s="404">
        <f t="shared" si="17"/>
        <v>0</v>
      </c>
      <c r="F308" s="10">
        <f t="shared" si="17"/>
        <v>0</v>
      </c>
      <c r="G308" s="404">
        <f t="shared" si="17"/>
        <v>0</v>
      </c>
      <c r="H308" s="41">
        <f t="shared" si="17"/>
        <v>0</v>
      </c>
      <c r="I308" s="10">
        <f t="shared" si="17"/>
        <v>0</v>
      </c>
      <c r="J308" s="10">
        <f t="shared" si="18"/>
        <v>0</v>
      </c>
      <c r="K308" s="112">
        <f t="shared" si="19"/>
        <v>26820.925553319918</v>
      </c>
    </row>
    <row r="309" spans="1:11" x14ac:dyDescent="0.25">
      <c r="A309" s="49">
        <f>'A) Base RI'!A307</f>
        <v>5931</v>
      </c>
      <c r="B309" s="286" t="str">
        <f>'A) Base RI'!B307</f>
        <v>Treycovagnes</v>
      </c>
      <c r="C309" s="10">
        <f>'A) Base RI'!V307</f>
        <v>490</v>
      </c>
      <c r="D309" s="10">
        <f t="shared" si="20"/>
        <v>490</v>
      </c>
      <c r="E309" s="404">
        <f t="shared" si="17"/>
        <v>0</v>
      </c>
      <c r="F309" s="10">
        <f t="shared" si="17"/>
        <v>0</v>
      </c>
      <c r="G309" s="404">
        <f t="shared" si="17"/>
        <v>0</v>
      </c>
      <c r="H309" s="41">
        <f t="shared" si="17"/>
        <v>0</v>
      </c>
      <c r="I309" s="10">
        <f t="shared" si="17"/>
        <v>0</v>
      </c>
      <c r="J309" s="10">
        <f t="shared" si="18"/>
        <v>0</v>
      </c>
      <c r="K309" s="112">
        <f t="shared" si="19"/>
        <v>61126.760563380274</v>
      </c>
    </row>
    <row r="310" spans="1:11" x14ac:dyDescent="0.25">
      <c r="A310" s="49">
        <f>'A) Base RI'!A308</f>
        <v>5932</v>
      </c>
      <c r="B310" s="286" t="str">
        <f>'A) Base RI'!B308</f>
        <v>Ursins</v>
      </c>
      <c r="C310" s="10">
        <f>'A) Base RI'!V308</f>
        <v>228</v>
      </c>
      <c r="D310" s="10">
        <f t="shared" si="20"/>
        <v>228</v>
      </c>
      <c r="E310" s="404">
        <f t="shared" si="17"/>
        <v>0</v>
      </c>
      <c r="F310" s="10">
        <f t="shared" si="17"/>
        <v>0</v>
      </c>
      <c r="G310" s="404">
        <f t="shared" si="17"/>
        <v>0</v>
      </c>
      <c r="H310" s="41">
        <f t="shared" si="17"/>
        <v>0</v>
      </c>
      <c r="I310" s="10">
        <f t="shared" si="17"/>
        <v>0</v>
      </c>
      <c r="J310" s="10">
        <f t="shared" si="18"/>
        <v>0</v>
      </c>
      <c r="K310" s="112">
        <f t="shared" si="19"/>
        <v>28442.655935613679</v>
      </c>
    </row>
    <row r="311" spans="1:11" x14ac:dyDescent="0.25">
      <c r="A311" s="49">
        <f>'A) Base RI'!A309</f>
        <v>5933</v>
      </c>
      <c r="B311" s="286" t="str">
        <f>'A) Base RI'!B309</f>
        <v>Valeyres-sous-Montagny</v>
      </c>
      <c r="C311" s="10">
        <f>'A) Base RI'!V309</f>
        <v>697</v>
      </c>
      <c r="D311" s="10">
        <f t="shared" si="20"/>
        <v>697</v>
      </c>
      <c r="E311" s="404">
        <f t="shared" si="17"/>
        <v>0</v>
      </c>
      <c r="F311" s="10">
        <f t="shared" si="17"/>
        <v>0</v>
      </c>
      <c r="G311" s="404">
        <f t="shared" ref="E311:I316" si="21">IF($C311&gt;G$5,IF($C311&lt;G$6,$C311-G$5,G$6-G$5),0)</f>
        <v>0</v>
      </c>
      <c r="H311" s="41">
        <f t="shared" si="21"/>
        <v>0</v>
      </c>
      <c r="I311" s="10">
        <f t="shared" si="21"/>
        <v>0</v>
      </c>
      <c r="J311" s="10">
        <f t="shared" si="18"/>
        <v>0</v>
      </c>
      <c r="K311" s="112">
        <f t="shared" si="19"/>
        <v>86949.698189134797</v>
      </c>
    </row>
    <row r="312" spans="1:11" x14ac:dyDescent="0.25">
      <c r="A312" s="49">
        <f>'A) Base RI'!A310</f>
        <v>5934</v>
      </c>
      <c r="B312" s="286" t="str">
        <f>'A) Base RI'!B310</f>
        <v>Valeyres-sous-Ursins</v>
      </c>
      <c r="C312" s="10">
        <f>'A) Base RI'!V310</f>
        <v>247</v>
      </c>
      <c r="D312" s="10">
        <f t="shared" si="20"/>
        <v>247</v>
      </c>
      <c r="E312" s="404">
        <f t="shared" si="21"/>
        <v>0</v>
      </c>
      <c r="F312" s="10">
        <f t="shared" si="21"/>
        <v>0</v>
      </c>
      <c r="G312" s="404">
        <f t="shared" si="21"/>
        <v>0</v>
      </c>
      <c r="H312" s="41">
        <f t="shared" si="21"/>
        <v>0</v>
      </c>
      <c r="I312" s="10">
        <f t="shared" si="21"/>
        <v>0</v>
      </c>
      <c r="J312" s="10">
        <f t="shared" si="18"/>
        <v>0</v>
      </c>
      <c r="K312" s="112">
        <f t="shared" si="19"/>
        <v>30812.877263581486</v>
      </c>
    </row>
    <row r="313" spans="1:11" x14ac:dyDescent="0.25">
      <c r="A313" s="49">
        <f>'A) Base RI'!A311</f>
        <v>5935</v>
      </c>
      <c r="B313" s="286" t="str">
        <f>'A) Base RI'!B311</f>
        <v>Villars-Epeney</v>
      </c>
      <c r="C313" s="10">
        <f>'A) Base RI'!V311</f>
        <v>95</v>
      </c>
      <c r="D313" s="10">
        <f t="shared" si="20"/>
        <v>95</v>
      </c>
      <c r="E313" s="404">
        <f t="shared" si="21"/>
        <v>0</v>
      </c>
      <c r="F313" s="10">
        <f t="shared" si="21"/>
        <v>0</v>
      </c>
      <c r="G313" s="404">
        <f t="shared" si="21"/>
        <v>0</v>
      </c>
      <c r="H313" s="41">
        <f t="shared" si="21"/>
        <v>0</v>
      </c>
      <c r="I313" s="10">
        <f t="shared" si="21"/>
        <v>0</v>
      </c>
      <c r="J313" s="10">
        <f t="shared" si="18"/>
        <v>0</v>
      </c>
      <c r="K313" s="112">
        <f t="shared" si="19"/>
        <v>11851.106639839034</v>
      </c>
    </row>
    <row r="314" spans="1:11" x14ac:dyDescent="0.25">
      <c r="A314" s="49">
        <f>'A) Base RI'!A312</f>
        <v>5937</v>
      </c>
      <c r="B314" s="286" t="str">
        <f>'A) Base RI'!B312</f>
        <v>Vugelles-La Mothe</v>
      </c>
      <c r="C314" s="10">
        <f>'A) Base RI'!V312</f>
        <v>140</v>
      </c>
      <c r="D314" s="10">
        <f t="shared" si="20"/>
        <v>140</v>
      </c>
      <c r="E314" s="404">
        <f t="shared" si="21"/>
        <v>0</v>
      </c>
      <c r="F314" s="10">
        <f t="shared" si="21"/>
        <v>0</v>
      </c>
      <c r="G314" s="404">
        <f t="shared" si="21"/>
        <v>0</v>
      </c>
      <c r="H314" s="41">
        <f t="shared" si="21"/>
        <v>0</v>
      </c>
      <c r="I314" s="10">
        <f t="shared" si="21"/>
        <v>0</v>
      </c>
      <c r="J314" s="10">
        <f t="shared" si="18"/>
        <v>0</v>
      </c>
      <c r="K314" s="112">
        <f t="shared" si="19"/>
        <v>17464.788732394365</v>
      </c>
    </row>
    <row r="315" spans="1:11" x14ac:dyDescent="0.25">
      <c r="A315" s="49">
        <f>'A) Base RI'!A313</f>
        <v>5938</v>
      </c>
      <c r="B315" s="286" t="str">
        <f>'A) Base RI'!B313</f>
        <v>Yverdon-les-Bains</v>
      </c>
      <c r="C315" s="10">
        <f>'A) Base RI'!V313</f>
        <v>29710</v>
      </c>
      <c r="D315" s="10">
        <f t="shared" si="20"/>
        <v>1000</v>
      </c>
      <c r="E315" s="404">
        <f t="shared" si="21"/>
        <v>2000</v>
      </c>
      <c r="F315" s="10">
        <f t="shared" si="21"/>
        <v>2000</v>
      </c>
      <c r="G315" s="404">
        <f t="shared" si="21"/>
        <v>4000</v>
      </c>
      <c r="H315" s="41">
        <f t="shared" si="21"/>
        <v>3000</v>
      </c>
      <c r="I315" s="10">
        <f t="shared" si="21"/>
        <v>3000</v>
      </c>
      <c r="J315" s="10">
        <f t="shared" si="18"/>
        <v>14710</v>
      </c>
      <c r="K315" s="112">
        <f t="shared" si="19"/>
        <v>25169754.527162977</v>
      </c>
    </row>
    <row r="316" spans="1:11" x14ac:dyDescent="0.25">
      <c r="A316" s="49">
        <f>'A) Base RI'!A314</f>
        <v>5939</v>
      </c>
      <c r="B316" s="286" t="str">
        <f>'A) Base RI'!B314</f>
        <v>Yvonand</v>
      </c>
      <c r="C316" s="405">
        <f>'A) Base RI'!V314</f>
        <v>3512</v>
      </c>
      <c r="D316" s="10">
        <f t="shared" si="20"/>
        <v>1000</v>
      </c>
      <c r="E316" s="404">
        <f t="shared" si="21"/>
        <v>2000</v>
      </c>
      <c r="F316" s="10">
        <f t="shared" si="21"/>
        <v>512</v>
      </c>
      <c r="G316" s="404">
        <f t="shared" si="21"/>
        <v>0</v>
      </c>
      <c r="H316" s="41">
        <f t="shared" si="21"/>
        <v>0</v>
      </c>
      <c r="I316" s="10">
        <f t="shared" si="21"/>
        <v>0</v>
      </c>
      <c r="J316" s="10">
        <f t="shared" si="18"/>
        <v>0</v>
      </c>
      <c r="K316" s="112">
        <f t="shared" si="19"/>
        <v>1078824.949698189</v>
      </c>
    </row>
    <row r="317" spans="1:11" x14ac:dyDescent="0.25">
      <c r="A317" s="360"/>
      <c r="B317" s="117">
        <f>COUNTA(B9:B316)</f>
        <v>308</v>
      </c>
      <c r="C317" s="11">
        <f>SUM(C9:C316)</f>
        <v>823879</v>
      </c>
      <c r="D317" s="11">
        <f t="shared" ref="D317:J317" si="22">SUM(D9:D316)</f>
        <v>219731</v>
      </c>
      <c r="E317" s="11">
        <f t="shared" si="22"/>
        <v>173541</v>
      </c>
      <c r="F317" s="11">
        <f t="shared" si="22"/>
        <v>88528</v>
      </c>
      <c r="G317" s="11">
        <f t="shared" si="22"/>
        <v>96784</v>
      </c>
      <c r="H317" s="11">
        <f t="shared" si="22"/>
        <v>43073</v>
      </c>
      <c r="I317" s="11">
        <f t="shared" si="22"/>
        <v>27083</v>
      </c>
      <c r="J317" s="11">
        <f t="shared" si="22"/>
        <v>175139</v>
      </c>
      <c r="K317" s="37">
        <f>SUM(K9:K316)</f>
        <v>437249573.44064391</v>
      </c>
    </row>
    <row r="318" spans="1:11" x14ac:dyDescent="0.25">
      <c r="C318" s="71"/>
      <c r="K318" s="6"/>
    </row>
    <row r="319" spans="1:11" x14ac:dyDescent="0.25">
      <c r="C319" s="71"/>
    </row>
    <row r="328" spans="3:3" x14ac:dyDescent="0.25">
      <c r="C328" s="58"/>
    </row>
  </sheetData>
  <mergeCells count="6">
    <mergeCell ref="K7:K8"/>
    <mergeCell ref="C4:J4"/>
    <mergeCell ref="A7:A8"/>
    <mergeCell ref="B7:B8"/>
    <mergeCell ref="C7:C8"/>
    <mergeCell ref="D7:J7"/>
  </mergeCells>
  <phoneticPr fontId="21"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13</vt:i4>
      </vt:variant>
    </vt:vector>
  </HeadingPairs>
  <TitlesOfParts>
    <vt:vector size="31" baseType="lpstr">
      <vt:lpstr>Paramètres</vt:lpstr>
      <vt:lpstr>Recherche</vt:lpstr>
      <vt:lpstr>Validation Rend. Imp.</vt:lpstr>
      <vt:lpstr>A) Base RI</vt:lpstr>
      <vt:lpstr>B) D RI</vt:lpstr>
      <vt:lpstr>C) Prél. conj.</vt:lpstr>
      <vt:lpstr>D) Ecrêtage</vt:lpstr>
      <vt:lpstr>E) PCS</vt:lpstr>
      <vt:lpstr>F) Population</vt:lpstr>
      <vt:lpstr>G) Solidarité</vt:lpstr>
      <vt:lpstr>H) Péréquation directe</vt:lpstr>
      <vt:lpstr>I) Dépenses thématiques</vt:lpstr>
      <vt:lpstr>J) Plafonnement effort</vt:lpstr>
      <vt:lpstr>K) Plafonnement aide</vt:lpstr>
      <vt:lpstr>L) Plafonnement taux</vt:lpstr>
      <vt:lpstr>M) Police</vt:lpstr>
      <vt:lpstr>Synthèse</vt:lpstr>
      <vt:lpstr>Acomptes vs Décompte</vt:lpstr>
      <vt:lpstr>'C) Prél. conj.'!Impression_des_titres</vt:lpstr>
      <vt:lpstr>'E) PCS'!Impression_des_titres</vt:lpstr>
      <vt:lpstr>'I) Dépenses thématiques'!Impression_des_titres</vt:lpstr>
      <vt:lpstr>'J) Plafonnement effort'!Impression_des_titres</vt:lpstr>
      <vt:lpstr>'L) Plafonnement taux'!Impression_des_titres</vt:lpstr>
      <vt:lpstr>'M) Police'!Impression_des_titres</vt:lpstr>
      <vt:lpstr>Synthèse!Impression_des_titres</vt:lpstr>
      <vt:lpstr>'H) Péréquation directe'!Zone_d_impression</vt:lpstr>
      <vt:lpstr>'L) Plafonnement taux'!Zone_d_impression</vt:lpstr>
      <vt:lpstr>'M) Police'!Zone_d_impression</vt:lpstr>
      <vt:lpstr>Recherche!Zone_d_impression</vt:lpstr>
      <vt:lpstr>Synthèse!Zone_d_impression</vt:lpstr>
      <vt:lpstr>'Validation Rend. Imp.'!Zone_d_impression</vt:lpstr>
    </vt:vector>
  </TitlesOfParts>
  <Company>Etat de Vaud / ASFiCo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Brochet Antoine</dc:creator>
  <cp:lastModifiedBy>Gaillard Joëlle</cp:lastModifiedBy>
  <cp:lastPrinted>2022-04-05T13:28:42Z</cp:lastPrinted>
  <dcterms:created xsi:type="dcterms:W3CDTF">2005-06-06T00:37:42Z</dcterms:created>
  <dcterms:modified xsi:type="dcterms:W3CDTF">2022-08-11T06:56:03Z</dcterms:modified>
</cp:coreProperties>
</file>